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https://edwardsbusinesssystems-my.sharepoint.com/personal/tahmad_edwardsbusiness_com/Documents/VITA/~VITA Updates 2024/CORRECT FILES/"/>
    </mc:Choice>
  </mc:AlternateContent>
  <xr:revisionPtr revIDLastSave="0" documentId="8_{288364A5-AB1E-453B-AB91-43F66010DFC1}" xr6:coauthVersionLast="47" xr6:coauthVersionMax="47" xr10:uidLastSave="{00000000-0000-0000-0000-000000000000}"/>
  <bookViews>
    <workbookView xWindow="-28920" yWindow="-120" windowWidth="29040" windowHeight="15720" activeTab="21" xr2:uid="{00000000-000D-0000-FFFF-FFFF00000000}"/>
  </bookViews>
  <sheets>
    <sheet name="Konica 4020i Segment #7" sheetId="2" r:id="rId1"/>
    <sheet name="Konica 5020i Segment #7" sheetId="145" r:id="rId2"/>
    <sheet name="Konica 4051i-Segment #8" sheetId="148" r:id="rId3"/>
    <sheet name="Konica 4751i-Segment #9" sheetId="149" r:id="rId4"/>
    <sheet name="Konica 227-Segment #10" sheetId="128" r:id="rId5"/>
    <sheet name="Konica 301i-Segment #10 " sheetId="150" r:id="rId6"/>
    <sheet name="Konica C251i-Segment #11" sheetId="151" r:id="rId7"/>
    <sheet name="Konica C301i-Segment #11" sheetId="152" r:id="rId8"/>
    <sheet name="Konica C3320i-Segment #11" sheetId="141" state="hidden" r:id="rId9"/>
    <sheet name="Konica 361i-Segment #12" sheetId="153" r:id="rId10"/>
    <sheet name="Konica 451i-Segment #12" sheetId="154" r:id="rId11"/>
    <sheet name="Konica C361i-Segment #13" sheetId="155" r:id="rId12"/>
    <sheet name="Konica 551i-Segment #14" sheetId="157" r:id="rId13"/>
    <sheet name="Konica C451i-Segment #15" sheetId="158" r:id="rId14"/>
    <sheet name="Konica C551i-Segment #15" sheetId="159" r:id="rId15"/>
    <sheet name="Konica C651i-Segment #15" sheetId="160" r:id="rId16"/>
    <sheet name="Konica C751i-Segment #15" sheetId="46" r:id="rId17"/>
    <sheet name="Konica 651i-Segment #16" sheetId="161" r:id="rId18"/>
    <sheet name="Konica 751i-Segment #17" sheetId="136" r:id="rId19"/>
    <sheet name="Konica 850i-Segment #17" sheetId="162" r:id="rId20"/>
    <sheet name="Konica 950i-Segment #17" sheetId="163" r:id="rId21"/>
    <sheet name="Konica 4000i Segment #24" sheetId="18" r:id="rId22"/>
    <sheet name="Lexmark m1246 Segment #24" sheetId="84" r:id="rId23"/>
    <sheet name="HP M102w Segment #24" sheetId="101" r:id="rId24"/>
    <sheet name="Konica 4000i Segment #25" sheetId="19" r:id="rId25"/>
    <sheet name="Lexmark m3250 Segment #25" sheetId="85" r:id="rId26"/>
    <sheet name="HP M203dw Segment #25" sheetId="102" r:id="rId27"/>
    <sheet name="Konica 4701i Segment #26" sheetId="20" r:id="rId28"/>
    <sheet name="Lexmark m5255 Segment #26" sheetId="86" r:id="rId29"/>
    <sheet name="HP M404n Segment #26 " sheetId="103" r:id="rId30"/>
    <sheet name="Lexmark xc2235 Segment #27" sheetId="113" r:id="rId31"/>
    <sheet name="HP M254dw Segment #27" sheetId="98" r:id="rId32"/>
    <sheet name="Lexmark C4150 Segment #28" sheetId="114" r:id="rId33"/>
    <sheet name="HP M454dn Segment #28" sheetId="99" r:id="rId34"/>
    <sheet name="Lexmark C6160 Segment #29" sheetId="115" r:id="rId35"/>
    <sheet name="HP M555dn Segment #29" sheetId="100" r:id="rId36"/>
    <sheet name="KIP 660 Series Segment #30" sheetId="93" r:id="rId37"/>
    <sheet name="KIP 860 Series Segment #31" sheetId="94" r:id="rId38"/>
    <sheet name="KIP 7171K6 (WF) Segment #40" sheetId="29" r:id="rId39"/>
    <sheet name="HP PWXL 3900 (WF) Segment #40" sheetId="107" r:id="rId40"/>
    <sheet name="KIP 7582 (WF) Segment #41" sheetId="95" r:id="rId41"/>
    <sheet name="HP PWXL 4200 (WF) Segment #41" sheetId="109" r:id="rId42"/>
    <sheet name="KIP 7984 (WF) Segment #42" sheetId="96" r:id="rId43"/>
    <sheet name="HP PWXL 4600 (WF) Segment # 42" sheetId="111" r:id="rId44"/>
    <sheet name="HP XL 8000 Segment #42" sheetId="146" state="hidden" r:id="rId45"/>
    <sheet name="HP PWXL 5100 (WF) Segment # 43" sheetId="112" r:id="rId46"/>
    <sheet name="HP SDPRO T1700(WF) Segment # 45" sheetId="133" r:id="rId47"/>
    <sheet name="HP T2600dr (WF) Segment  46" sheetId="134" r:id="rId48"/>
    <sheet name="HP PWXL 4200 (WF) Segment # 47" sheetId="110" r:id="rId49"/>
    <sheet name="KIP 7171K4 (WF) Segment #48" sheetId="97" r:id="rId50"/>
    <sheet name="HP T1600 (WF) Segment #48" sheetId="139" state="hidden" r:id="rId51"/>
    <sheet name="HP T1600dr (WF) Segment #48" sheetId="140" state="hidden" r:id="rId52"/>
    <sheet name="HP OfficeJet 200 Segment #49" sheetId="106" r:id="rId53"/>
    <sheet name="Konica 2100-PP Segment #50 " sheetId="63" r:id="rId54"/>
    <sheet name="Konica 7120-PP Segment #50" sheetId="164" r:id="rId55"/>
    <sheet name="Konica 7136-PP Segment #50" sheetId="165" r:id="rId56"/>
    <sheet name="Konica C4065-PP Segment #51" sheetId="142" r:id="rId57"/>
    <sheet name="Konica C4070-PP Segment #51" sheetId="143" r:id="rId58"/>
    <sheet name="Konica C4080-PP Segment #51" sheetId="83" r:id="rId59"/>
    <sheet name="Konica C7090-PP Segment #51" sheetId="41" r:id="rId60"/>
    <sheet name="Konica C7100-PP Segment #51" sheetId="59" r:id="rId61"/>
    <sheet name="Konica C12000-PP Segment #51" sheetId="138" r:id="rId62"/>
    <sheet name="Konica C14000-PP Segment #51" sheetId="137" r:id="rId63"/>
    <sheet name="Konica Plastics 3D Segment #52" sheetId="132" r:id="rId64"/>
    <sheet name="HP P57750dw Segment #54" sheetId="104" r:id="rId65"/>
    <sheet name="HP P57750dw Segment #55" sheetId="116" r:id="rId66"/>
    <sheet name="HP E58650z Segment #55a-b" sheetId="117" r:id="rId67"/>
    <sheet name="HP E58650z Segment #56" sheetId="50" r:id="rId68"/>
    <sheet name="HP E77650z Segment #57" sheetId="118" r:id="rId69"/>
    <sheet name="High Speed Additional Items" sheetId="129" r:id="rId70"/>
    <sheet name="MPS" sheetId="53" r:id="rId71"/>
    <sheet name="PaperCut" sheetId="33" r:id="rId72"/>
    <sheet name="Prism ScanPath" sheetId="34" r:id="rId73"/>
    <sheet name="Dispatcher Pheonix" sheetId="119" r:id="rId74"/>
    <sheet name="Bizhub Marketplace" sheetId="120" r:id="rId75"/>
    <sheet name="Square 9 " sheetId="121" r:id="rId76"/>
    <sheet name="WEB CRD" sheetId="61" r:id="rId77"/>
    <sheet name="AccurioPro" sheetId="122" r:id="rId78"/>
    <sheet name="HP Mobile  Security Solutions" sheetId="123" r:id="rId79"/>
    <sheet name="PrintShop Mail" sheetId="124" r:id="rId80"/>
    <sheet name="PlanetPress" sheetId="125" r:id="rId81"/>
    <sheet name="EngageIT" sheetId="126" r:id="rId82"/>
    <sheet name="Professional Services" sheetId="22" r:id="rId83"/>
  </sheets>
  <externalReferences>
    <externalReference r:id="rId84"/>
  </externalReferences>
  <definedNames>
    <definedName name="address" localSheetId="66">#REF!</definedName>
    <definedName name="address" localSheetId="67">#REF!</definedName>
    <definedName name="address" localSheetId="68">#REF!</definedName>
    <definedName name="address" localSheetId="23">#REF!</definedName>
    <definedName name="address" localSheetId="26">#REF!</definedName>
    <definedName name="address" localSheetId="31">#REF!</definedName>
    <definedName name="address" localSheetId="29">#REF!</definedName>
    <definedName name="address" localSheetId="33">#REF!</definedName>
    <definedName name="address" localSheetId="35">#REF!</definedName>
    <definedName name="address" localSheetId="52">#REF!</definedName>
    <definedName name="address" localSheetId="64">#REF!</definedName>
    <definedName name="address" localSheetId="65">#REF!</definedName>
    <definedName name="address" localSheetId="39">#REF!</definedName>
    <definedName name="address" localSheetId="48">#REF!</definedName>
    <definedName name="address" localSheetId="41">#REF!</definedName>
    <definedName name="address" localSheetId="43">#REF!</definedName>
    <definedName name="address" localSheetId="45">#REF!</definedName>
    <definedName name="address" localSheetId="46">#REF!</definedName>
    <definedName name="address" localSheetId="50">#REF!</definedName>
    <definedName name="address" localSheetId="51">#REF!</definedName>
    <definedName name="address" localSheetId="47">#REF!</definedName>
    <definedName name="address" localSheetId="36">#REF!</definedName>
    <definedName name="address" localSheetId="49">#REF!</definedName>
    <definedName name="address" localSheetId="40">#REF!</definedName>
    <definedName name="address" localSheetId="42">#REF!</definedName>
    <definedName name="address" localSheetId="37">#REF!</definedName>
    <definedName name="address" localSheetId="53">#REF!</definedName>
    <definedName name="address" localSheetId="5">#REF!</definedName>
    <definedName name="address" localSheetId="9">#REF!</definedName>
    <definedName name="address" localSheetId="10">#REF!</definedName>
    <definedName name="address" localSheetId="3">#REF!</definedName>
    <definedName name="address" localSheetId="61">#REF!</definedName>
    <definedName name="address" localSheetId="62">#REF!</definedName>
    <definedName name="address" localSheetId="8">#REF!</definedName>
    <definedName name="address" localSheetId="59">#REF!</definedName>
    <definedName name="address" localSheetId="60">#REF!</definedName>
    <definedName name="address" localSheetId="63">#REF!</definedName>
    <definedName name="address" localSheetId="32">#REF!</definedName>
    <definedName name="address" localSheetId="34">#REF!</definedName>
    <definedName name="address" localSheetId="22">#REF!</definedName>
    <definedName name="address" localSheetId="25">#REF!</definedName>
    <definedName name="address" localSheetId="28">#REF!</definedName>
    <definedName name="address" localSheetId="30">#REF!</definedName>
    <definedName name="address" localSheetId="71">#REF!</definedName>
    <definedName name="address" localSheetId="72">#REF!</definedName>
    <definedName name="address" localSheetId="76">#REF!</definedName>
    <definedName name="address">#REF!</definedName>
    <definedName name="city" localSheetId="66">#REF!</definedName>
    <definedName name="city" localSheetId="67">#REF!</definedName>
    <definedName name="city" localSheetId="68">#REF!</definedName>
    <definedName name="city" localSheetId="23">#REF!</definedName>
    <definedName name="city" localSheetId="26">#REF!</definedName>
    <definedName name="city" localSheetId="31">#REF!</definedName>
    <definedName name="city" localSheetId="29">#REF!</definedName>
    <definedName name="city" localSheetId="33">#REF!</definedName>
    <definedName name="city" localSheetId="35">#REF!</definedName>
    <definedName name="city" localSheetId="52">#REF!</definedName>
    <definedName name="city" localSheetId="64">#REF!</definedName>
    <definedName name="city" localSheetId="65">#REF!</definedName>
    <definedName name="city" localSheetId="39">#REF!</definedName>
    <definedName name="city" localSheetId="48">#REF!</definedName>
    <definedName name="city" localSheetId="41">#REF!</definedName>
    <definedName name="city" localSheetId="43">#REF!</definedName>
    <definedName name="city" localSheetId="45">#REF!</definedName>
    <definedName name="city" localSheetId="46">#REF!</definedName>
    <definedName name="city" localSheetId="50">#REF!</definedName>
    <definedName name="city" localSheetId="51">#REF!</definedName>
    <definedName name="city" localSheetId="47">#REF!</definedName>
    <definedName name="city" localSheetId="36">#REF!</definedName>
    <definedName name="city" localSheetId="49">#REF!</definedName>
    <definedName name="city" localSheetId="40">#REF!</definedName>
    <definedName name="city" localSheetId="42">#REF!</definedName>
    <definedName name="city" localSheetId="37">#REF!</definedName>
    <definedName name="city" localSheetId="53">#REF!</definedName>
    <definedName name="city" localSheetId="5">#REF!</definedName>
    <definedName name="city" localSheetId="9">#REF!</definedName>
    <definedName name="city" localSheetId="10">#REF!</definedName>
    <definedName name="city" localSheetId="3">#REF!</definedName>
    <definedName name="city" localSheetId="61">#REF!</definedName>
    <definedName name="city" localSheetId="62">#REF!</definedName>
    <definedName name="city" localSheetId="8">#REF!</definedName>
    <definedName name="city" localSheetId="59">#REF!</definedName>
    <definedName name="city" localSheetId="60">#REF!</definedName>
    <definedName name="city" localSheetId="63">#REF!</definedName>
    <definedName name="city" localSheetId="32">#REF!</definedName>
    <definedName name="city" localSheetId="34">#REF!</definedName>
    <definedName name="city" localSheetId="22">#REF!</definedName>
    <definedName name="city" localSheetId="25">#REF!</definedName>
    <definedName name="city" localSheetId="28">#REF!</definedName>
    <definedName name="city" localSheetId="30">#REF!</definedName>
    <definedName name="city" localSheetId="71">#REF!</definedName>
    <definedName name="city" localSheetId="72">#REF!</definedName>
    <definedName name="city" localSheetId="76">#REF!</definedName>
    <definedName name="city">#REF!</definedName>
    <definedName name="coloroverage" localSheetId="66">#REF!</definedName>
    <definedName name="coloroverage" localSheetId="67">#REF!</definedName>
    <definedName name="coloroverage" localSheetId="68">#REF!</definedName>
    <definedName name="coloroverage" localSheetId="23">#REF!</definedName>
    <definedName name="coloroverage" localSheetId="26">#REF!</definedName>
    <definedName name="coloroverage" localSheetId="31">#REF!</definedName>
    <definedName name="coloroverage" localSheetId="29">#REF!</definedName>
    <definedName name="coloroverage" localSheetId="33">#REF!</definedName>
    <definedName name="coloroverage" localSheetId="35">#REF!</definedName>
    <definedName name="coloroverage" localSheetId="52">#REF!</definedName>
    <definedName name="coloroverage" localSheetId="64">#REF!</definedName>
    <definedName name="coloroverage" localSheetId="65">#REF!</definedName>
    <definedName name="coloroverage" localSheetId="39">#REF!</definedName>
    <definedName name="coloroverage" localSheetId="48">#REF!</definedName>
    <definedName name="coloroverage" localSheetId="41">#REF!</definedName>
    <definedName name="coloroverage" localSheetId="43">#REF!</definedName>
    <definedName name="coloroverage" localSheetId="45">#REF!</definedName>
    <definedName name="coloroverage" localSheetId="46">#REF!</definedName>
    <definedName name="coloroverage" localSheetId="50">#REF!</definedName>
    <definedName name="coloroverage" localSheetId="51">#REF!</definedName>
    <definedName name="coloroverage" localSheetId="47">#REF!</definedName>
    <definedName name="coloroverage" localSheetId="36">#REF!</definedName>
    <definedName name="coloroverage" localSheetId="49">#REF!</definedName>
    <definedName name="coloroverage" localSheetId="40">#REF!</definedName>
    <definedName name="coloroverage" localSheetId="42">#REF!</definedName>
    <definedName name="coloroverage" localSheetId="37">#REF!</definedName>
    <definedName name="coloroverage" localSheetId="53">#REF!</definedName>
    <definedName name="coloroverage" localSheetId="5">#REF!</definedName>
    <definedName name="coloroverage" localSheetId="9">#REF!</definedName>
    <definedName name="coloroverage" localSheetId="10">#REF!</definedName>
    <definedName name="coloroverage" localSheetId="3">#REF!</definedName>
    <definedName name="coloroverage" localSheetId="61">#REF!</definedName>
    <definedName name="coloroverage" localSheetId="62">#REF!</definedName>
    <definedName name="coloroverage" localSheetId="8">#REF!</definedName>
    <definedName name="coloroverage" localSheetId="59">#REF!</definedName>
    <definedName name="coloroverage" localSheetId="60">#REF!</definedName>
    <definedName name="coloroverage" localSheetId="63">#REF!</definedName>
    <definedName name="coloroverage" localSheetId="32">#REF!</definedName>
    <definedName name="coloroverage" localSheetId="34">#REF!</definedName>
    <definedName name="coloroverage" localSheetId="22">#REF!</definedName>
    <definedName name="coloroverage" localSheetId="25">#REF!</definedName>
    <definedName name="coloroverage" localSheetId="28">#REF!</definedName>
    <definedName name="coloroverage" localSheetId="30">#REF!</definedName>
    <definedName name="coloroverage" localSheetId="71">#REF!</definedName>
    <definedName name="coloroverage" localSheetId="72">#REF!</definedName>
    <definedName name="coloroverage" localSheetId="76">#REF!</definedName>
    <definedName name="coloroverage">#REF!</definedName>
    <definedName name="companyname" localSheetId="66">#REF!</definedName>
    <definedName name="companyname" localSheetId="67">#REF!</definedName>
    <definedName name="companyname" localSheetId="68">#REF!</definedName>
    <definedName name="companyname" localSheetId="23">#REF!</definedName>
    <definedName name="companyname" localSheetId="26">#REF!</definedName>
    <definedName name="companyname" localSheetId="31">#REF!</definedName>
    <definedName name="companyname" localSheetId="29">#REF!</definedName>
    <definedName name="companyname" localSheetId="33">#REF!</definedName>
    <definedName name="companyname" localSheetId="35">#REF!</definedName>
    <definedName name="companyname" localSheetId="52">#REF!</definedName>
    <definedName name="companyname" localSheetId="64">#REF!</definedName>
    <definedName name="companyname" localSheetId="65">#REF!</definedName>
    <definedName name="companyname" localSheetId="39">#REF!</definedName>
    <definedName name="companyname" localSheetId="48">#REF!</definedName>
    <definedName name="companyname" localSheetId="41">#REF!</definedName>
    <definedName name="companyname" localSheetId="43">#REF!</definedName>
    <definedName name="companyname" localSheetId="45">#REF!</definedName>
    <definedName name="companyname" localSheetId="46">#REF!</definedName>
    <definedName name="companyname" localSheetId="50">#REF!</definedName>
    <definedName name="companyname" localSheetId="51">#REF!</definedName>
    <definedName name="companyname" localSheetId="47">#REF!</definedName>
    <definedName name="companyname" localSheetId="36">#REF!</definedName>
    <definedName name="companyname" localSheetId="49">#REF!</definedName>
    <definedName name="companyname" localSheetId="40">#REF!</definedName>
    <definedName name="companyname" localSheetId="42">#REF!</definedName>
    <definedName name="companyname" localSheetId="37">#REF!</definedName>
    <definedName name="companyname" localSheetId="53">#REF!</definedName>
    <definedName name="companyname" localSheetId="5">#REF!</definedName>
    <definedName name="companyname" localSheetId="9">#REF!</definedName>
    <definedName name="companyname" localSheetId="10">#REF!</definedName>
    <definedName name="companyname" localSheetId="3">#REF!</definedName>
    <definedName name="companyname" localSheetId="61">#REF!</definedName>
    <definedName name="companyname" localSheetId="62">#REF!</definedName>
    <definedName name="companyname" localSheetId="8">#REF!</definedName>
    <definedName name="companyname" localSheetId="59">#REF!</definedName>
    <definedName name="companyname" localSheetId="60">#REF!</definedName>
    <definedName name="companyname" localSheetId="63">#REF!</definedName>
    <definedName name="companyname" localSheetId="32">#REF!</definedName>
    <definedName name="companyname" localSheetId="34">#REF!</definedName>
    <definedName name="companyname" localSheetId="22">#REF!</definedName>
    <definedName name="companyname" localSheetId="25">#REF!</definedName>
    <definedName name="companyname" localSheetId="28">#REF!</definedName>
    <definedName name="companyname" localSheetId="30">#REF!</definedName>
    <definedName name="companyname" localSheetId="71">#REF!</definedName>
    <definedName name="companyname" localSheetId="72">#REF!</definedName>
    <definedName name="companyname" localSheetId="76">#REF!</definedName>
    <definedName name="companyname">#REF!</definedName>
    <definedName name="connectfees">'[1]Commission Worksheet'!$C$41</definedName>
    <definedName name="contactname" localSheetId="66">#REF!</definedName>
    <definedName name="contactname" localSheetId="67">#REF!</definedName>
    <definedName name="contactname" localSheetId="68">#REF!</definedName>
    <definedName name="contactname" localSheetId="23">#REF!</definedName>
    <definedName name="contactname" localSheetId="26">#REF!</definedName>
    <definedName name="contactname" localSheetId="31">#REF!</definedName>
    <definedName name="contactname" localSheetId="29">#REF!</definedName>
    <definedName name="contactname" localSheetId="33">#REF!</definedName>
    <definedName name="contactname" localSheetId="35">#REF!</definedName>
    <definedName name="contactname" localSheetId="52">#REF!</definedName>
    <definedName name="contactname" localSheetId="64">#REF!</definedName>
    <definedName name="contactname" localSheetId="65">#REF!</definedName>
    <definedName name="contactname" localSheetId="39">#REF!</definedName>
    <definedName name="contactname" localSheetId="48">#REF!</definedName>
    <definedName name="contactname" localSheetId="41">#REF!</definedName>
    <definedName name="contactname" localSheetId="43">#REF!</definedName>
    <definedName name="contactname" localSheetId="45">#REF!</definedName>
    <definedName name="contactname" localSheetId="46">#REF!</definedName>
    <definedName name="contactname" localSheetId="50">#REF!</definedName>
    <definedName name="contactname" localSheetId="51">#REF!</definedName>
    <definedName name="contactname" localSheetId="47">#REF!</definedName>
    <definedName name="contactname" localSheetId="36">#REF!</definedName>
    <definedName name="contactname" localSheetId="49">#REF!</definedName>
    <definedName name="contactname" localSheetId="40">#REF!</definedName>
    <definedName name="contactname" localSheetId="42">#REF!</definedName>
    <definedName name="contactname" localSheetId="37">#REF!</definedName>
    <definedName name="contactname" localSheetId="53">#REF!</definedName>
    <definedName name="contactname" localSheetId="5">#REF!</definedName>
    <definedName name="contactname" localSheetId="9">#REF!</definedName>
    <definedName name="contactname" localSheetId="10">#REF!</definedName>
    <definedName name="contactname" localSheetId="3">#REF!</definedName>
    <definedName name="contactname" localSheetId="61">#REF!</definedName>
    <definedName name="contactname" localSheetId="62">#REF!</definedName>
    <definedName name="contactname" localSheetId="8">#REF!</definedName>
    <definedName name="contactname" localSheetId="59">#REF!</definedName>
    <definedName name="contactname" localSheetId="60">#REF!</definedName>
    <definedName name="contactname" localSheetId="63">#REF!</definedName>
    <definedName name="contactname" localSheetId="32">#REF!</definedName>
    <definedName name="contactname" localSheetId="34">#REF!</definedName>
    <definedName name="contactname" localSheetId="22">#REF!</definedName>
    <definedName name="contactname" localSheetId="25">#REF!</definedName>
    <definedName name="contactname" localSheetId="28">#REF!</definedName>
    <definedName name="contactname" localSheetId="30">#REF!</definedName>
    <definedName name="contactname" localSheetId="71">#REF!</definedName>
    <definedName name="contactname" localSheetId="72">#REF!</definedName>
    <definedName name="contactname" localSheetId="76">#REF!</definedName>
    <definedName name="contactname">#REF!</definedName>
    <definedName name="cvolume2" localSheetId="66">#REF!</definedName>
    <definedName name="cvolume2" localSheetId="67">#REF!</definedName>
    <definedName name="cvolume2" localSheetId="68">#REF!</definedName>
    <definedName name="cvolume2" localSheetId="23">#REF!</definedName>
    <definedName name="cvolume2" localSheetId="26">#REF!</definedName>
    <definedName name="cvolume2" localSheetId="31">#REF!</definedName>
    <definedName name="cvolume2" localSheetId="29">#REF!</definedName>
    <definedName name="cvolume2" localSheetId="33">#REF!</definedName>
    <definedName name="cvolume2" localSheetId="35">#REF!</definedName>
    <definedName name="cvolume2" localSheetId="52">#REF!</definedName>
    <definedName name="cvolume2" localSheetId="64">#REF!</definedName>
    <definedName name="cvolume2" localSheetId="65">#REF!</definedName>
    <definedName name="cvolume2" localSheetId="39">#REF!</definedName>
    <definedName name="cvolume2" localSheetId="48">#REF!</definedName>
    <definedName name="cvolume2" localSheetId="41">#REF!</definedName>
    <definedName name="cvolume2" localSheetId="43">#REF!</definedName>
    <definedName name="cvolume2" localSheetId="45">#REF!</definedName>
    <definedName name="cvolume2" localSheetId="46">#REF!</definedName>
    <definedName name="cvolume2" localSheetId="50">#REF!</definedName>
    <definedName name="cvolume2" localSheetId="51">#REF!</definedName>
    <definedName name="cvolume2" localSheetId="47">#REF!</definedName>
    <definedName name="cvolume2" localSheetId="36">#REF!</definedName>
    <definedName name="cvolume2" localSheetId="49">#REF!</definedName>
    <definedName name="cvolume2" localSheetId="40">#REF!</definedName>
    <definedName name="cvolume2" localSheetId="42">#REF!</definedName>
    <definedName name="cvolume2" localSheetId="37">#REF!</definedName>
    <definedName name="cvolume2" localSheetId="53">#REF!</definedName>
    <definedName name="cvolume2" localSheetId="5">#REF!</definedName>
    <definedName name="cvolume2" localSheetId="9">#REF!</definedName>
    <definedName name="cvolume2" localSheetId="10">#REF!</definedName>
    <definedName name="cvolume2" localSheetId="3">#REF!</definedName>
    <definedName name="cvolume2" localSheetId="61">#REF!</definedName>
    <definedName name="cvolume2" localSheetId="62">#REF!</definedName>
    <definedName name="cvolume2" localSheetId="8">#REF!</definedName>
    <definedName name="cvolume2" localSheetId="59">#REF!</definedName>
    <definedName name="cvolume2" localSheetId="60">#REF!</definedName>
    <definedName name="cvolume2" localSheetId="63">#REF!</definedName>
    <definedName name="cvolume2" localSheetId="32">#REF!</definedName>
    <definedName name="cvolume2" localSheetId="34">#REF!</definedName>
    <definedName name="cvolume2" localSheetId="22">#REF!</definedName>
    <definedName name="cvolume2" localSheetId="25">#REF!</definedName>
    <definedName name="cvolume2" localSheetId="28">#REF!</definedName>
    <definedName name="cvolume2" localSheetId="30">#REF!</definedName>
    <definedName name="cvolume2" localSheetId="71">#REF!</definedName>
    <definedName name="cvolume2" localSheetId="72">#REF!</definedName>
    <definedName name="cvolume2" localSheetId="76">#REF!</definedName>
    <definedName name="cvolume2">#REF!</definedName>
    <definedName name="Description" localSheetId="66">#REF!</definedName>
    <definedName name="Description" localSheetId="67">#REF!</definedName>
    <definedName name="Description" localSheetId="68">#REF!</definedName>
    <definedName name="Description" localSheetId="23">#REF!</definedName>
    <definedName name="Description" localSheetId="26">#REF!</definedName>
    <definedName name="Description" localSheetId="31">#REF!</definedName>
    <definedName name="Description" localSheetId="29">#REF!</definedName>
    <definedName name="Description" localSheetId="33">#REF!</definedName>
    <definedName name="Description" localSheetId="35">#REF!</definedName>
    <definedName name="Description" localSheetId="52">#REF!</definedName>
    <definedName name="Description" localSheetId="64">#REF!</definedName>
    <definedName name="Description" localSheetId="65">#REF!</definedName>
    <definedName name="Description" localSheetId="39">#REF!</definedName>
    <definedName name="Description" localSheetId="48">#REF!</definedName>
    <definedName name="Description" localSheetId="41">#REF!</definedName>
    <definedName name="Description" localSheetId="43">#REF!</definedName>
    <definedName name="Description" localSheetId="45">#REF!</definedName>
    <definedName name="Description" localSheetId="46">#REF!</definedName>
    <definedName name="Description" localSheetId="50">#REF!</definedName>
    <definedName name="Description" localSheetId="51">#REF!</definedName>
    <definedName name="Description" localSheetId="47">#REF!</definedName>
    <definedName name="Description" localSheetId="36">#REF!</definedName>
    <definedName name="Description" localSheetId="49">#REF!</definedName>
    <definedName name="Description" localSheetId="40">#REF!</definedName>
    <definedName name="Description" localSheetId="42">#REF!</definedName>
    <definedName name="Description" localSheetId="37">#REF!</definedName>
    <definedName name="Description" localSheetId="53">#REF!</definedName>
    <definedName name="Description" localSheetId="5">#REF!</definedName>
    <definedName name="Description" localSheetId="9">#REF!</definedName>
    <definedName name="Description" localSheetId="10">#REF!</definedName>
    <definedName name="Description" localSheetId="3">#REF!</definedName>
    <definedName name="Description" localSheetId="61">#REF!</definedName>
    <definedName name="Description" localSheetId="62">#REF!</definedName>
    <definedName name="Description" localSheetId="8">#REF!</definedName>
    <definedName name="Description" localSheetId="59">#REF!</definedName>
    <definedName name="Description" localSheetId="60">#REF!</definedName>
    <definedName name="Description" localSheetId="63">#REF!</definedName>
    <definedName name="Description" localSheetId="32">#REF!</definedName>
    <definedName name="Description" localSheetId="34">#REF!</definedName>
    <definedName name="Description" localSheetId="22">#REF!</definedName>
    <definedName name="Description" localSheetId="25">#REF!</definedName>
    <definedName name="Description" localSheetId="28">#REF!</definedName>
    <definedName name="Description" localSheetId="30">#REF!</definedName>
    <definedName name="Description" localSheetId="71">#REF!</definedName>
    <definedName name="Description" localSheetId="72">#REF!</definedName>
    <definedName name="Description" localSheetId="76">#REF!</definedName>
    <definedName name="Description">#REF!</definedName>
    <definedName name="emailname" localSheetId="66">#REF!</definedName>
    <definedName name="emailname" localSheetId="67">#REF!</definedName>
    <definedName name="emailname" localSheetId="68">#REF!</definedName>
    <definedName name="emailname" localSheetId="23">#REF!</definedName>
    <definedName name="emailname" localSheetId="26">#REF!</definedName>
    <definedName name="emailname" localSheetId="31">#REF!</definedName>
    <definedName name="emailname" localSheetId="29">#REF!</definedName>
    <definedName name="emailname" localSheetId="33">#REF!</definedName>
    <definedName name="emailname" localSheetId="35">#REF!</definedName>
    <definedName name="emailname" localSheetId="52">#REF!</definedName>
    <definedName name="emailname" localSheetId="64">#REF!</definedName>
    <definedName name="emailname" localSheetId="65">#REF!</definedName>
    <definedName name="emailname" localSheetId="39">#REF!</definedName>
    <definedName name="emailname" localSheetId="48">#REF!</definedName>
    <definedName name="emailname" localSheetId="41">#REF!</definedName>
    <definedName name="emailname" localSheetId="43">#REF!</definedName>
    <definedName name="emailname" localSheetId="45">#REF!</definedName>
    <definedName name="emailname" localSheetId="46">#REF!</definedName>
    <definedName name="emailname" localSheetId="50">#REF!</definedName>
    <definedName name="emailname" localSheetId="51">#REF!</definedName>
    <definedName name="emailname" localSheetId="47">#REF!</definedName>
    <definedName name="emailname" localSheetId="36">#REF!</definedName>
    <definedName name="emailname" localSheetId="49">#REF!</definedName>
    <definedName name="emailname" localSheetId="40">#REF!</definedName>
    <definedName name="emailname" localSheetId="42">#REF!</definedName>
    <definedName name="emailname" localSheetId="37">#REF!</definedName>
    <definedName name="emailname" localSheetId="53">#REF!</definedName>
    <definedName name="emailname" localSheetId="5">#REF!</definedName>
    <definedName name="emailname" localSheetId="9">#REF!</definedName>
    <definedName name="emailname" localSheetId="10">#REF!</definedName>
    <definedName name="emailname" localSheetId="3">#REF!</definedName>
    <definedName name="emailname" localSheetId="61">#REF!</definedName>
    <definedName name="emailname" localSheetId="62">#REF!</definedName>
    <definedName name="emailname" localSheetId="8">#REF!</definedName>
    <definedName name="emailname" localSheetId="59">#REF!</definedName>
    <definedName name="emailname" localSheetId="60">#REF!</definedName>
    <definedName name="emailname" localSheetId="63">#REF!</definedName>
    <definedName name="emailname" localSheetId="32">#REF!</definedName>
    <definedName name="emailname" localSheetId="34">#REF!</definedName>
    <definedName name="emailname" localSheetId="22">#REF!</definedName>
    <definedName name="emailname" localSheetId="25">#REF!</definedName>
    <definedName name="emailname" localSheetId="28">#REF!</definedName>
    <definedName name="emailname" localSheetId="30">#REF!</definedName>
    <definedName name="emailname" localSheetId="71">#REF!</definedName>
    <definedName name="emailname" localSheetId="72">#REF!</definedName>
    <definedName name="emailname" localSheetId="76">#REF!</definedName>
    <definedName name="emailname">#REF!</definedName>
    <definedName name="faxnumber" localSheetId="66">#REF!</definedName>
    <definedName name="faxnumber" localSheetId="67">#REF!</definedName>
    <definedName name="faxnumber" localSheetId="68">#REF!</definedName>
    <definedName name="faxnumber" localSheetId="23">#REF!</definedName>
    <definedName name="faxnumber" localSheetId="26">#REF!</definedName>
    <definedName name="faxnumber" localSheetId="31">#REF!</definedName>
    <definedName name="faxnumber" localSheetId="29">#REF!</definedName>
    <definedName name="faxnumber" localSheetId="33">#REF!</definedName>
    <definedName name="faxnumber" localSheetId="35">#REF!</definedName>
    <definedName name="faxnumber" localSheetId="52">#REF!</definedName>
    <definedName name="faxnumber" localSheetId="64">#REF!</definedName>
    <definedName name="faxnumber" localSheetId="65">#REF!</definedName>
    <definedName name="faxnumber" localSheetId="39">#REF!</definedName>
    <definedName name="faxnumber" localSheetId="48">#REF!</definedName>
    <definedName name="faxnumber" localSheetId="41">#REF!</definedName>
    <definedName name="faxnumber" localSheetId="43">#REF!</definedName>
    <definedName name="faxnumber" localSheetId="45">#REF!</definedName>
    <definedName name="faxnumber" localSheetId="46">#REF!</definedName>
    <definedName name="faxnumber" localSheetId="50">#REF!</definedName>
    <definedName name="faxnumber" localSheetId="51">#REF!</definedName>
    <definedName name="faxnumber" localSheetId="47">#REF!</definedName>
    <definedName name="faxnumber" localSheetId="36">#REF!</definedName>
    <definedName name="faxnumber" localSheetId="49">#REF!</definedName>
    <definedName name="faxnumber" localSheetId="40">#REF!</definedName>
    <definedName name="faxnumber" localSheetId="42">#REF!</definedName>
    <definedName name="faxnumber" localSheetId="37">#REF!</definedName>
    <definedName name="faxnumber" localSheetId="53">#REF!</definedName>
    <definedName name="faxnumber" localSheetId="5">#REF!</definedName>
    <definedName name="faxnumber" localSheetId="9">#REF!</definedName>
    <definedName name="faxnumber" localSheetId="10">#REF!</definedName>
    <definedName name="faxnumber" localSheetId="3">#REF!</definedName>
    <definedName name="faxnumber" localSheetId="61">#REF!</definedName>
    <definedName name="faxnumber" localSheetId="62">#REF!</definedName>
    <definedName name="faxnumber" localSheetId="8">#REF!</definedName>
    <definedName name="faxnumber" localSheetId="59">#REF!</definedName>
    <definedName name="faxnumber" localSheetId="60">#REF!</definedName>
    <definedName name="faxnumber" localSheetId="63">#REF!</definedName>
    <definedName name="faxnumber" localSheetId="32">#REF!</definedName>
    <definedName name="faxnumber" localSheetId="34">#REF!</definedName>
    <definedName name="faxnumber" localSheetId="22">#REF!</definedName>
    <definedName name="faxnumber" localSheetId="25">#REF!</definedName>
    <definedName name="faxnumber" localSheetId="28">#REF!</definedName>
    <definedName name="faxnumber" localSheetId="30">#REF!</definedName>
    <definedName name="faxnumber" localSheetId="71">#REF!</definedName>
    <definedName name="faxnumber" localSheetId="72">#REF!</definedName>
    <definedName name="faxnumber" localSheetId="76">#REF!</definedName>
    <definedName name="faxnumber">#REF!</definedName>
    <definedName name="k" localSheetId="66">#REF!</definedName>
    <definedName name="k" localSheetId="68">#REF!</definedName>
    <definedName name="k" localSheetId="23">#REF!</definedName>
    <definedName name="k" localSheetId="26">#REF!</definedName>
    <definedName name="k" localSheetId="31">#REF!</definedName>
    <definedName name="k" localSheetId="29">#REF!</definedName>
    <definedName name="k" localSheetId="33">#REF!</definedName>
    <definedName name="k" localSheetId="35">#REF!</definedName>
    <definedName name="k" localSheetId="52">#REF!</definedName>
    <definedName name="k" localSheetId="64">#REF!</definedName>
    <definedName name="k" localSheetId="65">#REF!</definedName>
    <definedName name="k" localSheetId="39">#REF!</definedName>
    <definedName name="k" localSheetId="48">#REF!</definedName>
    <definedName name="k" localSheetId="41">#REF!</definedName>
    <definedName name="k" localSheetId="43">#REF!</definedName>
    <definedName name="k" localSheetId="45">#REF!</definedName>
    <definedName name="k" localSheetId="46">#REF!</definedName>
    <definedName name="k" localSheetId="50">#REF!</definedName>
    <definedName name="k" localSheetId="51">#REF!</definedName>
    <definedName name="k" localSheetId="47">#REF!</definedName>
    <definedName name="k" localSheetId="36">#REF!</definedName>
    <definedName name="k" localSheetId="49">#REF!</definedName>
    <definedName name="k" localSheetId="40">#REF!</definedName>
    <definedName name="k" localSheetId="42">#REF!</definedName>
    <definedName name="k" localSheetId="37">#REF!</definedName>
    <definedName name="k" localSheetId="53">#REF!</definedName>
    <definedName name="k" localSheetId="9">#REF!</definedName>
    <definedName name="k" localSheetId="61">#REF!</definedName>
    <definedName name="k" localSheetId="62">#REF!</definedName>
    <definedName name="k" localSheetId="8">#REF!</definedName>
    <definedName name="k" localSheetId="60">#REF!</definedName>
    <definedName name="k" localSheetId="63">#REF!</definedName>
    <definedName name="k" localSheetId="32">#REF!</definedName>
    <definedName name="k" localSheetId="34">#REF!</definedName>
    <definedName name="k" localSheetId="22">#REF!</definedName>
    <definedName name="k" localSheetId="25">#REF!</definedName>
    <definedName name="k" localSheetId="28">#REF!</definedName>
    <definedName name="k" localSheetId="30">#REF!</definedName>
    <definedName name="k" localSheetId="76">#REF!</definedName>
    <definedName name="k">#REF!</definedName>
    <definedName name="modelnum" localSheetId="66">#REF!</definedName>
    <definedName name="modelnum" localSheetId="67">#REF!</definedName>
    <definedName name="modelnum" localSheetId="68">#REF!</definedName>
    <definedName name="modelnum" localSheetId="23">#REF!</definedName>
    <definedName name="modelnum" localSheetId="26">#REF!</definedName>
    <definedName name="modelnum" localSheetId="31">#REF!</definedName>
    <definedName name="modelnum" localSheetId="29">#REF!</definedName>
    <definedName name="modelnum" localSheetId="33">#REF!</definedName>
    <definedName name="modelnum" localSheetId="35">#REF!</definedName>
    <definedName name="modelnum" localSheetId="52">#REF!</definedName>
    <definedName name="modelnum" localSheetId="64">#REF!</definedName>
    <definedName name="modelnum" localSheetId="65">#REF!</definedName>
    <definedName name="modelnum" localSheetId="39">#REF!</definedName>
    <definedName name="modelnum" localSheetId="48">#REF!</definedName>
    <definedName name="modelnum" localSheetId="41">#REF!</definedName>
    <definedName name="modelnum" localSheetId="43">#REF!</definedName>
    <definedName name="modelnum" localSheetId="45">#REF!</definedName>
    <definedName name="modelnum" localSheetId="46">#REF!</definedName>
    <definedName name="modelnum" localSheetId="50">#REF!</definedName>
    <definedName name="modelnum" localSheetId="51">#REF!</definedName>
    <definedName name="modelnum" localSheetId="47">#REF!</definedName>
    <definedName name="modelnum" localSheetId="36">#REF!</definedName>
    <definedName name="modelnum" localSheetId="49">#REF!</definedName>
    <definedName name="modelnum" localSheetId="40">#REF!</definedName>
    <definedName name="modelnum" localSheetId="42">#REF!</definedName>
    <definedName name="modelnum" localSheetId="37">#REF!</definedName>
    <definedName name="modelnum" localSheetId="53">#REF!</definedName>
    <definedName name="modelnum" localSheetId="5">#REF!</definedName>
    <definedName name="modelnum" localSheetId="9">#REF!</definedName>
    <definedName name="modelnum" localSheetId="10">#REF!</definedName>
    <definedName name="modelnum" localSheetId="3">#REF!</definedName>
    <definedName name="modelnum" localSheetId="61">#REF!</definedName>
    <definedName name="modelnum" localSheetId="62">#REF!</definedName>
    <definedName name="modelnum" localSheetId="8">#REF!</definedName>
    <definedName name="modelnum" localSheetId="59">#REF!</definedName>
    <definedName name="modelnum" localSheetId="60">#REF!</definedName>
    <definedName name="modelnum" localSheetId="63">#REF!</definedName>
    <definedName name="modelnum" localSheetId="32">#REF!</definedName>
    <definedName name="modelnum" localSheetId="34">#REF!</definedName>
    <definedName name="modelnum" localSheetId="22">#REF!</definedName>
    <definedName name="modelnum" localSheetId="25">#REF!</definedName>
    <definedName name="modelnum" localSheetId="28">#REF!</definedName>
    <definedName name="modelnum" localSheetId="30">#REF!</definedName>
    <definedName name="modelnum" localSheetId="71">#REF!</definedName>
    <definedName name="modelnum" localSheetId="72">#REF!</definedName>
    <definedName name="modelnum" localSheetId="76">#REF!</definedName>
    <definedName name="modelnum">#REF!</definedName>
    <definedName name="overage" localSheetId="66">#REF!</definedName>
    <definedName name="overage" localSheetId="67">#REF!</definedName>
    <definedName name="overage" localSheetId="68">#REF!</definedName>
    <definedName name="overage" localSheetId="23">#REF!</definedName>
    <definedName name="overage" localSheetId="26">#REF!</definedName>
    <definedName name="overage" localSheetId="31">#REF!</definedName>
    <definedName name="overage" localSheetId="29">#REF!</definedName>
    <definedName name="overage" localSheetId="33">#REF!</definedName>
    <definedName name="overage" localSheetId="35">#REF!</definedName>
    <definedName name="overage" localSheetId="52">#REF!</definedName>
    <definedName name="overage" localSheetId="64">#REF!</definedName>
    <definedName name="overage" localSheetId="65">#REF!</definedName>
    <definedName name="overage" localSheetId="39">#REF!</definedName>
    <definedName name="overage" localSheetId="48">#REF!</definedName>
    <definedName name="overage" localSheetId="41">#REF!</definedName>
    <definedName name="overage" localSheetId="43">#REF!</definedName>
    <definedName name="overage" localSheetId="45">#REF!</definedName>
    <definedName name="overage" localSheetId="46">#REF!</definedName>
    <definedName name="overage" localSheetId="50">#REF!</definedName>
    <definedName name="overage" localSheetId="51">#REF!</definedName>
    <definedName name="overage" localSheetId="47">#REF!</definedName>
    <definedName name="overage" localSheetId="36">#REF!</definedName>
    <definedName name="overage" localSheetId="49">#REF!</definedName>
    <definedName name="overage" localSheetId="40">#REF!</definedName>
    <definedName name="overage" localSheetId="42">#REF!</definedName>
    <definedName name="overage" localSheetId="37">#REF!</definedName>
    <definedName name="overage" localSheetId="53">#REF!</definedName>
    <definedName name="overage" localSheetId="5">#REF!</definedName>
    <definedName name="overage" localSheetId="9">#REF!</definedName>
    <definedName name="overage" localSheetId="10">#REF!</definedName>
    <definedName name="overage" localSheetId="3">#REF!</definedName>
    <definedName name="overage" localSheetId="61">#REF!</definedName>
    <definedName name="overage" localSheetId="62">#REF!</definedName>
    <definedName name="overage" localSheetId="8">#REF!</definedName>
    <definedName name="overage" localSheetId="59">#REF!</definedName>
    <definedName name="overage" localSheetId="60">#REF!</definedName>
    <definedName name="overage" localSheetId="63">#REF!</definedName>
    <definedName name="overage" localSheetId="32">#REF!</definedName>
    <definedName name="overage" localSheetId="34">#REF!</definedName>
    <definedName name="overage" localSheetId="22">#REF!</definedName>
    <definedName name="overage" localSheetId="25">#REF!</definedName>
    <definedName name="overage" localSheetId="28">#REF!</definedName>
    <definedName name="overage" localSheetId="30">#REF!</definedName>
    <definedName name="overage" localSheetId="71">#REF!</definedName>
    <definedName name="overage" localSheetId="72">#REF!</definedName>
    <definedName name="overage" localSheetId="76">#REF!</definedName>
    <definedName name="overage">#REF!</definedName>
    <definedName name="postalcode" localSheetId="66">#REF!</definedName>
    <definedName name="postalcode" localSheetId="67">#REF!</definedName>
    <definedName name="postalcode" localSheetId="68">#REF!</definedName>
    <definedName name="postalcode" localSheetId="23">#REF!</definedName>
    <definedName name="postalcode" localSheetId="26">#REF!</definedName>
    <definedName name="postalcode" localSheetId="31">#REF!</definedName>
    <definedName name="postalcode" localSheetId="29">#REF!</definedName>
    <definedName name="postalcode" localSheetId="33">#REF!</definedName>
    <definedName name="postalcode" localSheetId="35">#REF!</definedName>
    <definedName name="postalcode" localSheetId="52">#REF!</definedName>
    <definedName name="postalcode" localSheetId="64">#REF!</definedName>
    <definedName name="postalcode" localSheetId="65">#REF!</definedName>
    <definedName name="postalcode" localSheetId="39">#REF!</definedName>
    <definedName name="postalcode" localSheetId="48">#REF!</definedName>
    <definedName name="postalcode" localSheetId="41">#REF!</definedName>
    <definedName name="postalcode" localSheetId="43">#REF!</definedName>
    <definedName name="postalcode" localSheetId="45">#REF!</definedName>
    <definedName name="postalcode" localSheetId="46">#REF!</definedName>
    <definedName name="postalcode" localSheetId="50">#REF!</definedName>
    <definedName name="postalcode" localSheetId="51">#REF!</definedName>
    <definedName name="postalcode" localSheetId="47">#REF!</definedName>
    <definedName name="postalcode" localSheetId="36">#REF!</definedName>
    <definedName name="postalcode" localSheetId="49">#REF!</definedName>
    <definedName name="postalcode" localSheetId="40">#REF!</definedName>
    <definedName name="postalcode" localSheetId="42">#REF!</definedName>
    <definedName name="postalcode" localSheetId="37">#REF!</definedName>
    <definedName name="postalcode" localSheetId="53">#REF!</definedName>
    <definedName name="postalcode" localSheetId="5">#REF!</definedName>
    <definedName name="postalcode" localSheetId="9">#REF!</definedName>
    <definedName name="postalcode" localSheetId="10">#REF!</definedName>
    <definedName name="postalcode" localSheetId="3">#REF!</definedName>
    <definedName name="postalcode" localSheetId="61">#REF!</definedName>
    <definedName name="postalcode" localSheetId="62">#REF!</definedName>
    <definedName name="postalcode" localSheetId="8">#REF!</definedName>
    <definedName name="postalcode" localSheetId="59">#REF!</definedName>
    <definedName name="postalcode" localSheetId="60">#REF!</definedName>
    <definedName name="postalcode" localSheetId="63">#REF!</definedName>
    <definedName name="postalcode" localSheetId="32">#REF!</definedName>
    <definedName name="postalcode" localSheetId="34">#REF!</definedName>
    <definedName name="postalcode" localSheetId="22">#REF!</definedName>
    <definedName name="postalcode" localSheetId="25">#REF!</definedName>
    <definedName name="postalcode" localSheetId="28">#REF!</definedName>
    <definedName name="postalcode" localSheetId="30">#REF!</definedName>
    <definedName name="postalcode" localSheetId="71">#REF!</definedName>
    <definedName name="postalcode" localSheetId="72">#REF!</definedName>
    <definedName name="postalcode" localSheetId="76">#REF!</definedName>
    <definedName name="postalcode">#REF!</definedName>
    <definedName name="preparedby" localSheetId="66">#REF!</definedName>
    <definedName name="preparedby" localSheetId="67">#REF!</definedName>
    <definedName name="preparedby" localSheetId="68">#REF!</definedName>
    <definedName name="preparedby" localSheetId="23">#REF!</definedName>
    <definedName name="preparedby" localSheetId="26">#REF!</definedName>
    <definedName name="preparedby" localSheetId="31">#REF!</definedName>
    <definedName name="preparedby" localSheetId="29">#REF!</definedName>
    <definedName name="preparedby" localSheetId="33">#REF!</definedName>
    <definedName name="preparedby" localSheetId="35">#REF!</definedName>
    <definedName name="preparedby" localSheetId="52">#REF!</definedName>
    <definedName name="preparedby" localSheetId="64">#REF!</definedName>
    <definedName name="preparedby" localSheetId="65">#REF!</definedName>
    <definedName name="preparedby" localSheetId="39">#REF!</definedName>
    <definedName name="preparedby" localSheetId="48">#REF!</definedName>
    <definedName name="preparedby" localSheetId="41">#REF!</definedName>
    <definedName name="preparedby" localSheetId="43">#REF!</definedName>
    <definedName name="preparedby" localSheetId="45">#REF!</definedName>
    <definedName name="preparedby" localSheetId="46">#REF!</definedName>
    <definedName name="preparedby" localSheetId="50">#REF!</definedName>
    <definedName name="preparedby" localSheetId="51">#REF!</definedName>
    <definedName name="preparedby" localSheetId="47">#REF!</definedName>
    <definedName name="preparedby" localSheetId="36">#REF!</definedName>
    <definedName name="preparedby" localSheetId="49">#REF!</definedName>
    <definedName name="preparedby" localSheetId="40">#REF!</definedName>
    <definedName name="preparedby" localSheetId="42">#REF!</definedName>
    <definedName name="preparedby" localSheetId="37">#REF!</definedName>
    <definedName name="preparedby" localSheetId="53">#REF!</definedName>
    <definedName name="preparedby" localSheetId="5">#REF!</definedName>
    <definedName name="preparedby" localSheetId="9">#REF!</definedName>
    <definedName name="preparedby" localSheetId="10">#REF!</definedName>
    <definedName name="preparedby" localSheetId="3">#REF!</definedName>
    <definedName name="preparedby" localSheetId="61">#REF!</definedName>
    <definedName name="preparedby" localSheetId="62">#REF!</definedName>
    <definedName name="preparedby" localSheetId="8">#REF!</definedName>
    <definedName name="preparedby" localSheetId="59">#REF!</definedName>
    <definedName name="preparedby" localSheetId="60">#REF!</definedName>
    <definedName name="preparedby" localSheetId="63">#REF!</definedName>
    <definedName name="preparedby" localSheetId="32">#REF!</definedName>
    <definedName name="preparedby" localSheetId="34">#REF!</definedName>
    <definedName name="preparedby" localSheetId="22">#REF!</definedName>
    <definedName name="preparedby" localSheetId="25">#REF!</definedName>
    <definedName name="preparedby" localSheetId="28">#REF!</definedName>
    <definedName name="preparedby" localSheetId="30">#REF!</definedName>
    <definedName name="preparedby" localSheetId="71">#REF!</definedName>
    <definedName name="preparedby" localSheetId="72">#REF!</definedName>
    <definedName name="preparedby" localSheetId="76">#REF!</definedName>
    <definedName name="preparedby">#REF!</definedName>
    <definedName name="_xlnm.Print_Area" localSheetId="66">'HP E58650z Segment #55a-b'!$A$1:$O$63</definedName>
    <definedName name="_xlnm.Print_Area" localSheetId="67">'HP E58650z Segment #56'!$A$1:$O$69</definedName>
    <definedName name="_xlnm.Print_Area" localSheetId="68">'HP E77650z Segment #57'!$A$1:$O$79</definedName>
    <definedName name="_xlnm.Print_Area" localSheetId="23">'HP M102w Segment #24'!$A$1:$K$34</definedName>
    <definedName name="_xlnm.Print_Area" localSheetId="26">'HP M203dw Segment #25'!$A$1:$K$37</definedName>
    <definedName name="_xlnm.Print_Area" localSheetId="31">'HP M254dw Segment #27'!$A$1:$J$39</definedName>
    <definedName name="_xlnm.Print_Area" localSheetId="29">'HP M404n Segment #26 '!$A$1:$K$34</definedName>
    <definedName name="_xlnm.Print_Area" localSheetId="33">'HP M454dn Segment #28'!$A$1:$J$36</definedName>
    <definedName name="_xlnm.Print_Area" localSheetId="35">'HP M555dn Segment #29'!$A$1:$J$55</definedName>
    <definedName name="_xlnm.Print_Area" localSheetId="52">'HP OfficeJet 200 Segment #49'!$A$1:$N$33</definedName>
    <definedName name="_xlnm.Print_Area" localSheetId="64">'HP P57750dw Segment #54'!$A$1:$O$49</definedName>
    <definedName name="_xlnm.Print_Area" localSheetId="65">'HP P57750dw Segment #55'!$A$1:$O$46</definedName>
    <definedName name="_xlnm.Print_Area" localSheetId="39">'HP PWXL 3900 (WF) Segment #40'!$A$1:$Q$38</definedName>
    <definedName name="_xlnm.Print_Area" localSheetId="48">'HP PWXL 4200 (WF) Segment # 47'!$A$1:$Q$33</definedName>
    <definedName name="_xlnm.Print_Area" localSheetId="41">'HP PWXL 4200 (WF) Segment #41'!$A$1:$Q$33</definedName>
    <definedName name="_xlnm.Print_Area" localSheetId="43">'HP PWXL 4600 (WF) Segment # 42'!$A$1:$Q$33</definedName>
    <definedName name="_xlnm.Print_Area" localSheetId="45">'HP PWXL 5100 (WF) Segment # 43'!$A$1:$Q$37</definedName>
    <definedName name="_xlnm.Print_Area" localSheetId="46">'HP SDPRO T1700(WF) Segment # 45'!$A$1:$Q$20</definedName>
    <definedName name="_xlnm.Print_Area" localSheetId="50">'HP T1600 (WF) Segment #48'!$A$1:$Q$16</definedName>
    <definedName name="_xlnm.Print_Area" localSheetId="51">'HP T1600dr (WF) Segment #48'!$A$1:$Q$16</definedName>
    <definedName name="_xlnm.Print_Area" localSheetId="47">'HP T2600dr (WF) Segment  46'!$A$1:$Q$22</definedName>
    <definedName name="_xlnm.Print_Area" localSheetId="36">'KIP 660 Series Segment #30'!$A$1:$N$35</definedName>
    <definedName name="_xlnm.Print_Area" localSheetId="49">'KIP 7171K4 (WF) Segment #48'!$A$1:$Q$28</definedName>
    <definedName name="_xlnm.Print_Area" localSheetId="38">'KIP 7171K6 (WF) Segment #40'!$A$1:$Q$28</definedName>
    <definedName name="_xlnm.Print_Area" localSheetId="40">'KIP 7582 (WF) Segment #41'!$A$1:$Q$27</definedName>
    <definedName name="_xlnm.Print_Area" localSheetId="42">'KIP 7984 (WF) Segment #42'!$A$1:$Q$26</definedName>
    <definedName name="_xlnm.Print_Area" localSheetId="37">'KIP 860 Series Segment #31'!$A$1:$N$24</definedName>
    <definedName name="_xlnm.Print_Area" localSheetId="53">'Konica 2100-PP Segment #50 '!$A$1:$Q$93</definedName>
    <definedName name="_xlnm.Print_Area" localSheetId="5">'Konica 301i-Segment #10 '!$A$1:$O$100</definedName>
    <definedName name="_xlnm.Print_Area" localSheetId="9">'Konica 361i-Segment #12'!$A$1:$O$100</definedName>
    <definedName name="_xlnm.Print_Area" localSheetId="21">'Konica 4000i Segment #24'!$A$1:$K$40</definedName>
    <definedName name="_xlnm.Print_Area" localSheetId="24">'Konica 4000i Segment #25'!$A$1:$K$42</definedName>
    <definedName name="_xlnm.Print_Area" localSheetId="0">'Konica 4020i Segment #7'!$A$1:$O$49</definedName>
    <definedName name="_xlnm.Print_Area" localSheetId="2">'Konica 4051i-Segment #8'!$A$1:$O$73</definedName>
    <definedName name="_xlnm.Print_Area" localSheetId="10">'Konica 451i-Segment #12'!$A$1:$O$102</definedName>
    <definedName name="_xlnm.Print_Area" localSheetId="27">'Konica 4701i Segment #26'!$A$1:$K$57</definedName>
    <definedName name="_xlnm.Print_Area" localSheetId="3">'Konica 4751i-Segment #9'!$A$1:$O$72</definedName>
    <definedName name="_xlnm.Print_Area" localSheetId="1">'Konica 5020i Segment #7'!$A$1:$O$49</definedName>
    <definedName name="_xlnm.Print_Area" localSheetId="12">'Konica 551i-Segment #14'!$A$1:$O$101</definedName>
    <definedName name="_xlnm.Print_Area" localSheetId="17">'Konica 651i-Segment #16'!$A$1:$O$103</definedName>
    <definedName name="_xlnm.Print_Area" localSheetId="54">'Konica 7120-PP Segment #50'!$A$1:$O$153</definedName>
    <definedName name="_xlnm.Print_Area" localSheetId="55">'Konica 7136-PP Segment #50'!$A$1:$Q$153</definedName>
    <definedName name="_xlnm.Print_Area" localSheetId="18">'Konica 751i-Segment #17'!$A$1:$O$97</definedName>
    <definedName name="_xlnm.Print_Area" localSheetId="19">'Konica 850i-Segment #17'!$A$1:$O$91</definedName>
    <definedName name="_xlnm.Print_Area" localSheetId="20">'Konica 950i-Segment #17'!$A$1:$O$94</definedName>
    <definedName name="_xlnm.Print_Area" localSheetId="61">'Konica C12000-PP Segment #51'!$A$1:$Q$144</definedName>
    <definedName name="_xlnm.Print_Area" localSheetId="62">'Konica C14000-PP Segment #51'!$A$1:$Q$144</definedName>
    <definedName name="_xlnm.Print_Area" localSheetId="6">'Konica C251i-Segment #11'!$A$1:$O$106</definedName>
    <definedName name="_xlnm.Print_Area" localSheetId="7">'Konica C301i-Segment #11'!$A$1:$O$106</definedName>
    <definedName name="_xlnm.Print_Area" localSheetId="8">'Konica C3320i-Segment #11'!$A$1:$O$75</definedName>
    <definedName name="_xlnm.Print_Area" localSheetId="11">'Konica C361i-Segment #13'!$A$1:$O$103</definedName>
    <definedName name="_xlnm.Print_Area" localSheetId="56">'Konica C4065-PP Segment #51'!$A$1:$Q$89</definedName>
    <definedName name="_xlnm.Print_Area" localSheetId="57">'Konica C4070-PP Segment #51'!$A$1:$Q$167</definedName>
    <definedName name="_xlnm.Print_Area" localSheetId="58">'Konica C4080-PP Segment #51'!$A$1:$Q$168</definedName>
    <definedName name="_xlnm.Print_Area" localSheetId="60">'Konica C7100-PP Segment #51'!$A$1:$Q$168</definedName>
    <definedName name="_xlnm.Print_Area" localSheetId="63">'Konica Plastics 3D Segment #52'!$A$1:$O$34</definedName>
    <definedName name="_xlnm.Print_Area" localSheetId="32">'Lexmark C4150 Segment #28'!$A$1:$J$46</definedName>
    <definedName name="_xlnm.Print_Area" localSheetId="34">'Lexmark C6160 Segment #29'!$A$1:$J$48</definedName>
    <definedName name="_xlnm.Print_Area" localSheetId="22">'Lexmark m1246 Segment #24'!$A$1:$K$53</definedName>
    <definedName name="_xlnm.Print_Area" localSheetId="25">'Lexmark m3250 Segment #25'!$A$1:$K$58</definedName>
    <definedName name="_xlnm.Print_Area" localSheetId="28">'Lexmark m5255 Segment #26'!$A$1:$K$65</definedName>
    <definedName name="_xlnm.Print_Area" localSheetId="30">'Lexmark xc2235 Segment #27'!$A$1:$J$57</definedName>
    <definedName name="_xlnm.Print_Area" localSheetId="82">'Professional Services'!#REF!</definedName>
    <definedName name="_xlnm.Print_Area" localSheetId="76">'WEB CRD'!#REF!</definedName>
    <definedName name="productnum" localSheetId="66">#REF!</definedName>
    <definedName name="productnum" localSheetId="67">#REF!</definedName>
    <definedName name="productnum" localSheetId="68">#REF!</definedName>
    <definedName name="productnum" localSheetId="23">#REF!</definedName>
    <definedName name="productnum" localSheetId="26">#REF!</definedName>
    <definedName name="productnum" localSheetId="31">#REF!</definedName>
    <definedName name="productnum" localSheetId="29">#REF!</definedName>
    <definedName name="productnum" localSheetId="33">#REF!</definedName>
    <definedName name="productnum" localSheetId="35">#REF!</definedName>
    <definedName name="productnum" localSheetId="52">#REF!</definedName>
    <definedName name="productnum" localSheetId="64">#REF!</definedName>
    <definedName name="productnum" localSheetId="65">#REF!</definedName>
    <definedName name="productnum" localSheetId="39">#REF!</definedName>
    <definedName name="productnum" localSheetId="48">#REF!</definedName>
    <definedName name="productnum" localSheetId="41">#REF!</definedName>
    <definedName name="productnum" localSheetId="43">#REF!</definedName>
    <definedName name="productnum" localSheetId="45">#REF!</definedName>
    <definedName name="productnum" localSheetId="46">#REF!</definedName>
    <definedName name="productnum" localSheetId="50">#REF!</definedName>
    <definedName name="productnum" localSheetId="51">#REF!</definedName>
    <definedName name="productnum" localSheetId="47">#REF!</definedName>
    <definedName name="productnum" localSheetId="36">#REF!</definedName>
    <definedName name="productnum" localSheetId="49">#REF!</definedName>
    <definedName name="productnum" localSheetId="40">#REF!</definedName>
    <definedName name="productnum" localSheetId="42">#REF!</definedName>
    <definedName name="productnum" localSheetId="37">#REF!</definedName>
    <definedName name="productnum" localSheetId="53">#REF!</definedName>
    <definedName name="productnum" localSheetId="5">#REF!</definedName>
    <definedName name="productnum" localSheetId="9">#REF!</definedName>
    <definedName name="productnum" localSheetId="10">#REF!</definedName>
    <definedName name="productnum" localSheetId="3">#REF!</definedName>
    <definedName name="productnum" localSheetId="61">#REF!</definedName>
    <definedName name="productnum" localSheetId="62">#REF!</definedName>
    <definedName name="productnum" localSheetId="8">#REF!</definedName>
    <definedName name="productnum" localSheetId="59">#REF!</definedName>
    <definedName name="productnum" localSheetId="60">#REF!</definedName>
    <definedName name="productnum" localSheetId="63">#REF!</definedName>
    <definedName name="productnum" localSheetId="32">#REF!</definedName>
    <definedName name="productnum" localSheetId="34">#REF!</definedName>
    <definedName name="productnum" localSheetId="22">#REF!</definedName>
    <definedName name="productnum" localSheetId="25">#REF!</definedName>
    <definedName name="productnum" localSheetId="28">#REF!</definedName>
    <definedName name="productnum" localSheetId="30">#REF!</definedName>
    <definedName name="productnum" localSheetId="71">#REF!</definedName>
    <definedName name="productnum" localSheetId="72">#REF!</definedName>
    <definedName name="productnum" localSheetId="76">#REF!</definedName>
    <definedName name="productnum">#REF!</definedName>
    <definedName name="quantity" localSheetId="66">#REF!</definedName>
    <definedName name="quantity" localSheetId="67">#REF!</definedName>
    <definedName name="quantity" localSheetId="68">#REF!</definedName>
    <definedName name="quantity" localSheetId="23">#REF!</definedName>
    <definedName name="quantity" localSheetId="26">#REF!</definedName>
    <definedName name="quantity" localSheetId="31">#REF!</definedName>
    <definedName name="quantity" localSheetId="29">#REF!</definedName>
    <definedName name="quantity" localSheetId="33">#REF!</definedName>
    <definedName name="quantity" localSheetId="35">#REF!</definedName>
    <definedName name="quantity" localSheetId="52">#REF!</definedName>
    <definedName name="quantity" localSheetId="64">#REF!</definedName>
    <definedName name="quantity" localSheetId="65">#REF!</definedName>
    <definedName name="quantity" localSheetId="39">#REF!</definedName>
    <definedName name="quantity" localSheetId="48">#REF!</definedName>
    <definedName name="quantity" localSheetId="41">#REF!</definedName>
    <definedName name="quantity" localSheetId="43">#REF!</definedName>
    <definedName name="quantity" localSheetId="45">#REF!</definedName>
    <definedName name="quantity" localSheetId="46">#REF!</definedName>
    <definedName name="quantity" localSheetId="50">#REF!</definedName>
    <definedName name="quantity" localSheetId="51">#REF!</definedName>
    <definedName name="quantity" localSheetId="47">#REF!</definedName>
    <definedName name="quantity" localSheetId="36">#REF!</definedName>
    <definedName name="quantity" localSheetId="49">#REF!</definedName>
    <definedName name="quantity" localSheetId="40">#REF!</definedName>
    <definedName name="quantity" localSheetId="42">#REF!</definedName>
    <definedName name="quantity" localSheetId="37">#REF!</definedName>
    <definedName name="quantity" localSheetId="53">#REF!</definedName>
    <definedName name="quantity" localSheetId="5">#REF!</definedName>
    <definedName name="quantity" localSheetId="9">#REF!</definedName>
    <definedName name="quantity" localSheetId="10">#REF!</definedName>
    <definedName name="quantity" localSheetId="3">#REF!</definedName>
    <definedName name="quantity" localSheetId="61">#REF!</definedName>
    <definedName name="quantity" localSheetId="62">#REF!</definedName>
    <definedName name="quantity" localSheetId="8">#REF!</definedName>
    <definedName name="quantity" localSheetId="59">#REF!</definedName>
    <definedName name="quantity" localSheetId="60">#REF!</definedName>
    <definedName name="quantity" localSheetId="63">#REF!</definedName>
    <definedName name="quantity" localSheetId="32">#REF!</definedName>
    <definedName name="quantity" localSheetId="34">#REF!</definedName>
    <definedName name="quantity" localSheetId="22">#REF!</definedName>
    <definedName name="quantity" localSheetId="25">#REF!</definedName>
    <definedName name="quantity" localSheetId="28">#REF!</definedName>
    <definedName name="quantity" localSheetId="30">#REF!</definedName>
    <definedName name="quantity" localSheetId="71">#REF!</definedName>
    <definedName name="quantity" localSheetId="72">#REF!</definedName>
    <definedName name="quantity" localSheetId="76">#REF!</definedName>
    <definedName name="quantity">#REF!</definedName>
    <definedName name="Serial_Number" localSheetId="66">#REF!</definedName>
    <definedName name="Serial_Number" localSheetId="67">#REF!</definedName>
    <definedName name="Serial_Number" localSheetId="68">#REF!</definedName>
    <definedName name="Serial_Number" localSheetId="23">#REF!</definedName>
    <definedName name="Serial_Number" localSheetId="26">#REF!</definedName>
    <definedName name="Serial_Number" localSheetId="31">#REF!</definedName>
    <definedName name="Serial_Number" localSheetId="29">#REF!</definedName>
    <definedName name="Serial_Number" localSheetId="33">#REF!</definedName>
    <definedName name="Serial_Number" localSheetId="35">#REF!</definedName>
    <definedName name="Serial_Number" localSheetId="52">#REF!</definedName>
    <definedName name="Serial_Number" localSheetId="64">#REF!</definedName>
    <definedName name="Serial_Number" localSheetId="65">#REF!</definedName>
    <definedName name="Serial_Number" localSheetId="39">#REF!</definedName>
    <definedName name="Serial_Number" localSheetId="48">#REF!</definedName>
    <definedName name="Serial_Number" localSheetId="41">#REF!</definedName>
    <definedName name="Serial_Number" localSheetId="43">#REF!</definedName>
    <definedName name="Serial_Number" localSheetId="45">#REF!</definedName>
    <definedName name="Serial_Number" localSheetId="46">#REF!</definedName>
    <definedName name="Serial_Number" localSheetId="50">#REF!</definedName>
    <definedName name="Serial_Number" localSheetId="51">#REF!</definedName>
    <definedName name="Serial_Number" localSheetId="47">#REF!</definedName>
    <definedName name="Serial_Number" localSheetId="36">#REF!</definedName>
    <definedName name="Serial_Number" localSheetId="49">#REF!</definedName>
    <definedName name="Serial_Number" localSheetId="40">#REF!</definedName>
    <definedName name="Serial_Number" localSheetId="42">#REF!</definedName>
    <definedName name="Serial_Number" localSheetId="37">#REF!</definedName>
    <definedName name="Serial_Number" localSheetId="53">#REF!</definedName>
    <definedName name="Serial_Number" localSheetId="5">#REF!</definedName>
    <definedName name="Serial_Number" localSheetId="9">#REF!</definedName>
    <definedName name="Serial_Number" localSheetId="10">#REF!</definedName>
    <definedName name="Serial_Number" localSheetId="3">#REF!</definedName>
    <definedName name="Serial_Number" localSheetId="61">#REF!</definedName>
    <definedName name="Serial_Number" localSheetId="62">#REF!</definedName>
    <definedName name="Serial_Number" localSheetId="8">#REF!</definedName>
    <definedName name="Serial_Number" localSheetId="59">#REF!</definedName>
    <definedName name="Serial_Number" localSheetId="60">#REF!</definedName>
    <definedName name="Serial_Number" localSheetId="63">#REF!</definedName>
    <definedName name="Serial_Number" localSheetId="32">#REF!</definedName>
    <definedName name="Serial_Number" localSheetId="34">#REF!</definedName>
    <definedName name="Serial_Number" localSheetId="22">#REF!</definedName>
    <definedName name="Serial_Number" localSheetId="25">#REF!</definedName>
    <definedName name="Serial_Number" localSheetId="28">#REF!</definedName>
    <definedName name="Serial_Number" localSheetId="30">#REF!</definedName>
    <definedName name="Serial_Number" localSheetId="71">#REF!</definedName>
    <definedName name="Serial_Number" localSheetId="72">#REF!</definedName>
    <definedName name="Serial_Number" localSheetId="76">#REF!</definedName>
    <definedName name="Serial_Number">#REF!</definedName>
    <definedName name="sku" localSheetId="66">#REF!</definedName>
    <definedName name="sku" localSheetId="67">#REF!</definedName>
    <definedName name="sku" localSheetId="68">#REF!</definedName>
    <definedName name="sku" localSheetId="23">#REF!</definedName>
    <definedName name="sku" localSheetId="26">#REF!</definedName>
    <definedName name="sku" localSheetId="31">#REF!</definedName>
    <definedName name="sku" localSheetId="29">#REF!</definedName>
    <definedName name="sku" localSheetId="33">#REF!</definedName>
    <definedName name="sku" localSheetId="35">#REF!</definedName>
    <definedName name="sku" localSheetId="52">#REF!</definedName>
    <definedName name="sku" localSheetId="64">#REF!</definedName>
    <definedName name="sku" localSheetId="65">#REF!</definedName>
    <definedName name="sku" localSheetId="39">#REF!</definedName>
    <definedName name="sku" localSheetId="48">#REF!</definedName>
    <definedName name="sku" localSheetId="41">#REF!</definedName>
    <definedName name="sku" localSheetId="43">#REF!</definedName>
    <definedName name="sku" localSheetId="45">#REF!</definedName>
    <definedName name="sku" localSheetId="46">#REF!</definedName>
    <definedName name="sku" localSheetId="50">#REF!</definedName>
    <definedName name="sku" localSheetId="51">#REF!</definedName>
    <definedName name="sku" localSheetId="47">#REF!</definedName>
    <definedName name="sku" localSheetId="36">#REF!</definedName>
    <definedName name="sku" localSheetId="49">#REF!</definedName>
    <definedName name="sku" localSheetId="40">#REF!</definedName>
    <definedName name="sku" localSheetId="42">#REF!</definedName>
    <definedName name="sku" localSheetId="37">#REF!</definedName>
    <definedName name="sku" localSheetId="53">#REF!</definedName>
    <definedName name="sku" localSheetId="5">#REF!</definedName>
    <definedName name="sku" localSheetId="9">#REF!</definedName>
    <definedName name="sku" localSheetId="10">#REF!</definedName>
    <definedName name="sku" localSheetId="3">#REF!</definedName>
    <definedName name="sku" localSheetId="61">#REF!</definedName>
    <definedName name="sku" localSheetId="62">#REF!</definedName>
    <definedName name="sku" localSheetId="8">#REF!</definedName>
    <definedName name="sku" localSheetId="59">#REF!</definedName>
    <definedName name="sku" localSheetId="60">#REF!</definedName>
    <definedName name="sku" localSheetId="63">#REF!</definedName>
    <definedName name="sku" localSheetId="32">#REF!</definedName>
    <definedName name="sku" localSheetId="34">#REF!</definedName>
    <definedName name="sku" localSheetId="22">#REF!</definedName>
    <definedName name="sku" localSheetId="25">#REF!</definedName>
    <definedName name="sku" localSheetId="28">#REF!</definedName>
    <definedName name="sku" localSheetId="30">#REF!</definedName>
    <definedName name="sku" localSheetId="71">#REF!</definedName>
    <definedName name="sku" localSheetId="72">#REF!</definedName>
    <definedName name="sku" localSheetId="76">#REF!</definedName>
    <definedName name="sku">#REF!</definedName>
    <definedName name="stateorprovince" localSheetId="66">#REF!</definedName>
    <definedName name="stateorprovince" localSheetId="67">#REF!</definedName>
    <definedName name="stateorprovince" localSheetId="68">#REF!</definedName>
    <definedName name="stateorprovince" localSheetId="23">#REF!</definedName>
    <definedName name="stateorprovince" localSheetId="26">#REF!</definedName>
    <definedName name="stateorprovince" localSheetId="31">#REF!</definedName>
    <definedName name="stateorprovince" localSheetId="29">#REF!</definedName>
    <definedName name="stateorprovince" localSheetId="33">#REF!</definedName>
    <definedName name="stateorprovince" localSheetId="35">#REF!</definedName>
    <definedName name="stateorprovince" localSheetId="52">#REF!</definedName>
    <definedName name="stateorprovince" localSheetId="64">#REF!</definedName>
    <definedName name="stateorprovince" localSheetId="65">#REF!</definedName>
    <definedName name="stateorprovince" localSheetId="39">#REF!</definedName>
    <definedName name="stateorprovince" localSheetId="48">#REF!</definedName>
    <definedName name="stateorprovince" localSheetId="41">#REF!</definedName>
    <definedName name="stateorprovince" localSheetId="43">#REF!</definedName>
    <definedName name="stateorprovince" localSheetId="45">#REF!</definedName>
    <definedName name="stateorprovince" localSheetId="46">#REF!</definedName>
    <definedName name="stateorprovince" localSheetId="50">#REF!</definedName>
    <definedName name="stateorprovince" localSheetId="51">#REF!</definedName>
    <definedName name="stateorprovince" localSheetId="47">#REF!</definedName>
    <definedName name="stateorprovince" localSheetId="36">#REF!</definedName>
    <definedName name="stateorprovince" localSheetId="49">#REF!</definedName>
    <definedName name="stateorprovince" localSheetId="40">#REF!</definedName>
    <definedName name="stateorprovince" localSheetId="42">#REF!</definedName>
    <definedName name="stateorprovince" localSheetId="37">#REF!</definedName>
    <definedName name="stateorprovince" localSheetId="53">#REF!</definedName>
    <definedName name="stateorprovince" localSheetId="5">#REF!</definedName>
    <definedName name="stateorprovince" localSheetId="9">#REF!</definedName>
    <definedName name="stateorprovince" localSheetId="10">#REF!</definedName>
    <definedName name="stateorprovince" localSheetId="3">#REF!</definedName>
    <definedName name="stateorprovince" localSheetId="61">#REF!</definedName>
    <definedName name="stateorprovince" localSheetId="62">#REF!</definedName>
    <definedName name="stateorprovince" localSheetId="8">#REF!</definedName>
    <definedName name="stateorprovince" localSheetId="59">#REF!</definedName>
    <definedName name="stateorprovince" localSheetId="60">#REF!</definedName>
    <definedName name="stateorprovince" localSheetId="63">#REF!</definedName>
    <definedName name="stateorprovince" localSheetId="32">#REF!</definedName>
    <definedName name="stateorprovince" localSheetId="34">#REF!</definedName>
    <definedName name="stateorprovince" localSheetId="22">#REF!</definedName>
    <definedName name="stateorprovince" localSheetId="25">#REF!</definedName>
    <definedName name="stateorprovince" localSheetId="28">#REF!</definedName>
    <definedName name="stateorprovince" localSheetId="30">#REF!</definedName>
    <definedName name="stateorprovince" localSheetId="71">#REF!</definedName>
    <definedName name="stateorprovince" localSheetId="72">#REF!</definedName>
    <definedName name="stateorprovince" localSheetId="76">#REF!</definedName>
    <definedName name="stateorprovince">#REF!</definedName>
    <definedName name="TEST" localSheetId="66">#REF!</definedName>
    <definedName name="TEST" localSheetId="68">#REF!</definedName>
    <definedName name="TEST" localSheetId="23">#REF!</definedName>
    <definedName name="TEST" localSheetId="26">#REF!</definedName>
    <definedName name="TEST" localSheetId="31">#REF!</definedName>
    <definedName name="TEST" localSheetId="29">#REF!</definedName>
    <definedName name="TEST" localSheetId="33">#REF!</definedName>
    <definedName name="TEST" localSheetId="35">#REF!</definedName>
    <definedName name="TEST" localSheetId="52">#REF!</definedName>
    <definedName name="TEST" localSheetId="64">#REF!</definedName>
    <definedName name="TEST" localSheetId="65">#REF!</definedName>
    <definedName name="TEST" localSheetId="39">#REF!</definedName>
    <definedName name="TEST" localSheetId="48">#REF!</definedName>
    <definedName name="TEST" localSheetId="41">#REF!</definedName>
    <definedName name="TEST" localSheetId="43">#REF!</definedName>
    <definedName name="TEST" localSheetId="45">#REF!</definedName>
    <definedName name="TEST" localSheetId="46">#REF!</definedName>
    <definedName name="TEST" localSheetId="50">#REF!</definedName>
    <definedName name="TEST" localSheetId="51">#REF!</definedName>
    <definedName name="TEST" localSheetId="47">#REF!</definedName>
    <definedName name="TEST" localSheetId="36">#REF!</definedName>
    <definedName name="TEST" localSheetId="49">#REF!</definedName>
    <definedName name="TEST" localSheetId="40">#REF!</definedName>
    <definedName name="TEST" localSheetId="42">#REF!</definedName>
    <definedName name="TEST" localSheetId="37">#REF!</definedName>
    <definedName name="TEST" localSheetId="63">#REF!</definedName>
    <definedName name="TEST" localSheetId="32">#REF!</definedName>
    <definedName name="TEST" localSheetId="34">#REF!</definedName>
    <definedName name="TEST" localSheetId="22">#REF!</definedName>
    <definedName name="TEST" localSheetId="25">#REF!</definedName>
    <definedName name="TEST" localSheetId="28">#REF!</definedName>
    <definedName name="TEST" localSheetId="30">#REF!</definedName>
    <definedName name="TEST">#REF!</definedName>
    <definedName name="volume2" localSheetId="66">#REF!</definedName>
    <definedName name="volume2" localSheetId="67">#REF!</definedName>
    <definedName name="volume2" localSheetId="68">#REF!</definedName>
    <definedName name="volume2" localSheetId="23">#REF!</definedName>
    <definedName name="volume2" localSheetId="26">#REF!</definedName>
    <definedName name="volume2" localSheetId="31">#REF!</definedName>
    <definedName name="volume2" localSheetId="29">#REF!</definedName>
    <definedName name="volume2" localSheetId="33">#REF!</definedName>
    <definedName name="volume2" localSheetId="35">#REF!</definedName>
    <definedName name="volume2" localSheetId="52">#REF!</definedName>
    <definedName name="volume2" localSheetId="64">#REF!</definedName>
    <definedName name="volume2" localSheetId="65">#REF!</definedName>
    <definedName name="volume2" localSheetId="39">#REF!</definedName>
    <definedName name="volume2" localSheetId="48">#REF!</definedName>
    <definedName name="volume2" localSheetId="41">#REF!</definedName>
    <definedName name="volume2" localSheetId="43">#REF!</definedName>
    <definedName name="volume2" localSheetId="45">#REF!</definedName>
    <definedName name="volume2" localSheetId="46">#REF!</definedName>
    <definedName name="volume2" localSheetId="50">#REF!</definedName>
    <definedName name="volume2" localSheetId="51">#REF!</definedName>
    <definedName name="volume2" localSheetId="47">#REF!</definedName>
    <definedName name="volume2" localSheetId="36">#REF!</definedName>
    <definedName name="volume2" localSheetId="49">#REF!</definedName>
    <definedName name="volume2" localSheetId="40">#REF!</definedName>
    <definedName name="volume2" localSheetId="42">#REF!</definedName>
    <definedName name="volume2" localSheetId="37">#REF!</definedName>
    <definedName name="volume2" localSheetId="53">#REF!</definedName>
    <definedName name="volume2" localSheetId="5">#REF!</definedName>
    <definedName name="volume2" localSheetId="9">#REF!</definedName>
    <definedName name="volume2" localSheetId="10">#REF!</definedName>
    <definedName name="volume2" localSheetId="3">#REF!</definedName>
    <definedName name="volume2" localSheetId="61">#REF!</definedName>
    <definedName name="volume2" localSheetId="62">#REF!</definedName>
    <definedName name="volume2" localSheetId="8">#REF!</definedName>
    <definedName name="volume2" localSheetId="59">#REF!</definedName>
    <definedName name="volume2" localSheetId="60">#REF!</definedName>
    <definedName name="volume2" localSheetId="63">#REF!</definedName>
    <definedName name="volume2" localSheetId="32">#REF!</definedName>
    <definedName name="volume2" localSheetId="34">#REF!</definedName>
    <definedName name="volume2" localSheetId="22">#REF!</definedName>
    <definedName name="volume2" localSheetId="25">#REF!</definedName>
    <definedName name="volume2" localSheetId="28">#REF!</definedName>
    <definedName name="volume2" localSheetId="30">#REF!</definedName>
    <definedName name="volume2" localSheetId="71">#REF!</definedName>
    <definedName name="volume2" localSheetId="72">#REF!</definedName>
    <definedName name="volume2" localSheetId="76">#REF!</definedName>
    <definedName name="volume2">#REF!</definedName>
    <definedName name="workphone" localSheetId="66">#REF!</definedName>
    <definedName name="workphone" localSheetId="67">#REF!</definedName>
    <definedName name="workphone" localSheetId="68">#REF!</definedName>
    <definedName name="workphone" localSheetId="23">#REF!</definedName>
    <definedName name="workphone" localSheetId="26">#REF!</definedName>
    <definedName name="workphone" localSheetId="31">#REF!</definedName>
    <definedName name="workphone" localSheetId="29">#REF!</definedName>
    <definedName name="workphone" localSheetId="33">#REF!</definedName>
    <definedName name="workphone" localSheetId="35">#REF!</definedName>
    <definedName name="workphone" localSheetId="52">#REF!</definedName>
    <definedName name="workphone" localSheetId="64">#REF!</definedName>
    <definedName name="workphone" localSheetId="65">#REF!</definedName>
    <definedName name="workphone" localSheetId="39">#REF!</definedName>
    <definedName name="workphone" localSheetId="48">#REF!</definedName>
    <definedName name="workphone" localSheetId="41">#REF!</definedName>
    <definedName name="workphone" localSheetId="43">#REF!</definedName>
    <definedName name="workphone" localSheetId="45">#REF!</definedName>
    <definedName name="workphone" localSheetId="46">#REF!</definedName>
    <definedName name="workphone" localSheetId="50">#REF!</definedName>
    <definedName name="workphone" localSheetId="51">#REF!</definedName>
    <definedName name="workphone" localSheetId="47">#REF!</definedName>
    <definedName name="workphone" localSheetId="36">#REF!</definedName>
    <definedName name="workphone" localSheetId="49">#REF!</definedName>
    <definedName name="workphone" localSheetId="40">#REF!</definedName>
    <definedName name="workphone" localSheetId="42">#REF!</definedName>
    <definedName name="workphone" localSheetId="37">#REF!</definedName>
    <definedName name="workphone" localSheetId="53">#REF!</definedName>
    <definedName name="workphone" localSheetId="5">#REF!</definedName>
    <definedName name="workphone" localSheetId="9">#REF!</definedName>
    <definedName name="workphone" localSheetId="10">#REF!</definedName>
    <definedName name="workphone" localSheetId="3">#REF!</definedName>
    <definedName name="workphone" localSheetId="61">#REF!</definedName>
    <definedName name="workphone" localSheetId="62">#REF!</definedName>
    <definedName name="workphone" localSheetId="8">#REF!</definedName>
    <definedName name="workphone" localSheetId="59">#REF!</definedName>
    <definedName name="workphone" localSheetId="60">#REF!</definedName>
    <definedName name="workphone" localSheetId="63">#REF!</definedName>
    <definedName name="workphone" localSheetId="32">#REF!</definedName>
    <definedName name="workphone" localSheetId="34">#REF!</definedName>
    <definedName name="workphone" localSheetId="22">#REF!</definedName>
    <definedName name="workphone" localSheetId="25">#REF!</definedName>
    <definedName name="workphone" localSheetId="28">#REF!</definedName>
    <definedName name="workphone" localSheetId="30">#REF!</definedName>
    <definedName name="workphone" localSheetId="71">#REF!</definedName>
    <definedName name="workphone" localSheetId="72">#REF!</definedName>
    <definedName name="workphone" localSheetId="76">#REF!</definedName>
    <definedName name="workphon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0" i="128" l="1"/>
  <c r="F45" i="128"/>
  <c r="F40" i="128"/>
  <c r="F42" i="145" l="1"/>
  <c r="F39" i="145"/>
  <c r="J48" i="20"/>
  <c r="K48" i="20" s="1"/>
  <c r="J49" i="20"/>
  <c r="K49" i="20"/>
  <c r="J50" i="20"/>
  <c r="K50" i="20" s="1"/>
  <c r="J51" i="20"/>
  <c r="K51" i="20" s="1"/>
  <c r="J52" i="20"/>
  <c r="K52" i="20" s="1"/>
  <c r="G52" i="149"/>
  <c r="F52" i="149"/>
  <c r="H52" i="149" s="1"/>
  <c r="I52" i="149" s="1"/>
  <c r="J35" i="19"/>
  <c r="J34" i="18"/>
  <c r="F37" i="158"/>
  <c r="F39" i="149"/>
  <c r="F43" i="148"/>
  <c r="F39" i="148"/>
  <c r="L52" i="149" l="1"/>
  <c r="M52" i="149" s="1"/>
  <c r="J52" i="149"/>
  <c r="K52" i="149" s="1"/>
  <c r="N52" i="149"/>
  <c r="O52" i="149" s="1"/>
  <c r="F152" i="165"/>
  <c r="P151" i="165"/>
  <c r="Q151" i="165" s="1"/>
  <c r="G151" i="165"/>
  <c r="F151" i="165"/>
  <c r="F150" i="165"/>
  <c r="F149" i="165"/>
  <c r="P148" i="165"/>
  <c r="Q148" i="165" s="1"/>
  <c r="N148" i="165"/>
  <c r="O148" i="165" s="1"/>
  <c r="G148" i="165"/>
  <c r="F148" i="165"/>
  <c r="F147" i="165"/>
  <c r="P147" i="165" s="1"/>
  <c r="Q147" i="165" s="1"/>
  <c r="P146" i="165"/>
  <c r="Q146" i="165" s="1"/>
  <c r="N146" i="165"/>
  <c r="O146" i="165" s="1"/>
  <c r="F146" i="165"/>
  <c r="G145" i="165"/>
  <c r="F145" i="165"/>
  <c r="P144" i="165"/>
  <c r="Q144" i="165" s="1"/>
  <c r="N144" i="165"/>
  <c r="O144" i="165" s="1"/>
  <c r="F144" i="165"/>
  <c r="F143" i="165"/>
  <c r="N143" i="165" s="1"/>
  <c r="O143" i="165" s="1"/>
  <c r="F142" i="165"/>
  <c r="N142" i="165" s="1"/>
  <c r="O142" i="165" s="1"/>
  <c r="P141" i="165"/>
  <c r="Q141" i="165" s="1"/>
  <c r="O141" i="165"/>
  <c r="N141" i="165"/>
  <c r="F141" i="165"/>
  <c r="F140" i="165"/>
  <c r="P139" i="165"/>
  <c r="Q139" i="165" s="1"/>
  <c r="G139" i="165"/>
  <c r="F139" i="165"/>
  <c r="F138" i="165"/>
  <c r="G138" i="165" s="1"/>
  <c r="F137" i="165"/>
  <c r="P136" i="165"/>
  <c r="Q136" i="165" s="1"/>
  <c r="O136" i="165"/>
  <c r="N136" i="165"/>
  <c r="G136" i="165"/>
  <c r="F136" i="165"/>
  <c r="F135" i="165"/>
  <c r="N135" i="165" s="1"/>
  <c r="O135" i="165" s="1"/>
  <c r="P134" i="165"/>
  <c r="Q134" i="165" s="1"/>
  <c r="O134" i="165"/>
  <c r="N134" i="165"/>
  <c r="F134" i="165"/>
  <c r="G133" i="165"/>
  <c r="F133" i="165"/>
  <c r="P132" i="165"/>
  <c r="Q132" i="165" s="1"/>
  <c r="N132" i="165"/>
  <c r="O132" i="165" s="1"/>
  <c r="F132" i="165"/>
  <c r="F131" i="165"/>
  <c r="F130" i="165"/>
  <c r="G130" i="165" s="1"/>
  <c r="P129" i="165"/>
  <c r="Q129" i="165" s="1"/>
  <c r="O129" i="165"/>
  <c r="N129" i="165"/>
  <c r="F129" i="165"/>
  <c r="F128" i="165"/>
  <c r="P127" i="165"/>
  <c r="Q127" i="165" s="1"/>
  <c r="G127" i="165"/>
  <c r="F127" i="165"/>
  <c r="F126" i="165"/>
  <c r="F125" i="165"/>
  <c r="P124" i="165"/>
  <c r="Q124" i="165" s="1"/>
  <c r="N124" i="165"/>
  <c r="O124" i="165" s="1"/>
  <c r="G124" i="165"/>
  <c r="F124" i="165"/>
  <c r="F123" i="165"/>
  <c r="N123" i="165" s="1"/>
  <c r="O123" i="165" s="1"/>
  <c r="P122" i="165"/>
  <c r="Q122" i="165" s="1"/>
  <c r="O122" i="165"/>
  <c r="N122" i="165"/>
  <c r="F122" i="165"/>
  <c r="F121" i="165"/>
  <c r="P120" i="165"/>
  <c r="Q120" i="165" s="1"/>
  <c r="N120" i="165"/>
  <c r="O120" i="165" s="1"/>
  <c r="F120" i="165"/>
  <c r="N119" i="165"/>
  <c r="O119" i="165" s="1"/>
  <c r="F119" i="165"/>
  <c r="F118" i="165"/>
  <c r="N118" i="165" s="1"/>
  <c r="O118" i="165" s="1"/>
  <c r="P117" i="165"/>
  <c r="Q117" i="165" s="1"/>
  <c r="N117" i="165"/>
  <c r="O117" i="165" s="1"/>
  <c r="F117" i="165"/>
  <c r="F116" i="165"/>
  <c r="P115" i="165"/>
  <c r="Q115" i="165" s="1"/>
  <c r="G115" i="165"/>
  <c r="F115" i="165"/>
  <c r="F114" i="165"/>
  <c r="G114" i="165" s="1"/>
  <c r="F113" i="165"/>
  <c r="N113" i="165" s="1"/>
  <c r="O113" i="165" s="1"/>
  <c r="P112" i="165"/>
  <c r="Q112" i="165" s="1"/>
  <c r="N112" i="165"/>
  <c r="O112" i="165" s="1"/>
  <c r="G112" i="165"/>
  <c r="F112" i="165"/>
  <c r="F111" i="165"/>
  <c r="N111" i="165" s="1"/>
  <c r="O111" i="165" s="1"/>
  <c r="Q110" i="165"/>
  <c r="P110" i="165"/>
  <c r="N110" i="165"/>
  <c r="O110" i="165" s="1"/>
  <c r="F110" i="165"/>
  <c r="F109" i="165"/>
  <c r="P108" i="165"/>
  <c r="Q108" i="165" s="1"/>
  <c r="N108" i="165"/>
  <c r="O108" i="165" s="1"/>
  <c r="F108" i="165"/>
  <c r="N107" i="165"/>
  <c r="O107" i="165" s="1"/>
  <c r="F107" i="165"/>
  <c r="G107" i="165" s="1"/>
  <c r="F106" i="165"/>
  <c r="P105" i="165"/>
  <c r="Q105" i="165" s="1"/>
  <c r="N105" i="165"/>
  <c r="O105" i="165" s="1"/>
  <c r="F105" i="165"/>
  <c r="F104" i="165"/>
  <c r="P103" i="165"/>
  <c r="Q103" i="165" s="1"/>
  <c r="G103" i="165"/>
  <c r="F103" i="165"/>
  <c r="F102" i="165"/>
  <c r="F101" i="165"/>
  <c r="G101" i="165" s="1"/>
  <c r="P100" i="165"/>
  <c r="Q100" i="165" s="1"/>
  <c r="N100" i="165"/>
  <c r="O100" i="165" s="1"/>
  <c r="G100" i="165"/>
  <c r="F100" i="165"/>
  <c r="F99" i="165"/>
  <c r="N99" i="165" s="1"/>
  <c r="O99" i="165" s="1"/>
  <c r="P98" i="165"/>
  <c r="Q98" i="165" s="1"/>
  <c r="N98" i="165"/>
  <c r="O98" i="165" s="1"/>
  <c r="F98" i="165"/>
  <c r="G97" i="165"/>
  <c r="F97" i="165"/>
  <c r="P96" i="165"/>
  <c r="Q96" i="165" s="1"/>
  <c r="N96" i="165"/>
  <c r="O96" i="165" s="1"/>
  <c r="F96" i="165"/>
  <c r="F95" i="165"/>
  <c r="F94" i="165"/>
  <c r="N94" i="165" s="1"/>
  <c r="O94" i="165" s="1"/>
  <c r="P93" i="165"/>
  <c r="Q93" i="165" s="1"/>
  <c r="O93" i="165"/>
  <c r="N93" i="165"/>
  <c r="F93" i="165"/>
  <c r="F92" i="165"/>
  <c r="P91" i="165"/>
  <c r="Q91" i="165" s="1"/>
  <c r="G91" i="165"/>
  <c r="F91" i="165"/>
  <c r="F90" i="165"/>
  <c r="F89" i="165"/>
  <c r="G89" i="165" s="1"/>
  <c r="P88" i="165"/>
  <c r="Q88" i="165" s="1"/>
  <c r="N88" i="165"/>
  <c r="O88" i="165" s="1"/>
  <c r="G88" i="165"/>
  <c r="F88" i="165"/>
  <c r="F87" i="165"/>
  <c r="N87" i="165" s="1"/>
  <c r="O87" i="165" s="1"/>
  <c r="P86" i="165"/>
  <c r="Q86" i="165" s="1"/>
  <c r="O86" i="165"/>
  <c r="N86" i="165"/>
  <c r="F86" i="165"/>
  <c r="G85" i="165"/>
  <c r="F85" i="165"/>
  <c r="P84" i="165"/>
  <c r="Q84" i="165" s="1"/>
  <c r="N84" i="165"/>
  <c r="O84" i="165" s="1"/>
  <c r="F84" i="165"/>
  <c r="F83" i="165"/>
  <c r="F82" i="165"/>
  <c r="P81" i="165"/>
  <c r="Q81" i="165" s="1"/>
  <c r="O81" i="165"/>
  <c r="N81" i="165"/>
  <c r="F81" i="165"/>
  <c r="F80" i="165"/>
  <c r="P79" i="165"/>
  <c r="Q79" i="165" s="1"/>
  <c r="G79" i="165"/>
  <c r="F79" i="165"/>
  <c r="G78" i="165"/>
  <c r="F78" i="165"/>
  <c r="F77" i="165"/>
  <c r="G77" i="165" s="1"/>
  <c r="P76" i="165"/>
  <c r="Q76" i="165" s="1"/>
  <c r="N76" i="165"/>
  <c r="O76" i="165" s="1"/>
  <c r="G76" i="165"/>
  <c r="F76" i="165"/>
  <c r="F75" i="165"/>
  <c r="N75" i="165" s="1"/>
  <c r="O75" i="165" s="1"/>
  <c r="P74" i="165"/>
  <c r="Q74" i="165" s="1"/>
  <c r="N74" i="165"/>
  <c r="O74" i="165" s="1"/>
  <c r="F74" i="165"/>
  <c r="F73" i="165"/>
  <c r="P72" i="165"/>
  <c r="Q72" i="165" s="1"/>
  <c r="N72" i="165"/>
  <c r="O72" i="165" s="1"/>
  <c r="F72" i="165"/>
  <c r="N71" i="165"/>
  <c r="O71" i="165" s="1"/>
  <c r="F71" i="165"/>
  <c r="F70" i="165"/>
  <c r="P69" i="165"/>
  <c r="Q69" i="165" s="1"/>
  <c r="N69" i="165"/>
  <c r="O69" i="165" s="1"/>
  <c r="F69" i="165"/>
  <c r="N68" i="165"/>
  <c r="O68" i="165" s="1"/>
  <c r="L68" i="165"/>
  <c r="M68" i="165" s="1"/>
  <c r="K68" i="165"/>
  <c r="J68" i="165"/>
  <c r="H68" i="165"/>
  <c r="I68" i="165" s="1"/>
  <c r="F68" i="165"/>
  <c r="G68" i="165" s="1"/>
  <c r="N67" i="165"/>
  <c r="O67" i="165" s="1"/>
  <c r="L67" i="165"/>
  <c r="M67" i="165" s="1"/>
  <c r="J67" i="165"/>
  <c r="K67" i="165" s="1"/>
  <c r="I67" i="165"/>
  <c r="H67" i="165"/>
  <c r="F67" i="165"/>
  <c r="G67" i="165" s="1"/>
  <c r="N66" i="165"/>
  <c r="O66" i="165" s="1"/>
  <c r="L66" i="165"/>
  <c r="M66" i="165" s="1"/>
  <c r="J66" i="165"/>
  <c r="K66" i="165" s="1"/>
  <c r="H66" i="165"/>
  <c r="I66" i="165" s="1"/>
  <c r="F66" i="165"/>
  <c r="G66" i="165" s="1"/>
  <c r="N65" i="165"/>
  <c r="O65" i="165" s="1"/>
  <c r="L65" i="165"/>
  <c r="M65" i="165" s="1"/>
  <c r="K65" i="165"/>
  <c r="J65" i="165"/>
  <c r="H65" i="165"/>
  <c r="I65" i="165" s="1"/>
  <c r="F65" i="165"/>
  <c r="G65" i="165" s="1"/>
  <c r="N64" i="165"/>
  <c r="O64" i="165" s="1"/>
  <c r="L64" i="165"/>
  <c r="M64" i="165" s="1"/>
  <c r="J64" i="165"/>
  <c r="K64" i="165" s="1"/>
  <c r="H64" i="165"/>
  <c r="I64" i="165" s="1"/>
  <c r="F64" i="165"/>
  <c r="G64" i="165" s="1"/>
  <c r="N63" i="165"/>
  <c r="O63" i="165" s="1"/>
  <c r="L63" i="165"/>
  <c r="M63" i="165" s="1"/>
  <c r="J63" i="165"/>
  <c r="K63" i="165" s="1"/>
  <c r="H63" i="165"/>
  <c r="I63" i="165" s="1"/>
  <c r="F63" i="165"/>
  <c r="G63" i="165" s="1"/>
  <c r="N62" i="165"/>
  <c r="O62" i="165" s="1"/>
  <c r="L62" i="165"/>
  <c r="M62" i="165" s="1"/>
  <c r="J62" i="165"/>
  <c r="K62" i="165" s="1"/>
  <c r="H62" i="165"/>
  <c r="I62" i="165" s="1"/>
  <c r="F62" i="165"/>
  <c r="G62" i="165" s="1"/>
  <c r="N61" i="165"/>
  <c r="O61" i="165" s="1"/>
  <c r="L61" i="165"/>
  <c r="M61" i="165" s="1"/>
  <c r="J61" i="165"/>
  <c r="K61" i="165" s="1"/>
  <c r="H61" i="165"/>
  <c r="I61" i="165" s="1"/>
  <c r="F61" i="165"/>
  <c r="G61" i="165" s="1"/>
  <c r="N60" i="165"/>
  <c r="O60" i="165" s="1"/>
  <c r="L60" i="165"/>
  <c r="M60" i="165" s="1"/>
  <c r="J60" i="165"/>
  <c r="K60" i="165" s="1"/>
  <c r="H60" i="165"/>
  <c r="I60" i="165" s="1"/>
  <c r="F60" i="165"/>
  <c r="G60" i="165" s="1"/>
  <c r="N59" i="165"/>
  <c r="O59" i="165" s="1"/>
  <c r="L59" i="165"/>
  <c r="M59" i="165" s="1"/>
  <c r="J59" i="165"/>
  <c r="K59" i="165" s="1"/>
  <c r="H59" i="165"/>
  <c r="I59" i="165" s="1"/>
  <c r="F59" i="165"/>
  <c r="G59" i="165" s="1"/>
  <c r="N58" i="165"/>
  <c r="O58" i="165" s="1"/>
  <c r="L58" i="165"/>
  <c r="M58" i="165" s="1"/>
  <c r="J58" i="165"/>
  <c r="K58" i="165" s="1"/>
  <c r="I58" i="165"/>
  <c r="H58" i="165"/>
  <c r="F58" i="165"/>
  <c r="G58" i="165" s="1"/>
  <c r="N57" i="165"/>
  <c r="O57" i="165" s="1"/>
  <c r="L57" i="165"/>
  <c r="M57" i="165" s="1"/>
  <c r="J57" i="165"/>
  <c r="K57" i="165" s="1"/>
  <c r="H57" i="165"/>
  <c r="I57" i="165" s="1"/>
  <c r="F57" i="165"/>
  <c r="G57" i="165" s="1"/>
  <c r="N56" i="165"/>
  <c r="O56" i="165" s="1"/>
  <c r="L56" i="165"/>
  <c r="M56" i="165" s="1"/>
  <c r="K56" i="165"/>
  <c r="J56" i="165"/>
  <c r="H56" i="165"/>
  <c r="I56" i="165" s="1"/>
  <c r="F56" i="165"/>
  <c r="G56" i="165" s="1"/>
  <c r="N55" i="165"/>
  <c r="O55" i="165" s="1"/>
  <c r="L55" i="165"/>
  <c r="M55" i="165" s="1"/>
  <c r="J55" i="165"/>
  <c r="K55" i="165" s="1"/>
  <c r="I55" i="165"/>
  <c r="H55" i="165"/>
  <c r="F55" i="165"/>
  <c r="G55" i="165" s="1"/>
  <c r="N54" i="165"/>
  <c r="O54" i="165" s="1"/>
  <c r="L54" i="165"/>
  <c r="M54" i="165" s="1"/>
  <c r="J54" i="165"/>
  <c r="K54" i="165" s="1"/>
  <c r="H54" i="165"/>
  <c r="I54" i="165" s="1"/>
  <c r="F54" i="165"/>
  <c r="G54" i="165" s="1"/>
  <c r="N53" i="165"/>
  <c r="O53" i="165" s="1"/>
  <c r="L53" i="165"/>
  <c r="M53" i="165" s="1"/>
  <c r="K53" i="165"/>
  <c r="J53" i="165"/>
  <c r="H53" i="165"/>
  <c r="I53" i="165" s="1"/>
  <c r="F53" i="165"/>
  <c r="G53" i="165" s="1"/>
  <c r="N52" i="165"/>
  <c r="O52" i="165" s="1"/>
  <c r="L52" i="165"/>
  <c r="M52" i="165" s="1"/>
  <c r="J52" i="165"/>
  <c r="K52" i="165" s="1"/>
  <c r="H52" i="165"/>
  <c r="I52" i="165" s="1"/>
  <c r="F52" i="165"/>
  <c r="G52" i="165" s="1"/>
  <c r="N51" i="165"/>
  <c r="O51" i="165" s="1"/>
  <c r="L51" i="165"/>
  <c r="M51" i="165" s="1"/>
  <c r="J51" i="165"/>
  <c r="K51" i="165" s="1"/>
  <c r="H51" i="165"/>
  <c r="I51" i="165" s="1"/>
  <c r="F51" i="165"/>
  <c r="G51" i="165" s="1"/>
  <c r="N50" i="165"/>
  <c r="O50" i="165" s="1"/>
  <c r="L50" i="165"/>
  <c r="M50" i="165" s="1"/>
  <c r="J50" i="165"/>
  <c r="K50" i="165" s="1"/>
  <c r="H50" i="165"/>
  <c r="I50" i="165" s="1"/>
  <c r="F50" i="165"/>
  <c r="G50" i="165" s="1"/>
  <c r="N49" i="165"/>
  <c r="O49" i="165" s="1"/>
  <c r="L49" i="165"/>
  <c r="M49" i="165" s="1"/>
  <c r="J49" i="165"/>
  <c r="K49" i="165" s="1"/>
  <c r="H49" i="165"/>
  <c r="I49" i="165" s="1"/>
  <c r="F49" i="165"/>
  <c r="G49" i="165" s="1"/>
  <c r="N48" i="165"/>
  <c r="O48" i="165" s="1"/>
  <c r="L48" i="165"/>
  <c r="M48" i="165" s="1"/>
  <c r="J48" i="165"/>
  <c r="K48" i="165" s="1"/>
  <c r="H48" i="165"/>
  <c r="I48" i="165" s="1"/>
  <c r="F48" i="165"/>
  <c r="G48" i="165" s="1"/>
  <c r="N47" i="165"/>
  <c r="O47" i="165" s="1"/>
  <c r="L47" i="165"/>
  <c r="M47" i="165" s="1"/>
  <c r="J47" i="165"/>
  <c r="K47" i="165" s="1"/>
  <c r="H47" i="165"/>
  <c r="I47" i="165" s="1"/>
  <c r="F47" i="165"/>
  <c r="G47" i="165" s="1"/>
  <c r="N46" i="165"/>
  <c r="O46" i="165" s="1"/>
  <c r="L46" i="165"/>
  <c r="M46" i="165" s="1"/>
  <c r="J46" i="165"/>
  <c r="K46" i="165" s="1"/>
  <c r="I46" i="165"/>
  <c r="H46" i="165"/>
  <c r="F46" i="165"/>
  <c r="G46" i="165" s="1"/>
  <c r="N45" i="165"/>
  <c r="O45" i="165" s="1"/>
  <c r="L45" i="165"/>
  <c r="M45" i="165" s="1"/>
  <c r="J45" i="165"/>
  <c r="K45" i="165" s="1"/>
  <c r="H45" i="165"/>
  <c r="I45" i="165" s="1"/>
  <c r="F45" i="165"/>
  <c r="G45" i="165" s="1"/>
  <c r="N44" i="165"/>
  <c r="O44" i="165" s="1"/>
  <c r="L44" i="165"/>
  <c r="M44" i="165" s="1"/>
  <c r="K44" i="165"/>
  <c r="J44" i="165"/>
  <c r="H44" i="165"/>
  <c r="I44" i="165" s="1"/>
  <c r="F44" i="165"/>
  <c r="G44" i="165" s="1"/>
  <c r="N43" i="165"/>
  <c r="O43" i="165" s="1"/>
  <c r="L43" i="165"/>
  <c r="M43" i="165" s="1"/>
  <c r="J43" i="165"/>
  <c r="K43" i="165" s="1"/>
  <c r="I43" i="165"/>
  <c r="H43" i="165"/>
  <c r="F43" i="165"/>
  <c r="G43" i="165" s="1"/>
  <c r="N42" i="165"/>
  <c r="O42" i="165" s="1"/>
  <c r="L42" i="165"/>
  <c r="M42" i="165" s="1"/>
  <c r="J42" i="165"/>
  <c r="K42" i="165" s="1"/>
  <c r="H42" i="165"/>
  <c r="I42" i="165" s="1"/>
  <c r="F42" i="165"/>
  <c r="G42" i="165" s="1"/>
  <c r="N41" i="165"/>
  <c r="O41" i="165" s="1"/>
  <c r="L41" i="165"/>
  <c r="M41" i="165" s="1"/>
  <c r="K41" i="165"/>
  <c r="J41" i="165"/>
  <c r="H41" i="165"/>
  <c r="I41" i="165" s="1"/>
  <c r="F41" i="165"/>
  <c r="G41" i="165" s="1"/>
  <c r="N40" i="165"/>
  <c r="O40" i="165" s="1"/>
  <c r="L40" i="165"/>
  <c r="M40" i="165" s="1"/>
  <c r="J40" i="165"/>
  <c r="K40" i="165" s="1"/>
  <c r="H40" i="165"/>
  <c r="I40" i="165" s="1"/>
  <c r="F40" i="165"/>
  <c r="G40" i="165" s="1"/>
  <c r="N39" i="165"/>
  <c r="O39" i="165" s="1"/>
  <c r="L39" i="165"/>
  <c r="M39" i="165" s="1"/>
  <c r="J39" i="165"/>
  <c r="K39" i="165" s="1"/>
  <c r="H39" i="165"/>
  <c r="I39" i="165" s="1"/>
  <c r="F39" i="165"/>
  <c r="G39" i="165" s="1"/>
  <c r="N38" i="165"/>
  <c r="O38" i="165" s="1"/>
  <c r="L38" i="165"/>
  <c r="M38" i="165" s="1"/>
  <c r="J38" i="165"/>
  <c r="K38" i="165" s="1"/>
  <c r="H38" i="165"/>
  <c r="I38" i="165" s="1"/>
  <c r="F38" i="165"/>
  <c r="G38" i="165" s="1"/>
  <c r="N37" i="165"/>
  <c r="O37" i="165" s="1"/>
  <c r="L37" i="165"/>
  <c r="M37" i="165" s="1"/>
  <c r="J37" i="165"/>
  <c r="K37" i="165" s="1"/>
  <c r="H37" i="165"/>
  <c r="I37" i="165" s="1"/>
  <c r="F37" i="165"/>
  <c r="G37" i="165" s="1"/>
  <c r="N36" i="165"/>
  <c r="O36" i="165" s="1"/>
  <c r="L36" i="165"/>
  <c r="M36" i="165" s="1"/>
  <c r="J36" i="165"/>
  <c r="K36" i="165" s="1"/>
  <c r="H36" i="165"/>
  <c r="I36" i="165" s="1"/>
  <c r="F36" i="165"/>
  <c r="G36" i="165" s="1"/>
  <c r="N35" i="165"/>
  <c r="O35" i="165" s="1"/>
  <c r="L35" i="165"/>
  <c r="M35" i="165" s="1"/>
  <c r="J35" i="165"/>
  <c r="K35" i="165" s="1"/>
  <c r="H35" i="165"/>
  <c r="I35" i="165" s="1"/>
  <c r="F35" i="165"/>
  <c r="G35" i="165" s="1"/>
  <c r="N34" i="165"/>
  <c r="O34" i="165" s="1"/>
  <c r="L34" i="165"/>
  <c r="M34" i="165" s="1"/>
  <c r="J34" i="165"/>
  <c r="K34" i="165" s="1"/>
  <c r="I34" i="165"/>
  <c r="H34" i="165"/>
  <c r="F34" i="165"/>
  <c r="G34" i="165" s="1"/>
  <c r="N33" i="165"/>
  <c r="O33" i="165" s="1"/>
  <c r="L33" i="165"/>
  <c r="M33" i="165" s="1"/>
  <c r="J33" i="165"/>
  <c r="K33" i="165" s="1"/>
  <c r="H33" i="165"/>
  <c r="I33" i="165" s="1"/>
  <c r="F33" i="165"/>
  <c r="G33" i="165" s="1"/>
  <c r="N30" i="165"/>
  <c r="O30" i="165" s="1"/>
  <c r="L30" i="165"/>
  <c r="M30" i="165" s="1"/>
  <c r="K30" i="165"/>
  <c r="J30" i="165"/>
  <c r="H30" i="165"/>
  <c r="I30" i="165" s="1"/>
  <c r="F30" i="165"/>
  <c r="G30" i="165" s="1"/>
  <c r="N152" i="164"/>
  <c r="O152" i="164" s="1"/>
  <c r="F152" i="164"/>
  <c r="F151" i="164"/>
  <c r="P150" i="164"/>
  <c r="Q150" i="164" s="1"/>
  <c r="N150" i="164"/>
  <c r="O150" i="164" s="1"/>
  <c r="L150" i="164"/>
  <c r="M150" i="164" s="1"/>
  <c r="I150" i="164"/>
  <c r="H150" i="164"/>
  <c r="F150" i="164"/>
  <c r="F149" i="164"/>
  <c r="F148" i="164"/>
  <c r="Q147" i="164"/>
  <c r="P147" i="164"/>
  <c r="N147" i="164"/>
  <c r="O147" i="164" s="1"/>
  <c r="L147" i="164"/>
  <c r="M147" i="164" s="1"/>
  <c r="I147" i="164"/>
  <c r="H147" i="164"/>
  <c r="F147" i="164"/>
  <c r="N146" i="164"/>
  <c r="O146" i="164" s="1"/>
  <c r="L146" i="164"/>
  <c r="M146" i="164" s="1"/>
  <c r="I146" i="164"/>
  <c r="H146" i="164"/>
  <c r="F146" i="164"/>
  <c r="F145" i="164"/>
  <c r="P144" i="164"/>
  <c r="Q144" i="164" s="1"/>
  <c r="N144" i="164"/>
  <c r="O144" i="164" s="1"/>
  <c r="L144" i="164"/>
  <c r="M144" i="164" s="1"/>
  <c r="I144" i="164"/>
  <c r="H144" i="164"/>
  <c r="F144" i="164"/>
  <c r="N143" i="164"/>
  <c r="O143" i="164" s="1"/>
  <c r="F143" i="164"/>
  <c r="F142" i="164"/>
  <c r="P141" i="164"/>
  <c r="Q141" i="164" s="1"/>
  <c r="N141" i="164"/>
  <c r="O141" i="164" s="1"/>
  <c r="L141" i="164"/>
  <c r="M141" i="164" s="1"/>
  <c r="I141" i="164"/>
  <c r="H141" i="164"/>
  <c r="F141" i="164"/>
  <c r="H140" i="164"/>
  <c r="I140" i="164" s="1"/>
  <c r="F140" i="164"/>
  <c r="F139" i="164"/>
  <c r="P139" i="164" s="1"/>
  <c r="Q139" i="164" s="1"/>
  <c r="Q138" i="164"/>
  <c r="P138" i="164"/>
  <c r="N138" i="164"/>
  <c r="O138" i="164" s="1"/>
  <c r="L138" i="164"/>
  <c r="M138" i="164" s="1"/>
  <c r="I138" i="164"/>
  <c r="H138" i="164"/>
  <c r="F138" i="164"/>
  <c r="N137" i="164"/>
  <c r="O137" i="164" s="1"/>
  <c r="L137" i="164"/>
  <c r="M137" i="164" s="1"/>
  <c r="H137" i="164"/>
  <c r="I137" i="164" s="1"/>
  <c r="F137" i="164"/>
  <c r="F136" i="164"/>
  <c r="P135" i="164"/>
  <c r="Q135" i="164" s="1"/>
  <c r="N135" i="164"/>
  <c r="O135" i="164" s="1"/>
  <c r="L135" i="164"/>
  <c r="M135" i="164" s="1"/>
  <c r="I135" i="164"/>
  <c r="H135" i="164"/>
  <c r="F135" i="164"/>
  <c r="N134" i="164"/>
  <c r="O134" i="164" s="1"/>
  <c r="F134" i="164"/>
  <c r="F133" i="164"/>
  <c r="P132" i="164"/>
  <c r="Q132" i="164" s="1"/>
  <c r="N132" i="164"/>
  <c r="O132" i="164" s="1"/>
  <c r="L132" i="164"/>
  <c r="M132" i="164" s="1"/>
  <c r="I132" i="164"/>
  <c r="H132" i="164"/>
  <c r="F132" i="164"/>
  <c r="I131" i="164"/>
  <c r="H131" i="164"/>
  <c r="F131" i="164"/>
  <c r="F130" i="164"/>
  <c r="Q129" i="164"/>
  <c r="P129" i="164"/>
  <c r="N129" i="164"/>
  <c r="O129" i="164" s="1"/>
  <c r="L129" i="164"/>
  <c r="M129" i="164" s="1"/>
  <c r="I129" i="164"/>
  <c r="H129" i="164"/>
  <c r="F129" i="164"/>
  <c r="N128" i="164"/>
  <c r="O128" i="164" s="1"/>
  <c r="L128" i="164"/>
  <c r="M128" i="164" s="1"/>
  <c r="H128" i="164"/>
  <c r="I128" i="164" s="1"/>
  <c r="F128" i="164"/>
  <c r="F127" i="164"/>
  <c r="P126" i="164"/>
  <c r="Q126" i="164" s="1"/>
  <c r="O126" i="164"/>
  <c r="N126" i="164"/>
  <c r="L126" i="164"/>
  <c r="M126" i="164" s="1"/>
  <c r="I126" i="164"/>
  <c r="H126" i="164"/>
  <c r="F126" i="164"/>
  <c r="N125" i="164"/>
  <c r="O125" i="164" s="1"/>
  <c r="F125" i="164"/>
  <c r="F124" i="164"/>
  <c r="P123" i="164"/>
  <c r="Q123" i="164" s="1"/>
  <c r="O123" i="164"/>
  <c r="N123" i="164"/>
  <c r="L123" i="164"/>
  <c r="M123" i="164" s="1"/>
  <c r="I123" i="164"/>
  <c r="H123" i="164"/>
  <c r="F123" i="164"/>
  <c r="F122" i="164"/>
  <c r="F121" i="164"/>
  <c r="P121" i="164" s="1"/>
  <c r="Q121" i="164" s="1"/>
  <c r="Q120" i="164"/>
  <c r="P120" i="164"/>
  <c r="N120" i="164"/>
  <c r="O120" i="164" s="1"/>
  <c r="L120" i="164"/>
  <c r="M120" i="164" s="1"/>
  <c r="I120" i="164"/>
  <c r="H120" i="164"/>
  <c r="F120" i="164"/>
  <c r="N119" i="164"/>
  <c r="O119" i="164" s="1"/>
  <c r="L119" i="164"/>
  <c r="M119" i="164" s="1"/>
  <c r="H119" i="164"/>
  <c r="I119" i="164" s="1"/>
  <c r="F119" i="164"/>
  <c r="F118" i="164"/>
  <c r="P117" i="164"/>
  <c r="Q117" i="164" s="1"/>
  <c r="N117" i="164"/>
  <c r="O117" i="164" s="1"/>
  <c r="L117" i="164"/>
  <c r="M117" i="164" s="1"/>
  <c r="I117" i="164"/>
  <c r="H117" i="164"/>
  <c r="F117" i="164"/>
  <c r="N116" i="164"/>
  <c r="O116" i="164" s="1"/>
  <c r="F116" i="164"/>
  <c r="F115" i="164"/>
  <c r="Q114" i="164"/>
  <c r="P114" i="164"/>
  <c r="N114" i="164"/>
  <c r="O114" i="164" s="1"/>
  <c r="L114" i="164"/>
  <c r="M114" i="164" s="1"/>
  <c r="I114" i="164"/>
  <c r="H114" i="164"/>
  <c r="F114" i="164"/>
  <c r="F113" i="164"/>
  <c r="H113" i="164" s="1"/>
  <c r="I113" i="164" s="1"/>
  <c r="P112" i="164"/>
  <c r="Q112" i="164" s="1"/>
  <c r="F112" i="164"/>
  <c r="Q111" i="164"/>
  <c r="P111" i="164"/>
  <c r="N111" i="164"/>
  <c r="O111" i="164" s="1"/>
  <c r="F111" i="164"/>
  <c r="P110" i="164"/>
  <c r="Q110" i="164" s="1"/>
  <c r="N110" i="164"/>
  <c r="O110" i="164" s="1"/>
  <c r="L110" i="164"/>
  <c r="M110" i="164" s="1"/>
  <c r="I110" i="164"/>
  <c r="H110" i="164"/>
  <c r="F110" i="164"/>
  <c r="F109" i="164"/>
  <c r="F108" i="164"/>
  <c r="H108" i="164" s="1"/>
  <c r="I108" i="164" s="1"/>
  <c r="Q107" i="164"/>
  <c r="P107" i="164"/>
  <c r="N107" i="164"/>
  <c r="O107" i="164" s="1"/>
  <c r="F107" i="164"/>
  <c r="P106" i="164"/>
  <c r="Q106" i="164" s="1"/>
  <c r="N106" i="164"/>
  <c r="O106" i="164" s="1"/>
  <c r="M106" i="164"/>
  <c r="L106" i="164"/>
  <c r="H106" i="164"/>
  <c r="I106" i="164" s="1"/>
  <c r="F106" i="164"/>
  <c r="F105" i="164"/>
  <c r="P104" i="164"/>
  <c r="Q104" i="164" s="1"/>
  <c r="H104" i="164"/>
  <c r="I104" i="164" s="1"/>
  <c r="F104" i="164"/>
  <c r="P103" i="164"/>
  <c r="Q103" i="164" s="1"/>
  <c r="O103" i="164"/>
  <c r="N103" i="164"/>
  <c r="F103" i="164"/>
  <c r="P102" i="164"/>
  <c r="Q102" i="164" s="1"/>
  <c r="N102" i="164"/>
  <c r="O102" i="164" s="1"/>
  <c r="L102" i="164"/>
  <c r="M102" i="164" s="1"/>
  <c r="I102" i="164"/>
  <c r="H102" i="164"/>
  <c r="F102" i="164"/>
  <c r="F101" i="164"/>
  <c r="Q100" i="164"/>
  <c r="P100" i="164"/>
  <c r="F100" i="164"/>
  <c r="P99" i="164"/>
  <c r="Q99" i="164" s="1"/>
  <c r="O99" i="164"/>
  <c r="N99" i="164"/>
  <c r="F99" i="164"/>
  <c r="P98" i="164"/>
  <c r="Q98" i="164" s="1"/>
  <c r="N98" i="164"/>
  <c r="O98" i="164" s="1"/>
  <c r="L98" i="164"/>
  <c r="M98" i="164" s="1"/>
  <c r="I98" i="164"/>
  <c r="H98" i="164"/>
  <c r="F98" i="164"/>
  <c r="F97" i="164"/>
  <c r="F96" i="164"/>
  <c r="P96" i="164" s="1"/>
  <c r="Q96" i="164" s="1"/>
  <c r="P95" i="164"/>
  <c r="Q95" i="164" s="1"/>
  <c r="O95" i="164"/>
  <c r="N95" i="164"/>
  <c r="F95" i="164"/>
  <c r="P94" i="164"/>
  <c r="Q94" i="164" s="1"/>
  <c r="N94" i="164"/>
  <c r="O94" i="164" s="1"/>
  <c r="L94" i="164"/>
  <c r="M94" i="164" s="1"/>
  <c r="H94" i="164"/>
  <c r="I94" i="164" s="1"/>
  <c r="F94" i="164"/>
  <c r="L93" i="164"/>
  <c r="M93" i="164" s="1"/>
  <c r="F93" i="164"/>
  <c r="H92" i="164"/>
  <c r="I92" i="164" s="1"/>
  <c r="F92" i="164"/>
  <c r="P91" i="164"/>
  <c r="Q91" i="164" s="1"/>
  <c r="N91" i="164"/>
  <c r="O91" i="164" s="1"/>
  <c r="F91" i="164"/>
  <c r="L90" i="164"/>
  <c r="M90" i="164" s="1"/>
  <c r="F90" i="164"/>
  <c r="H90" i="164" s="1"/>
  <c r="I90" i="164" s="1"/>
  <c r="M89" i="164"/>
  <c r="L89" i="164"/>
  <c r="F89" i="164"/>
  <c r="F88" i="164"/>
  <c r="L88" i="164" s="1"/>
  <c r="M88" i="164" s="1"/>
  <c r="Q87" i="164"/>
  <c r="P87" i="164"/>
  <c r="F87" i="164"/>
  <c r="F86" i="164"/>
  <c r="N86" i="164" s="1"/>
  <c r="O86" i="164" s="1"/>
  <c r="F85" i="164"/>
  <c r="Q84" i="164"/>
  <c r="P84" i="164"/>
  <c r="L84" i="164"/>
  <c r="M84" i="164" s="1"/>
  <c r="I84" i="164"/>
  <c r="H84" i="164"/>
  <c r="F84" i="164"/>
  <c r="F83" i="164"/>
  <c r="P82" i="164"/>
  <c r="Q82" i="164" s="1"/>
  <c r="O82" i="164"/>
  <c r="N82" i="164"/>
  <c r="F82" i="164"/>
  <c r="P81" i="164"/>
  <c r="Q81" i="164" s="1"/>
  <c r="O81" i="164"/>
  <c r="N81" i="164"/>
  <c r="L81" i="164"/>
  <c r="M81" i="164" s="1"/>
  <c r="J81" i="164"/>
  <c r="K81" i="164" s="1"/>
  <c r="H81" i="164"/>
  <c r="I81" i="164" s="1"/>
  <c r="F81" i="164"/>
  <c r="G81" i="164" s="1"/>
  <c r="J80" i="164"/>
  <c r="K80" i="164" s="1"/>
  <c r="F80" i="164"/>
  <c r="N79" i="164"/>
  <c r="O79" i="164" s="1"/>
  <c r="L79" i="164"/>
  <c r="M79" i="164" s="1"/>
  <c r="F79" i="164"/>
  <c r="P78" i="164"/>
  <c r="Q78" i="164" s="1"/>
  <c r="L78" i="164"/>
  <c r="M78" i="164" s="1"/>
  <c r="H78" i="164"/>
  <c r="I78" i="164" s="1"/>
  <c r="F78" i="164"/>
  <c r="F77" i="164"/>
  <c r="Q76" i="164"/>
  <c r="P76" i="164"/>
  <c r="N76" i="164"/>
  <c r="O76" i="164" s="1"/>
  <c r="L76" i="164"/>
  <c r="M76" i="164" s="1"/>
  <c r="J76" i="164"/>
  <c r="K76" i="164" s="1"/>
  <c r="F76" i="164"/>
  <c r="P75" i="164"/>
  <c r="Q75" i="164" s="1"/>
  <c r="N75" i="164"/>
  <c r="O75" i="164" s="1"/>
  <c r="L75" i="164"/>
  <c r="M75" i="164" s="1"/>
  <c r="J75" i="164"/>
  <c r="K75" i="164" s="1"/>
  <c r="I75" i="164"/>
  <c r="H75" i="164"/>
  <c r="F75" i="164"/>
  <c r="G75" i="164" s="1"/>
  <c r="F74" i="164"/>
  <c r="P74" i="164" s="1"/>
  <c r="Q74" i="164" s="1"/>
  <c r="L73" i="164"/>
  <c r="M73" i="164" s="1"/>
  <c r="J73" i="164"/>
  <c r="K73" i="164" s="1"/>
  <c r="F73" i="164"/>
  <c r="F72" i="164"/>
  <c r="P72" i="164" s="1"/>
  <c r="Q72" i="164" s="1"/>
  <c r="H71" i="164"/>
  <c r="I71" i="164" s="1"/>
  <c r="F71" i="164"/>
  <c r="P70" i="164"/>
  <c r="Q70" i="164" s="1"/>
  <c r="L70" i="164"/>
  <c r="M70" i="164" s="1"/>
  <c r="F70" i="164"/>
  <c r="N69" i="164"/>
  <c r="O69" i="164" s="1"/>
  <c r="J69" i="164"/>
  <c r="K69" i="164" s="1"/>
  <c r="H69" i="164"/>
  <c r="I69" i="164" s="1"/>
  <c r="F69" i="164"/>
  <c r="L69" i="164" s="1"/>
  <c r="M69" i="164" s="1"/>
  <c r="J68" i="164"/>
  <c r="K68" i="164" s="1"/>
  <c r="H68" i="164"/>
  <c r="I68" i="164" s="1"/>
  <c r="G68" i="164"/>
  <c r="F68" i="164"/>
  <c r="F67" i="164"/>
  <c r="P67" i="164" s="1"/>
  <c r="Q67" i="164" s="1"/>
  <c r="P66" i="164"/>
  <c r="Q66" i="164" s="1"/>
  <c r="N66" i="164"/>
  <c r="O66" i="164" s="1"/>
  <c r="M66" i="164"/>
  <c r="J66" i="164"/>
  <c r="K66" i="164" s="1"/>
  <c r="F66" i="164"/>
  <c r="L66" i="164" s="1"/>
  <c r="F65" i="164"/>
  <c r="N65" i="164" s="1"/>
  <c r="O65" i="164" s="1"/>
  <c r="F64" i="164"/>
  <c r="J64" i="164" s="1"/>
  <c r="K64" i="164" s="1"/>
  <c r="F63" i="164"/>
  <c r="G63" i="164" s="1"/>
  <c r="P62" i="164"/>
  <c r="Q62" i="164" s="1"/>
  <c r="O62" i="164"/>
  <c r="N62" i="164"/>
  <c r="M62" i="164"/>
  <c r="F62" i="164"/>
  <c r="L62" i="164" s="1"/>
  <c r="Q61" i="164"/>
  <c r="P61" i="164"/>
  <c r="N61" i="164"/>
  <c r="O61" i="164" s="1"/>
  <c r="M61" i="164"/>
  <c r="J61" i="164"/>
  <c r="K61" i="164" s="1"/>
  <c r="F61" i="164"/>
  <c r="L61" i="164" s="1"/>
  <c r="P60" i="164"/>
  <c r="Q60" i="164" s="1"/>
  <c r="N60" i="164"/>
  <c r="O60" i="164" s="1"/>
  <c r="M60" i="164"/>
  <c r="K60" i="164"/>
  <c r="J60" i="164"/>
  <c r="H60" i="164"/>
  <c r="I60" i="164" s="1"/>
  <c r="G60" i="164"/>
  <c r="F60" i="164"/>
  <c r="L60" i="164" s="1"/>
  <c r="J59" i="164"/>
  <c r="K59" i="164" s="1"/>
  <c r="H59" i="164"/>
  <c r="I59" i="164" s="1"/>
  <c r="F59" i="164"/>
  <c r="J58" i="164"/>
  <c r="K58" i="164" s="1"/>
  <c r="H58" i="164"/>
  <c r="I58" i="164" s="1"/>
  <c r="F58" i="164"/>
  <c r="F57" i="164"/>
  <c r="G57" i="164" s="1"/>
  <c r="P56" i="164"/>
  <c r="Q56" i="164" s="1"/>
  <c r="N56" i="164"/>
  <c r="O56" i="164" s="1"/>
  <c r="M56" i="164"/>
  <c r="F56" i="164"/>
  <c r="L56" i="164" s="1"/>
  <c r="P55" i="164"/>
  <c r="Q55" i="164" s="1"/>
  <c r="N55" i="164"/>
  <c r="O55" i="164" s="1"/>
  <c r="M55" i="164"/>
  <c r="K55" i="164"/>
  <c r="J55" i="164"/>
  <c r="F55" i="164"/>
  <c r="L55" i="164" s="1"/>
  <c r="P54" i="164"/>
  <c r="Q54" i="164" s="1"/>
  <c r="O54" i="164"/>
  <c r="N54" i="164"/>
  <c r="M54" i="164"/>
  <c r="J54" i="164"/>
  <c r="K54" i="164" s="1"/>
  <c r="H54" i="164"/>
  <c r="I54" i="164" s="1"/>
  <c r="G54" i="164"/>
  <c r="F54" i="164"/>
  <c r="L54" i="164" s="1"/>
  <c r="H53" i="164"/>
  <c r="I53" i="164" s="1"/>
  <c r="G53" i="164"/>
  <c r="F53" i="164"/>
  <c r="J53" i="164" s="1"/>
  <c r="K53" i="164" s="1"/>
  <c r="F52" i="164"/>
  <c r="J52" i="164" s="1"/>
  <c r="K52" i="164" s="1"/>
  <c r="P51" i="164"/>
  <c r="Q51" i="164" s="1"/>
  <c r="F51" i="164"/>
  <c r="G51" i="164" s="1"/>
  <c r="Q50" i="164"/>
  <c r="P50" i="164"/>
  <c r="N50" i="164"/>
  <c r="O50" i="164" s="1"/>
  <c r="M50" i="164"/>
  <c r="F50" i="164"/>
  <c r="L50" i="164" s="1"/>
  <c r="P49" i="164"/>
  <c r="Q49" i="164" s="1"/>
  <c r="O49" i="164"/>
  <c r="N49" i="164"/>
  <c r="M49" i="164"/>
  <c r="J49" i="164"/>
  <c r="K49" i="164" s="1"/>
  <c r="F49" i="164"/>
  <c r="L49" i="164" s="1"/>
  <c r="P48" i="164"/>
  <c r="Q48" i="164" s="1"/>
  <c r="N48" i="164"/>
  <c r="O48" i="164" s="1"/>
  <c r="M48" i="164"/>
  <c r="J48" i="164"/>
  <c r="K48" i="164" s="1"/>
  <c r="H48" i="164"/>
  <c r="I48" i="164" s="1"/>
  <c r="G48" i="164"/>
  <c r="F48" i="164"/>
  <c r="L48" i="164" s="1"/>
  <c r="K47" i="164"/>
  <c r="J47" i="164"/>
  <c r="F47" i="164"/>
  <c r="J46" i="164"/>
  <c r="K46" i="164" s="1"/>
  <c r="H46" i="164"/>
  <c r="I46" i="164" s="1"/>
  <c r="G46" i="164"/>
  <c r="F46" i="164"/>
  <c r="P45" i="164"/>
  <c r="Q45" i="164" s="1"/>
  <c r="H45" i="164"/>
  <c r="I45" i="164" s="1"/>
  <c r="F45" i="164"/>
  <c r="P44" i="164"/>
  <c r="Q44" i="164" s="1"/>
  <c r="N44" i="164"/>
  <c r="O44" i="164" s="1"/>
  <c r="H44" i="164"/>
  <c r="I44" i="164" s="1"/>
  <c r="F44" i="164"/>
  <c r="P43" i="164"/>
  <c r="Q43" i="164" s="1"/>
  <c r="F43" i="164"/>
  <c r="P42" i="164"/>
  <c r="Q42" i="164" s="1"/>
  <c r="F42" i="164"/>
  <c r="F41" i="164"/>
  <c r="P41" i="164" s="1"/>
  <c r="Q41" i="164" s="1"/>
  <c r="Q40" i="164"/>
  <c r="P40" i="164"/>
  <c r="N40" i="164"/>
  <c r="O40" i="164" s="1"/>
  <c r="H40" i="164"/>
  <c r="I40" i="164" s="1"/>
  <c r="G40" i="164"/>
  <c r="F40" i="164"/>
  <c r="P39" i="164"/>
  <c r="Q39" i="164" s="1"/>
  <c r="N39" i="164"/>
  <c r="O39" i="164" s="1"/>
  <c r="H39" i="164"/>
  <c r="I39" i="164" s="1"/>
  <c r="G39" i="164"/>
  <c r="F39" i="164"/>
  <c r="P38" i="164"/>
  <c r="Q38" i="164" s="1"/>
  <c r="O38" i="164"/>
  <c r="N38" i="164"/>
  <c r="F38" i="164"/>
  <c r="G38" i="164" s="1"/>
  <c r="P37" i="164"/>
  <c r="Q37" i="164" s="1"/>
  <c r="N37" i="164"/>
  <c r="O37" i="164" s="1"/>
  <c r="F37" i="164"/>
  <c r="F36" i="164"/>
  <c r="H36" i="164" s="1"/>
  <c r="I36" i="164" s="1"/>
  <c r="P35" i="164"/>
  <c r="Q35" i="164" s="1"/>
  <c r="H35" i="164"/>
  <c r="I35" i="164" s="1"/>
  <c r="G35" i="164"/>
  <c r="F35" i="164"/>
  <c r="N35" i="164" s="1"/>
  <c r="O35" i="164" s="1"/>
  <c r="F34" i="164"/>
  <c r="H34" i="164" s="1"/>
  <c r="I34" i="164" s="1"/>
  <c r="P33" i="164"/>
  <c r="Q33" i="164" s="1"/>
  <c r="N33" i="164"/>
  <c r="O33" i="164" s="1"/>
  <c r="H33" i="164"/>
  <c r="I33" i="164" s="1"/>
  <c r="F33" i="164"/>
  <c r="P30" i="164"/>
  <c r="Q30" i="164" s="1"/>
  <c r="N30" i="164"/>
  <c r="O30" i="164" s="1"/>
  <c r="H30" i="164"/>
  <c r="I30" i="164" s="1"/>
  <c r="F30" i="164"/>
  <c r="L131" i="165" l="1"/>
  <c r="M131" i="165" s="1"/>
  <c r="J131" i="165"/>
  <c r="K131" i="165" s="1"/>
  <c r="H131" i="165"/>
  <c r="I131" i="165" s="1"/>
  <c r="P131" i="165"/>
  <c r="Q131" i="165" s="1"/>
  <c r="L71" i="165"/>
  <c r="M71" i="165" s="1"/>
  <c r="J71" i="165"/>
  <c r="K71" i="165" s="1"/>
  <c r="K153" i="165" s="1"/>
  <c r="H71" i="165"/>
  <c r="I71" i="165" s="1"/>
  <c r="P71" i="165"/>
  <c r="Q71" i="165" s="1"/>
  <c r="L83" i="165"/>
  <c r="M83" i="165" s="1"/>
  <c r="J83" i="165"/>
  <c r="K83" i="165" s="1"/>
  <c r="H83" i="165"/>
  <c r="I83" i="165" s="1"/>
  <c r="P83" i="165"/>
  <c r="Q83" i="165" s="1"/>
  <c r="L90" i="165"/>
  <c r="M90" i="165" s="1"/>
  <c r="J90" i="165"/>
  <c r="K90" i="165" s="1"/>
  <c r="H90" i="165"/>
  <c r="I90" i="165" s="1"/>
  <c r="P90" i="165"/>
  <c r="Q90" i="165" s="1"/>
  <c r="N90" i="165"/>
  <c r="O90" i="165" s="1"/>
  <c r="G83" i="165"/>
  <c r="G90" i="165"/>
  <c r="L109" i="165"/>
  <c r="M109" i="165" s="1"/>
  <c r="J109" i="165"/>
  <c r="K109" i="165" s="1"/>
  <c r="H109" i="165"/>
  <c r="I109" i="165" s="1"/>
  <c r="P109" i="165"/>
  <c r="Q109" i="165" s="1"/>
  <c r="N109" i="165"/>
  <c r="O109" i="165" s="1"/>
  <c r="L116" i="165"/>
  <c r="M116" i="165" s="1"/>
  <c r="J116" i="165"/>
  <c r="K116" i="165" s="1"/>
  <c r="H116" i="165"/>
  <c r="I116" i="165" s="1"/>
  <c r="P116" i="165"/>
  <c r="Q116" i="165" s="1"/>
  <c r="N116" i="165"/>
  <c r="O116" i="165" s="1"/>
  <c r="G116" i="165"/>
  <c r="L73" i="165"/>
  <c r="M73" i="165" s="1"/>
  <c r="J73" i="165"/>
  <c r="K73" i="165" s="1"/>
  <c r="H73" i="165"/>
  <c r="I73" i="165" s="1"/>
  <c r="N73" i="165"/>
  <c r="O73" i="165" s="1"/>
  <c r="P73" i="165"/>
  <c r="Q73" i="165" s="1"/>
  <c r="N83" i="165"/>
  <c r="O83" i="165" s="1"/>
  <c r="L95" i="165"/>
  <c r="M95" i="165" s="1"/>
  <c r="J95" i="165"/>
  <c r="K95" i="165" s="1"/>
  <c r="H95" i="165"/>
  <c r="I95" i="165" s="1"/>
  <c r="P95" i="165"/>
  <c r="Q95" i="165" s="1"/>
  <c r="L102" i="165"/>
  <c r="M102" i="165" s="1"/>
  <c r="J102" i="165"/>
  <c r="K102" i="165" s="1"/>
  <c r="H102" i="165"/>
  <c r="I102" i="165" s="1"/>
  <c r="P102" i="165"/>
  <c r="Q102" i="165" s="1"/>
  <c r="N102" i="165"/>
  <c r="O102" i="165" s="1"/>
  <c r="G109" i="165"/>
  <c r="N131" i="165"/>
  <c r="O131" i="165" s="1"/>
  <c r="L150" i="165"/>
  <c r="M150" i="165" s="1"/>
  <c r="J150" i="165"/>
  <c r="K150" i="165" s="1"/>
  <c r="H150" i="165"/>
  <c r="I150" i="165" s="1"/>
  <c r="N150" i="165"/>
  <c r="O150" i="165" s="1"/>
  <c r="P150" i="165"/>
  <c r="Q150" i="165" s="1"/>
  <c r="G73" i="165"/>
  <c r="G95" i="165"/>
  <c r="G102" i="165"/>
  <c r="G143" i="165"/>
  <c r="G150" i="165"/>
  <c r="L80" i="165"/>
  <c r="M80" i="165" s="1"/>
  <c r="J80" i="165"/>
  <c r="K80" i="165" s="1"/>
  <c r="H80" i="165"/>
  <c r="I80" i="165" s="1"/>
  <c r="P80" i="165"/>
  <c r="Q80" i="165" s="1"/>
  <c r="N80" i="165"/>
  <c r="O80" i="165" s="1"/>
  <c r="G80" i="165"/>
  <c r="L121" i="165"/>
  <c r="M121" i="165" s="1"/>
  <c r="J121" i="165"/>
  <c r="K121" i="165" s="1"/>
  <c r="H121" i="165"/>
  <c r="I121" i="165" s="1"/>
  <c r="P121" i="165"/>
  <c r="Q121" i="165" s="1"/>
  <c r="N121" i="165"/>
  <c r="O121" i="165" s="1"/>
  <c r="L128" i="165"/>
  <c r="M128" i="165" s="1"/>
  <c r="J128" i="165"/>
  <c r="K128" i="165" s="1"/>
  <c r="H128" i="165"/>
  <c r="I128" i="165" s="1"/>
  <c r="P128" i="165"/>
  <c r="Q128" i="165" s="1"/>
  <c r="G128" i="165"/>
  <c r="N128" i="165"/>
  <c r="O128" i="165" s="1"/>
  <c r="N95" i="165"/>
  <c r="O95" i="165" s="1"/>
  <c r="L107" i="165"/>
  <c r="M107" i="165" s="1"/>
  <c r="J107" i="165"/>
  <c r="K107" i="165" s="1"/>
  <c r="H107" i="165"/>
  <c r="I107" i="165" s="1"/>
  <c r="P107" i="165"/>
  <c r="Q107" i="165" s="1"/>
  <c r="L114" i="165"/>
  <c r="M114" i="165" s="1"/>
  <c r="J114" i="165"/>
  <c r="K114" i="165" s="1"/>
  <c r="H114" i="165"/>
  <c r="I114" i="165" s="1"/>
  <c r="P114" i="165"/>
  <c r="Q114" i="165" s="1"/>
  <c r="N114" i="165"/>
  <c r="O114" i="165" s="1"/>
  <c r="G121" i="165"/>
  <c r="G71" i="165"/>
  <c r="L78" i="165"/>
  <c r="M78" i="165" s="1"/>
  <c r="J78" i="165"/>
  <c r="K78" i="165" s="1"/>
  <c r="H78" i="165"/>
  <c r="I78" i="165" s="1"/>
  <c r="P78" i="165"/>
  <c r="Q78" i="165" s="1"/>
  <c r="L85" i="165"/>
  <c r="M85" i="165" s="1"/>
  <c r="J85" i="165"/>
  <c r="K85" i="165" s="1"/>
  <c r="H85" i="165"/>
  <c r="I85" i="165" s="1"/>
  <c r="N85" i="165"/>
  <c r="O85" i="165" s="1"/>
  <c r="P85" i="165"/>
  <c r="Q85" i="165" s="1"/>
  <c r="L92" i="165"/>
  <c r="M92" i="165" s="1"/>
  <c r="J92" i="165"/>
  <c r="K92" i="165" s="1"/>
  <c r="H92" i="165"/>
  <c r="I92" i="165" s="1"/>
  <c r="G92" i="165"/>
  <c r="P92" i="165"/>
  <c r="Q92" i="165" s="1"/>
  <c r="N92" i="165"/>
  <c r="O92" i="165" s="1"/>
  <c r="L133" i="165"/>
  <c r="M133" i="165" s="1"/>
  <c r="J133" i="165"/>
  <c r="K133" i="165" s="1"/>
  <c r="H133" i="165"/>
  <c r="I133" i="165" s="1"/>
  <c r="N133" i="165"/>
  <c r="O133" i="165" s="1"/>
  <c r="P133" i="165"/>
  <c r="Q133" i="165" s="1"/>
  <c r="L140" i="165"/>
  <c r="M140" i="165" s="1"/>
  <c r="J140" i="165"/>
  <c r="K140" i="165" s="1"/>
  <c r="H140" i="165"/>
  <c r="I140" i="165" s="1"/>
  <c r="P140" i="165"/>
  <c r="Q140" i="165" s="1"/>
  <c r="G140" i="165"/>
  <c r="N140" i="165"/>
  <c r="O140" i="165" s="1"/>
  <c r="L138" i="165"/>
  <c r="M138" i="165" s="1"/>
  <c r="J138" i="165"/>
  <c r="K138" i="165" s="1"/>
  <c r="H138" i="165"/>
  <c r="I138" i="165" s="1"/>
  <c r="N138" i="165"/>
  <c r="O138" i="165" s="1"/>
  <c r="P138" i="165"/>
  <c r="Q138" i="165" s="1"/>
  <c r="G131" i="165"/>
  <c r="L143" i="165"/>
  <c r="M143" i="165" s="1"/>
  <c r="J143" i="165"/>
  <c r="K143" i="165" s="1"/>
  <c r="H143" i="165"/>
  <c r="I143" i="165" s="1"/>
  <c r="P143" i="165"/>
  <c r="Q143" i="165" s="1"/>
  <c r="L119" i="165"/>
  <c r="M119" i="165" s="1"/>
  <c r="J119" i="165"/>
  <c r="K119" i="165" s="1"/>
  <c r="H119" i="165"/>
  <c r="I119" i="165" s="1"/>
  <c r="P119" i="165"/>
  <c r="Q119" i="165" s="1"/>
  <c r="L126" i="165"/>
  <c r="M126" i="165" s="1"/>
  <c r="J126" i="165"/>
  <c r="K126" i="165" s="1"/>
  <c r="H126" i="165"/>
  <c r="I126" i="165" s="1"/>
  <c r="P126" i="165"/>
  <c r="Q126" i="165" s="1"/>
  <c r="N126" i="165"/>
  <c r="O126" i="165" s="1"/>
  <c r="G119" i="165"/>
  <c r="G126" i="165"/>
  <c r="N78" i="165"/>
  <c r="O78" i="165" s="1"/>
  <c r="L97" i="165"/>
  <c r="M97" i="165" s="1"/>
  <c r="J97" i="165"/>
  <c r="K97" i="165" s="1"/>
  <c r="H97" i="165"/>
  <c r="I97" i="165" s="1"/>
  <c r="P97" i="165"/>
  <c r="Q97" i="165" s="1"/>
  <c r="N97" i="165"/>
  <c r="O97" i="165" s="1"/>
  <c r="L104" i="165"/>
  <c r="M104" i="165" s="1"/>
  <c r="J104" i="165"/>
  <c r="K104" i="165" s="1"/>
  <c r="H104" i="165"/>
  <c r="I104" i="165" s="1"/>
  <c r="P104" i="165"/>
  <c r="Q104" i="165" s="1"/>
  <c r="N104" i="165"/>
  <c r="O104" i="165" s="1"/>
  <c r="G104" i="165"/>
  <c r="L145" i="165"/>
  <c r="M145" i="165" s="1"/>
  <c r="J145" i="165"/>
  <c r="K145" i="165" s="1"/>
  <c r="H145" i="165"/>
  <c r="I145" i="165" s="1"/>
  <c r="P145" i="165"/>
  <c r="Q145" i="165" s="1"/>
  <c r="N145" i="165"/>
  <c r="O145" i="165" s="1"/>
  <c r="L152" i="165"/>
  <c r="M152" i="165" s="1"/>
  <c r="J152" i="165"/>
  <c r="K152" i="165" s="1"/>
  <c r="H152" i="165"/>
  <c r="I152" i="165" s="1"/>
  <c r="P152" i="165"/>
  <c r="Q152" i="165" s="1"/>
  <c r="N152" i="165"/>
  <c r="O152" i="165" s="1"/>
  <c r="G152" i="165"/>
  <c r="G118" i="165"/>
  <c r="L125" i="165"/>
  <c r="M125" i="165" s="1"/>
  <c r="J125" i="165"/>
  <c r="K125" i="165" s="1"/>
  <c r="H125" i="165"/>
  <c r="I125" i="165" s="1"/>
  <c r="L137" i="165"/>
  <c r="M137" i="165" s="1"/>
  <c r="J137" i="165"/>
  <c r="K137" i="165" s="1"/>
  <c r="H137" i="165"/>
  <c r="I137" i="165" s="1"/>
  <c r="G142" i="165"/>
  <c r="L149" i="165"/>
  <c r="M149" i="165" s="1"/>
  <c r="J149" i="165"/>
  <c r="K149" i="165" s="1"/>
  <c r="H149" i="165"/>
  <c r="I149" i="165" s="1"/>
  <c r="L72" i="165"/>
  <c r="M72" i="165" s="1"/>
  <c r="J72" i="165"/>
  <c r="K72" i="165" s="1"/>
  <c r="H72" i="165"/>
  <c r="I72" i="165" s="1"/>
  <c r="L84" i="165"/>
  <c r="M84" i="165" s="1"/>
  <c r="J84" i="165"/>
  <c r="K84" i="165" s="1"/>
  <c r="H84" i="165"/>
  <c r="I84" i="165" s="1"/>
  <c r="L96" i="165"/>
  <c r="M96" i="165" s="1"/>
  <c r="J96" i="165"/>
  <c r="K96" i="165" s="1"/>
  <c r="H96" i="165"/>
  <c r="I96" i="165" s="1"/>
  <c r="L108" i="165"/>
  <c r="M108" i="165" s="1"/>
  <c r="J108" i="165"/>
  <c r="K108" i="165" s="1"/>
  <c r="H108" i="165"/>
  <c r="I108" i="165" s="1"/>
  <c r="G113" i="165"/>
  <c r="L120" i="165"/>
  <c r="M120" i="165" s="1"/>
  <c r="J120" i="165"/>
  <c r="K120" i="165" s="1"/>
  <c r="H120" i="165"/>
  <c r="I120" i="165" s="1"/>
  <c r="G125" i="165"/>
  <c r="L132" i="165"/>
  <c r="M132" i="165" s="1"/>
  <c r="J132" i="165"/>
  <c r="K132" i="165" s="1"/>
  <c r="H132" i="165"/>
  <c r="I132" i="165" s="1"/>
  <c r="G137" i="165"/>
  <c r="L144" i="165"/>
  <c r="M144" i="165" s="1"/>
  <c r="J144" i="165"/>
  <c r="K144" i="165" s="1"/>
  <c r="H144" i="165"/>
  <c r="I144" i="165" s="1"/>
  <c r="N147" i="165"/>
  <c r="O147" i="165" s="1"/>
  <c r="G149" i="165"/>
  <c r="L75" i="165"/>
  <c r="M75" i="165" s="1"/>
  <c r="J75" i="165"/>
  <c r="K75" i="165" s="1"/>
  <c r="H75" i="165"/>
  <c r="I75" i="165" s="1"/>
  <c r="L87" i="165"/>
  <c r="M87" i="165" s="1"/>
  <c r="J87" i="165"/>
  <c r="K87" i="165" s="1"/>
  <c r="H87" i="165"/>
  <c r="I87" i="165" s="1"/>
  <c r="L99" i="165"/>
  <c r="M99" i="165" s="1"/>
  <c r="J99" i="165"/>
  <c r="K99" i="165" s="1"/>
  <c r="H99" i="165"/>
  <c r="I99" i="165" s="1"/>
  <c r="L111" i="165"/>
  <c r="M111" i="165" s="1"/>
  <c r="J111" i="165"/>
  <c r="K111" i="165" s="1"/>
  <c r="H111" i="165"/>
  <c r="I111" i="165" s="1"/>
  <c r="L123" i="165"/>
  <c r="M123" i="165" s="1"/>
  <c r="J123" i="165"/>
  <c r="K123" i="165" s="1"/>
  <c r="H123" i="165"/>
  <c r="I123" i="165" s="1"/>
  <c r="L135" i="165"/>
  <c r="M135" i="165" s="1"/>
  <c r="J135" i="165"/>
  <c r="K135" i="165" s="1"/>
  <c r="H135" i="165"/>
  <c r="I135" i="165" s="1"/>
  <c r="L70" i="165"/>
  <c r="M70" i="165" s="1"/>
  <c r="J70" i="165"/>
  <c r="K70" i="165" s="1"/>
  <c r="H70" i="165"/>
  <c r="I70" i="165" s="1"/>
  <c r="G75" i="165"/>
  <c r="L82" i="165"/>
  <c r="M82" i="165" s="1"/>
  <c r="J82" i="165"/>
  <c r="K82" i="165" s="1"/>
  <c r="H82" i="165"/>
  <c r="I82" i="165" s="1"/>
  <c r="G87" i="165"/>
  <c r="G99" i="165"/>
  <c r="L106" i="165"/>
  <c r="M106" i="165" s="1"/>
  <c r="J106" i="165"/>
  <c r="K106" i="165" s="1"/>
  <c r="H106" i="165"/>
  <c r="I106" i="165" s="1"/>
  <c r="G111" i="165"/>
  <c r="L130" i="165"/>
  <c r="M130" i="165" s="1"/>
  <c r="J130" i="165"/>
  <c r="K130" i="165" s="1"/>
  <c r="H130" i="165"/>
  <c r="I130" i="165" s="1"/>
  <c r="G70" i="165"/>
  <c r="L77" i="165"/>
  <c r="M77" i="165" s="1"/>
  <c r="J77" i="165"/>
  <c r="K77" i="165" s="1"/>
  <c r="H77" i="165"/>
  <c r="I77" i="165" s="1"/>
  <c r="G82" i="165"/>
  <c r="L89" i="165"/>
  <c r="M89" i="165" s="1"/>
  <c r="J89" i="165"/>
  <c r="K89" i="165" s="1"/>
  <c r="H89" i="165"/>
  <c r="I89" i="165" s="1"/>
  <c r="G94" i="165"/>
  <c r="L101" i="165"/>
  <c r="M101" i="165" s="1"/>
  <c r="J101" i="165"/>
  <c r="K101" i="165" s="1"/>
  <c r="H101" i="165"/>
  <c r="I101" i="165" s="1"/>
  <c r="G106" i="165"/>
  <c r="P30" i="165"/>
  <c r="Q30" i="165" s="1"/>
  <c r="P33" i="165"/>
  <c r="Q33" i="165" s="1"/>
  <c r="P34" i="165"/>
  <c r="Q34" i="165" s="1"/>
  <c r="P35" i="165"/>
  <c r="Q35" i="165" s="1"/>
  <c r="P36" i="165"/>
  <c r="Q36" i="165" s="1"/>
  <c r="P37" i="165"/>
  <c r="Q37" i="165" s="1"/>
  <c r="P38" i="165"/>
  <c r="Q38" i="165" s="1"/>
  <c r="P39" i="165"/>
  <c r="Q39" i="165" s="1"/>
  <c r="P40" i="165"/>
  <c r="Q40" i="165" s="1"/>
  <c r="P41" i="165"/>
  <c r="Q41" i="165" s="1"/>
  <c r="P42" i="165"/>
  <c r="Q42" i="165" s="1"/>
  <c r="P43" i="165"/>
  <c r="Q43" i="165" s="1"/>
  <c r="P44" i="165"/>
  <c r="Q44" i="165" s="1"/>
  <c r="P45" i="165"/>
  <c r="Q45" i="165" s="1"/>
  <c r="P46" i="165"/>
  <c r="Q46" i="165" s="1"/>
  <c r="P47" i="165"/>
  <c r="Q47" i="165" s="1"/>
  <c r="P48" i="165"/>
  <c r="Q48" i="165" s="1"/>
  <c r="P49" i="165"/>
  <c r="Q49" i="165" s="1"/>
  <c r="P50" i="165"/>
  <c r="Q50" i="165" s="1"/>
  <c r="P51" i="165"/>
  <c r="Q51" i="165" s="1"/>
  <c r="P52" i="165"/>
  <c r="Q52" i="165" s="1"/>
  <c r="P53" i="165"/>
  <c r="Q53" i="165" s="1"/>
  <c r="P54" i="165"/>
  <c r="Q54" i="165" s="1"/>
  <c r="P55" i="165"/>
  <c r="Q55" i="165" s="1"/>
  <c r="P56" i="165"/>
  <c r="Q56" i="165" s="1"/>
  <c r="P57" i="165"/>
  <c r="Q57" i="165" s="1"/>
  <c r="P58" i="165"/>
  <c r="Q58" i="165" s="1"/>
  <c r="P59" i="165"/>
  <c r="Q59" i="165" s="1"/>
  <c r="P60" i="165"/>
  <c r="Q60" i="165" s="1"/>
  <c r="P61" i="165"/>
  <c r="Q61" i="165" s="1"/>
  <c r="P62" i="165"/>
  <c r="Q62" i="165" s="1"/>
  <c r="P63" i="165"/>
  <c r="Q63" i="165" s="1"/>
  <c r="P64" i="165"/>
  <c r="Q64" i="165" s="1"/>
  <c r="P65" i="165"/>
  <c r="Q65" i="165" s="1"/>
  <c r="P66" i="165"/>
  <c r="Q66" i="165" s="1"/>
  <c r="P67" i="165"/>
  <c r="Q67" i="165" s="1"/>
  <c r="P68" i="165"/>
  <c r="Q68" i="165" s="1"/>
  <c r="N70" i="165"/>
  <c r="O70" i="165" s="1"/>
  <c r="O153" i="165" s="1"/>
  <c r="G72" i="165"/>
  <c r="L79" i="165"/>
  <c r="M79" i="165" s="1"/>
  <c r="J79" i="165"/>
  <c r="K79" i="165" s="1"/>
  <c r="H79" i="165"/>
  <c r="I79" i="165" s="1"/>
  <c r="N82" i="165"/>
  <c r="O82" i="165" s="1"/>
  <c r="G84" i="165"/>
  <c r="L91" i="165"/>
  <c r="M91" i="165" s="1"/>
  <c r="J91" i="165"/>
  <c r="K91" i="165" s="1"/>
  <c r="H91" i="165"/>
  <c r="I91" i="165" s="1"/>
  <c r="G96" i="165"/>
  <c r="L103" i="165"/>
  <c r="M103" i="165" s="1"/>
  <c r="J103" i="165"/>
  <c r="K103" i="165" s="1"/>
  <c r="H103" i="165"/>
  <c r="I103" i="165" s="1"/>
  <c r="N106" i="165"/>
  <c r="O106" i="165" s="1"/>
  <c r="G108" i="165"/>
  <c r="L115" i="165"/>
  <c r="M115" i="165" s="1"/>
  <c r="J115" i="165"/>
  <c r="K115" i="165" s="1"/>
  <c r="H115" i="165"/>
  <c r="I115" i="165" s="1"/>
  <c r="G120" i="165"/>
  <c r="L127" i="165"/>
  <c r="M127" i="165" s="1"/>
  <c r="J127" i="165"/>
  <c r="K127" i="165" s="1"/>
  <c r="H127" i="165"/>
  <c r="I127" i="165" s="1"/>
  <c r="N130" i="165"/>
  <c r="O130" i="165" s="1"/>
  <c r="G132" i="165"/>
  <c r="L139" i="165"/>
  <c r="M139" i="165" s="1"/>
  <c r="J139" i="165"/>
  <c r="K139" i="165" s="1"/>
  <c r="H139" i="165"/>
  <c r="I139" i="165" s="1"/>
  <c r="G144" i="165"/>
  <c r="L151" i="165"/>
  <c r="M151" i="165" s="1"/>
  <c r="J151" i="165"/>
  <c r="K151" i="165" s="1"/>
  <c r="H151" i="165"/>
  <c r="I151" i="165" s="1"/>
  <c r="L118" i="165"/>
  <c r="M118" i="165" s="1"/>
  <c r="J118" i="165"/>
  <c r="K118" i="165" s="1"/>
  <c r="H118" i="165"/>
  <c r="I118" i="165" s="1"/>
  <c r="G135" i="165"/>
  <c r="L74" i="165"/>
  <c r="M74" i="165" s="1"/>
  <c r="J74" i="165"/>
  <c r="K74" i="165" s="1"/>
  <c r="H74" i="165"/>
  <c r="I74" i="165" s="1"/>
  <c r="P75" i="165"/>
  <c r="Q75" i="165" s="1"/>
  <c r="N77" i="165"/>
  <c r="O77" i="165" s="1"/>
  <c r="L86" i="165"/>
  <c r="M86" i="165" s="1"/>
  <c r="J86" i="165"/>
  <c r="K86" i="165" s="1"/>
  <c r="H86" i="165"/>
  <c r="I86" i="165" s="1"/>
  <c r="P87" i="165"/>
  <c r="Q87" i="165" s="1"/>
  <c r="N89" i="165"/>
  <c r="O89" i="165" s="1"/>
  <c r="L98" i="165"/>
  <c r="M98" i="165" s="1"/>
  <c r="J98" i="165"/>
  <c r="K98" i="165" s="1"/>
  <c r="H98" i="165"/>
  <c r="I98" i="165" s="1"/>
  <c r="P99" i="165"/>
  <c r="Q99" i="165" s="1"/>
  <c r="N101" i="165"/>
  <c r="O101" i="165" s="1"/>
  <c r="L110" i="165"/>
  <c r="M110" i="165" s="1"/>
  <c r="J110" i="165"/>
  <c r="K110" i="165" s="1"/>
  <c r="H110" i="165"/>
  <c r="I110" i="165" s="1"/>
  <c r="P111" i="165"/>
  <c r="Q111" i="165" s="1"/>
  <c r="L122" i="165"/>
  <c r="M122" i="165" s="1"/>
  <c r="J122" i="165"/>
  <c r="K122" i="165" s="1"/>
  <c r="H122" i="165"/>
  <c r="I122" i="165" s="1"/>
  <c r="P123" i="165"/>
  <c r="Q123" i="165" s="1"/>
  <c r="N125" i="165"/>
  <c r="O125" i="165" s="1"/>
  <c r="L134" i="165"/>
  <c r="M134" i="165" s="1"/>
  <c r="J134" i="165"/>
  <c r="K134" i="165" s="1"/>
  <c r="H134" i="165"/>
  <c r="I134" i="165" s="1"/>
  <c r="P135" i="165"/>
  <c r="Q135" i="165" s="1"/>
  <c r="N137" i="165"/>
  <c r="O137" i="165" s="1"/>
  <c r="L146" i="165"/>
  <c r="M146" i="165" s="1"/>
  <c r="J146" i="165"/>
  <c r="K146" i="165" s="1"/>
  <c r="H146" i="165"/>
  <c r="I146" i="165" s="1"/>
  <c r="N149" i="165"/>
  <c r="O149" i="165" s="1"/>
  <c r="L94" i="165"/>
  <c r="M94" i="165" s="1"/>
  <c r="J94" i="165"/>
  <c r="K94" i="165" s="1"/>
  <c r="H94" i="165"/>
  <c r="I94" i="165" s="1"/>
  <c r="G123" i="165"/>
  <c r="L142" i="165"/>
  <c r="M142" i="165" s="1"/>
  <c r="J142" i="165"/>
  <c r="K142" i="165" s="1"/>
  <c r="H142" i="165"/>
  <c r="I142" i="165" s="1"/>
  <c r="L69" i="165"/>
  <c r="M69" i="165" s="1"/>
  <c r="M153" i="165" s="1"/>
  <c r="J69" i="165"/>
  <c r="K69" i="165" s="1"/>
  <c r="H69" i="165"/>
  <c r="I69" i="165" s="1"/>
  <c r="I153" i="165" s="1"/>
  <c r="P70" i="165"/>
  <c r="Q70" i="165" s="1"/>
  <c r="G74" i="165"/>
  <c r="L81" i="165"/>
  <c r="M81" i="165" s="1"/>
  <c r="J81" i="165"/>
  <c r="K81" i="165" s="1"/>
  <c r="H81" i="165"/>
  <c r="I81" i="165" s="1"/>
  <c r="P82" i="165"/>
  <c r="Q82" i="165" s="1"/>
  <c r="G86" i="165"/>
  <c r="L93" i="165"/>
  <c r="M93" i="165" s="1"/>
  <c r="J93" i="165"/>
  <c r="K93" i="165" s="1"/>
  <c r="H93" i="165"/>
  <c r="I93" i="165" s="1"/>
  <c r="P94" i="165"/>
  <c r="Q94" i="165" s="1"/>
  <c r="G98" i="165"/>
  <c r="L105" i="165"/>
  <c r="M105" i="165" s="1"/>
  <c r="J105" i="165"/>
  <c r="K105" i="165" s="1"/>
  <c r="H105" i="165"/>
  <c r="I105" i="165" s="1"/>
  <c r="P106" i="165"/>
  <c r="Q106" i="165" s="1"/>
  <c r="G110" i="165"/>
  <c r="L117" i="165"/>
  <c r="M117" i="165" s="1"/>
  <c r="J117" i="165"/>
  <c r="K117" i="165" s="1"/>
  <c r="H117" i="165"/>
  <c r="I117" i="165" s="1"/>
  <c r="P118" i="165"/>
  <c r="Q118" i="165" s="1"/>
  <c r="G122" i="165"/>
  <c r="L129" i="165"/>
  <c r="M129" i="165" s="1"/>
  <c r="J129" i="165"/>
  <c r="K129" i="165" s="1"/>
  <c r="H129" i="165"/>
  <c r="I129" i="165" s="1"/>
  <c r="P130" i="165"/>
  <c r="Q130" i="165" s="1"/>
  <c r="G134" i="165"/>
  <c r="L141" i="165"/>
  <c r="M141" i="165" s="1"/>
  <c r="J141" i="165"/>
  <c r="K141" i="165" s="1"/>
  <c r="H141" i="165"/>
  <c r="I141" i="165" s="1"/>
  <c r="P142" i="165"/>
  <c r="Q142" i="165" s="1"/>
  <c r="G146" i="165"/>
  <c r="L147" i="165"/>
  <c r="M147" i="165" s="1"/>
  <c r="J147" i="165"/>
  <c r="K147" i="165" s="1"/>
  <c r="H147" i="165"/>
  <c r="I147" i="165" s="1"/>
  <c r="G147" i="165"/>
  <c r="L113" i="165"/>
  <c r="M113" i="165" s="1"/>
  <c r="J113" i="165"/>
  <c r="K113" i="165" s="1"/>
  <c r="H113" i="165"/>
  <c r="I113" i="165" s="1"/>
  <c r="G69" i="165"/>
  <c r="G153" i="165" s="1"/>
  <c r="L76" i="165"/>
  <c r="M76" i="165" s="1"/>
  <c r="J76" i="165"/>
  <c r="K76" i="165" s="1"/>
  <c r="H76" i="165"/>
  <c r="I76" i="165" s="1"/>
  <c r="P77" i="165"/>
  <c r="Q77" i="165" s="1"/>
  <c r="N79" i="165"/>
  <c r="O79" i="165" s="1"/>
  <c r="G81" i="165"/>
  <c r="L88" i="165"/>
  <c r="M88" i="165" s="1"/>
  <c r="J88" i="165"/>
  <c r="K88" i="165" s="1"/>
  <c r="H88" i="165"/>
  <c r="I88" i="165" s="1"/>
  <c r="P89" i="165"/>
  <c r="Q89" i="165" s="1"/>
  <c r="N91" i="165"/>
  <c r="O91" i="165" s="1"/>
  <c r="G93" i="165"/>
  <c r="L100" i="165"/>
  <c r="M100" i="165" s="1"/>
  <c r="J100" i="165"/>
  <c r="K100" i="165" s="1"/>
  <c r="H100" i="165"/>
  <c r="I100" i="165" s="1"/>
  <c r="P101" i="165"/>
  <c r="Q101" i="165" s="1"/>
  <c r="N103" i="165"/>
  <c r="O103" i="165" s="1"/>
  <c r="G105" i="165"/>
  <c r="L112" i="165"/>
  <c r="M112" i="165" s="1"/>
  <c r="J112" i="165"/>
  <c r="K112" i="165" s="1"/>
  <c r="H112" i="165"/>
  <c r="I112" i="165" s="1"/>
  <c r="P113" i="165"/>
  <c r="Q113" i="165" s="1"/>
  <c r="N115" i="165"/>
  <c r="O115" i="165" s="1"/>
  <c r="G117" i="165"/>
  <c r="L124" i="165"/>
  <c r="M124" i="165" s="1"/>
  <c r="J124" i="165"/>
  <c r="K124" i="165" s="1"/>
  <c r="H124" i="165"/>
  <c r="I124" i="165" s="1"/>
  <c r="P125" i="165"/>
  <c r="Q125" i="165" s="1"/>
  <c r="N127" i="165"/>
  <c r="O127" i="165" s="1"/>
  <c r="G129" i="165"/>
  <c r="L136" i="165"/>
  <c r="M136" i="165" s="1"/>
  <c r="J136" i="165"/>
  <c r="K136" i="165" s="1"/>
  <c r="H136" i="165"/>
  <c r="I136" i="165" s="1"/>
  <c r="P137" i="165"/>
  <c r="Q137" i="165" s="1"/>
  <c r="N139" i="165"/>
  <c r="O139" i="165" s="1"/>
  <c r="G141" i="165"/>
  <c r="L148" i="165"/>
  <c r="M148" i="165" s="1"/>
  <c r="J148" i="165"/>
  <c r="K148" i="165" s="1"/>
  <c r="H148" i="165"/>
  <c r="I148" i="165" s="1"/>
  <c r="P149" i="165"/>
  <c r="Q149" i="165" s="1"/>
  <c r="N151" i="165"/>
  <c r="O151" i="165" s="1"/>
  <c r="H96" i="164"/>
  <c r="I96" i="164" s="1"/>
  <c r="J115" i="164"/>
  <c r="K115" i="164" s="1"/>
  <c r="G115" i="164"/>
  <c r="N115" i="164"/>
  <c r="O115" i="164" s="1"/>
  <c r="L115" i="164"/>
  <c r="M115" i="164" s="1"/>
  <c r="H115" i="164"/>
  <c r="I115" i="164" s="1"/>
  <c r="L42" i="164"/>
  <c r="M42" i="164" s="1"/>
  <c r="J42" i="164"/>
  <c r="K42" i="164" s="1"/>
  <c r="J37" i="164"/>
  <c r="K37" i="164" s="1"/>
  <c r="L37" i="164"/>
  <c r="M37" i="164" s="1"/>
  <c r="G42" i="164"/>
  <c r="G64" i="164"/>
  <c r="G80" i="164"/>
  <c r="P80" i="164"/>
  <c r="Q80" i="164" s="1"/>
  <c r="N80" i="164"/>
  <c r="O80" i="164" s="1"/>
  <c r="L80" i="164"/>
  <c r="M80" i="164" s="1"/>
  <c r="L30" i="164"/>
  <c r="M30" i="164" s="1"/>
  <c r="J30" i="164"/>
  <c r="K30" i="164" s="1"/>
  <c r="G37" i="164"/>
  <c r="H42" i="164"/>
  <c r="I42" i="164" s="1"/>
  <c r="L44" i="164"/>
  <c r="M44" i="164" s="1"/>
  <c r="J44" i="164"/>
  <c r="K44" i="164" s="1"/>
  <c r="L59" i="164"/>
  <c r="M59" i="164" s="1"/>
  <c r="P59" i="164"/>
  <c r="Q59" i="164" s="1"/>
  <c r="N59" i="164"/>
  <c r="O59" i="164" s="1"/>
  <c r="H64" i="164"/>
  <c r="I64" i="164" s="1"/>
  <c r="N71" i="164"/>
  <c r="O71" i="164" s="1"/>
  <c r="L71" i="164"/>
  <c r="M71" i="164" s="1"/>
  <c r="P71" i="164"/>
  <c r="Q71" i="164" s="1"/>
  <c r="J71" i="164"/>
  <c r="K71" i="164" s="1"/>
  <c r="H80" i="164"/>
  <c r="I80" i="164" s="1"/>
  <c r="J112" i="164"/>
  <c r="K112" i="164" s="1"/>
  <c r="G112" i="164"/>
  <c r="N112" i="164"/>
  <c r="O112" i="164" s="1"/>
  <c r="L112" i="164"/>
  <c r="M112" i="164" s="1"/>
  <c r="G30" i="164"/>
  <c r="H37" i="164"/>
  <c r="I37" i="164" s="1"/>
  <c r="L39" i="164"/>
  <c r="M39" i="164" s="1"/>
  <c r="J39" i="164"/>
  <c r="K39" i="164" s="1"/>
  <c r="N42" i="164"/>
  <c r="O42" i="164" s="1"/>
  <c r="G44" i="164"/>
  <c r="L46" i="164"/>
  <c r="M46" i="164" s="1"/>
  <c r="P46" i="164"/>
  <c r="Q46" i="164" s="1"/>
  <c r="N46" i="164"/>
  <c r="O46" i="164" s="1"/>
  <c r="G59" i="164"/>
  <c r="G69" i="164"/>
  <c r="G71" i="164"/>
  <c r="G78" i="164"/>
  <c r="N78" i="164"/>
  <c r="O78" i="164" s="1"/>
  <c r="J78" i="164"/>
  <c r="K78" i="164" s="1"/>
  <c r="J104" i="164"/>
  <c r="K104" i="164" s="1"/>
  <c r="G104" i="164"/>
  <c r="N104" i="164"/>
  <c r="O104" i="164" s="1"/>
  <c r="L104" i="164"/>
  <c r="M104" i="164" s="1"/>
  <c r="H112" i="164"/>
  <c r="I112" i="164" s="1"/>
  <c r="L34" i="164"/>
  <c r="M34" i="164" s="1"/>
  <c r="J34" i="164"/>
  <c r="K34" i="164" s="1"/>
  <c r="J85" i="164"/>
  <c r="K85" i="164" s="1"/>
  <c r="G85" i="164"/>
  <c r="P85" i="164"/>
  <c r="Q85" i="164" s="1"/>
  <c r="N85" i="164"/>
  <c r="O85" i="164" s="1"/>
  <c r="H85" i="164"/>
  <c r="I85" i="164" s="1"/>
  <c r="L85" i="164"/>
  <c r="M85" i="164" s="1"/>
  <c r="H88" i="164"/>
  <c r="I88" i="164" s="1"/>
  <c r="P115" i="164"/>
  <c r="Q115" i="164" s="1"/>
  <c r="G36" i="164"/>
  <c r="H41" i="164"/>
  <c r="I41" i="164" s="1"/>
  <c r="P57" i="164"/>
  <c r="Q57" i="164" s="1"/>
  <c r="J65" i="164"/>
  <c r="K65" i="164" s="1"/>
  <c r="H72" i="164"/>
  <c r="I72" i="164" s="1"/>
  <c r="G83" i="164"/>
  <c r="L83" i="164"/>
  <c r="M83" i="164" s="1"/>
  <c r="J83" i="164"/>
  <c r="K83" i="164" s="1"/>
  <c r="H83" i="164"/>
  <c r="I83" i="164" s="1"/>
  <c r="P83" i="164"/>
  <c r="Q83" i="164" s="1"/>
  <c r="N83" i="164"/>
  <c r="O83" i="164" s="1"/>
  <c r="J105" i="164"/>
  <c r="K105" i="164" s="1"/>
  <c r="G105" i="164"/>
  <c r="P105" i="164"/>
  <c r="Q105" i="164" s="1"/>
  <c r="N105" i="164"/>
  <c r="O105" i="164" s="1"/>
  <c r="L105" i="164"/>
  <c r="M105" i="164" s="1"/>
  <c r="H105" i="164"/>
  <c r="I105" i="164" s="1"/>
  <c r="J130" i="164"/>
  <c r="K130" i="164" s="1"/>
  <c r="G130" i="164"/>
  <c r="N130" i="164"/>
  <c r="O130" i="164" s="1"/>
  <c r="L130" i="164"/>
  <c r="M130" i="164" s="1"/>
  <c r="H130" i="164"/>
  <c r="I130" i="164" s="1"/>
  <c r="N41" i="164"/>
  <c r="O41" i="164" s="1"/>
  <c r="H52" i="164"/>
  <c r="I52" i="164" s="1"/>
  <c r="J122" i="164"/>
  <c r="K122" i="164" s="1"/>
  <c r="G122" i="164"/>
  <c r="P122" i="164"/>
  <c r="Q122" i="164" s="1"/>
  <c r="N122" i="164"/>
  <c r="O122" i="164" s="1"/>
  <c r="L122" i="164"/>
  <c r="M122" i="164" s="1"/>
  <c r="L33" i="164"/>
  <c r="M33" i="164" s="1"/>
  <c r="J33" i="164"/>
  <c r="K33" i="164" s="1"/>
  <c r="L45" i="164"/>
  <c r="M45" i="164" s="1"/>
  <c r="N45" i="164"/>
  <c r="O45" i="164" s="1"/>
  <c r="J45" i="164"/>
  <c r="K45" i="164" s="1"/>
  <c r="L58" i="164"/>
  <c r="M58" i="164" s="1"/>
  <c r="P58" i="164"/>
  <c r="Q58" i="164" s="1"/>
  <c r="N58" i="164"/>
  <c r="O58" i="164" s="1"/>
  <c r="J72" i="164"/>
  <c r="K72" i="164" s="1"/>
  <c r="L86" i="164"/>
  <c r="M86" i="164" s="1"/>
  <c r="J100" i="164"/>
  <c r="K100" i="164" s="1"/>
  <c r="G100" i="164"/>
  <c r="N100" i="164"/>
  <c r="O100" i="164" s="1"/>
  <c r="L100" i="164"/>
  <c r="M100" i="164" s="1"/>
  <c r="H122" i="164"/>
  <c r="I122" i="164" s="1"/>
  <c r="J133" i="164"/>
  <c r="K133" i="164" s="1"/>
  <c r="G133" i="164"/>
  <c r="N133" i="164"/>
  <c r="O133" i="164" s="1"/>
  <c r="L133" i="164"/>
  <c r="M133" i="164" s="1"/>
  <c r="H133" i="164"/>
  <c r="I133" i="164" s="1"/>
  <c r="J142" i="164"/>
  <c r="K142" i="164" s="1"/>
  <c r="G142" i="164"/>
  <c r="N142" i="164"/>
  <c r="O142" i="164" s="1"/>
  <c r="L142" i="164"/>
  <c r="M142" i="164" s="1"/>
  <c r="H142" i="164"/>
  <c r="I142" i="164" s="1"/>
  <c r="J148" i="164"/>
  <c r="K148" i="164" s="1"/>
  <c r="G148" i="164"/>
  <c r="N148" i="164"/>
  <c r="O148" i="164" s="1"/>
  <c r="L148" i="164"/>
  <c r="M148" i="164" s="1"/>
  <c r="H148" i="164"/>
  <c r="I148" i="164" s="1"/>
  <c r="L36" i="164"/>
  <c r="M36" i="164" s="1"/>
  <c r="J36" i="164"/>
  <c r="K36" i="164" s="1"/>
  <c r="L67" i="164"/>
  <c r="M67" i="164" s="1"/>
  <c r="N67" i="164"/>
  <c r="O67" i="164" s="1"/>
  <c r="J67" i="164"/>
  <c r="K67" i="164" s="1"/>
  <c r="G67" i="164"/>
  <c r="H67" i="164"/>
  <c r="I67" i="164" s="1"/>
  <c r="G72" i="164"/>
  <c r="G74" i="164"/>
  <c r="J113" i="164"/>
  <c r="K113" i="164" s="1"/>
  <c r="G113" i="164"/>
  <c r="P113" i="164"/>
  <c r="Q113" i="164" s="1"/>
  <c r="N113" i="164"/>
  <c r="O113" i="164" s="1"/>
  <c r="L113" i="164"/>
  <c r="M113" i="164" s="1"/>
  <c r="N34" i="164"/>
  <c r="O34" i="164" s="1"/>
  <c r="O153" i="164" s="1"/>
  <c r="L43" i="164"/>
  <c r="M43" i="164" s="1"/>
  <c r="J43" i="164"/>
  <c r="K43" i="164" s="1"/>
  <c r="G52" i="164"/>
  <c r="L63" i="164"/>
  <c r="M63" i="164" s="1"/>
  <c r="N63" i="164"/>
  <c r="O63" i="164" s="1"/>
  <c r="H63" i="164"/>
  <c r="I63" i="164" s="1"/>
  <c r="J63" i="164"/>
  <c r="K63" i="164" s="1"/>
  <c r="H74" i="164"/>
  <c r="I74" i="164" s="1"/>
  <c r="H86" i="164"/>
  <c r="I86" i="164" s="1"/>
  <c r="J124" i="164"/>
  <c r="K124" i="164" s="1"/>
  <c r="G124" i="164"/>
  <c r="N124" i="164"/>
  <c r="O124" i="164" s="1"/>
  <c r="L124" i="164"/>
  <c r="M124" i="164" s="1"/>
  <c r="H124" i="164"/>
  <c r="I124" i="164" s="1"/>
  <c r="L38" i="164"/>
  <c r="M38" i="164" s="1"/>
  <c r="J38" i="164"/>
  <c r="K38" i="164" s="1"/>
  <c r="G43" i="164"/>
  <c r="L47" i="164"/>
  <c r="M47" i="164" s="1"/>
  <c r="P47" i="164"/>
  <c r="Q47" i="164" s="1"/>
  <c r="N47" i="164"/>
  <c r="O47" i="164" s="1"/>
  <c r="P69" i="164"/>
  <c r="Q69" i="164" s="1"/>
  <c r="J108" i="164"/>
  <c r="K108" i="164" s="1"/>
  <c r="G108" i="164"/>
  <c r="N108" i="164"/>
  <c r="O108" i="164" s="1"/>
  <c r="L108" i="164"/>
  <c r="M108" i="164" s="1"/>
  <c r="P124" i="164"/>
  <c r="Q124" i="164" s="1"/>
  <c r="P130" i="164"/>
  <c r="Q130" i="164" s="1"/>
  <c r="J139" i="164"/>
  <c r="K139" i="164" s="1"/>
  <c r="G139" i="164"/>
  <c r="N139" i="164"/>
  <c r="O139" i="164" s="1"/>
  <c r="L139" i="164"/>
  <c r="M139" i="164" s="1"/>
  <c r="H139" i="164"/>
  <c r="I139" i="164" s="1"/>
  <c r="P34" i="164"/>
  <c r="Q34" i="164" s="1"/>
  <c r="Q153" i="164" s="1"/>
  <c r="N36" i="164"/>
  <c r="O36" i="164" s="1"/>
  <c r="H43" i="164"/>
  <c r="I43" i="164" s="1"/>
  <c r="G47" i="164"/>
  <c r="G33" i="164"/>
  <c r="H38" i="164"/>
  <c r="I38" i="164" s="1"/>
  <c r="I153" i="164" s="1"/>
  <c r="L40" i="164"/>
  <c r="M40" i="164" s="1"/>
  <c r="J40" i="164"/>
  <c r="K40" i="164" s="1"/>
  <c r="N43" i="164"/>
  <c r="O43" i="164" s="1"/>
  <c r="G45" i="164"/>
  <c r="H47" i="164"/>
  <c r="I47" i="164" s="1"/>
  <c r="G58" i="164"/>
  <c r="P63" i="164"/>
  <c r="Q63" i="164" s="1"/>
  <c r="L68" i="164"/>
  <c r="M68" i="164" s="1"/>
  <c r="P68" i="164"/>
  <c r="Q68" i="164" s="1"/>
  <c r="N68" i="164"/>
  <c r="O68" i="164" s="1"/>
  <c r="L72" i="164"/>
  <c r="M72" i="164" s="1"/>
  <c r="H100" i="164"/>
  <c r="I100" i="164" s="1"/>
  <c r="P108" i="164"/>
  <c r="Q108" i="164" s="1"/>
  <c r="J131" i="164"/>
  <c r="K131" i="164" s="1"/>
  <c r="G131" i="164"/>
  <c r="P131" i="164"/>
  <c r="Q131" i="164" s="1"/>
  <c r="N131" i="164"/>
  <c r="O131" i="164" s="1"/>
  <c r="L131" i="164"/>
  <c r="M131" i="164" s="1"/>
  <c r="P133" i="164"/>
  <c r="Q133" i="164" s="1"/>
  <c r="P142" i="164"/>
  <c r="Q142" i="164" s="1"/>
  <c r="P148" i="164"/>
  <c r="Q148" i="164" s="1"/>
  <c r="L65" i="164"/>
  <c r="M65" i="164" s="1"/>
  <c r="P65" i="164"/>
  <c r="Q65" i="164" s="1"/>
  <c r="J96" i="164"/>
  <c r="K96" i="164" s="1"/>
  <c r="G96" i="164"/>
  <c r="N96" i="164"/>
  <c r="O96" i="164" s="1"/>
  <c r="L96" i="164"/>
  <c r="M96" i="164" s="1"/>
  <c r="L41" i="164"/>
  <c r="M41" i="164" s="1"/>
  <c r="J41" i="164"/>
  <c r="K41" i="164" s="1"/>
  <c r="N74" i="164"/>
  <c r="O74" i="164" s="1"/>
  <c r="L74" i="164"/>
  <c r="M74" i="164" s="1"/>
  <c r="J74" i="164"/>
  <c r="K74" i="164" s="1"/>
  <c r="J88" i="164"/>
  <c r="K88" i="164" s="1"/>
  <c r="G88" i="164"/>
  <c r="N88" i="164"/>
  <c r="O88" i="164" s="1"/>
  <c r="P88" i="164"/>
  <c r="Q88" i="164" s="1"/>
  <c r="J121" i="164"/>
  <c r="K121" i="164" s="1"/>
  <c r="G121" i="164"/>
  <c r="N121" i="164"/>
  <c r="O121" i="164" s="1"/>
  <c r="L121" i="164"/>
  <c r="M121" i="164" s="1"/>
  <c r="H121" i="164"/>
  <c r="I121" i="164" s="1"/>
  <c r="G41" i="164"/>
  <c r="L52" i="164"/>
  <c r="M52" i="164" s="1"/>
  <c r="P52" i="164"/>
  <c r="Q52" i="164" s="1"/>
  <c r="N52" i="164"/>
  <c r="O52" i="164" s="1"/>
  <c r="H65" i="164"/>
  <c r="I65" i="164" s="1"/>
  <c r="J35" i="164"/>
  <c r="K35" i="164" s="1"/>
  <c r="L35" i="164"/>
  <c r="M35" i="164" s="1"/>
  <c r="P36" i="164"/>
  <c r="Q36" i="164" s="1"/>
  <c r="L53" i="164"/>
  <c r="M53" i="164" s="1"/>
  <c r="P53" i="164"/>
  <c r="Q53" i="164" s="1"/>
  <c r="N53" i="164"/>
  <c r="O53" i="164" s="1"/>
  <c r="N72" i="164"/>
  <c r="O72" i="164" s="1"/>
  <c r="J92" i="164"/>
  <c r="K92" i="164" s="1"/>
  <c r="G92" i="164"/>
  <c r="N92" i="164"/>
  <c r="O92" i="164" s="1"/>
  <c r="L92" i="164"/>
  <c r="M92" i="164" s="1"/>
  <c r="P92" i="164"/>
  <c r="Q92" i="164" s="1"/>
  <c r="J140" i="164"/>
  <c r="K140" i="164" s="1"/>
  <c r="G140" i="164"/>
  <c r="P140" i="164"/>
  <c r="Q140" i="164" s="1"/>
  <c r="N140" i="164"/>
  <c r="O140" i="164" s="1"/>
  <c r="L140" i="164"/>
  <c r="M140" i="164" s="1"/>
  <c r="J151" i="164"/>
  <c r="K151" i="164" s="1"/>
  <c r="G151" i="164"/>
  <c r="N151" i="164"/>
  <c r="O151" i="164" s="1"/>
  <c r="L151" i="164"/>
  <c r="M151" i="164" s="1"/>
  <c r="H151" i="164"/>
  <c r="I151" i="164" s="1"/>
  <c r="P151" i="164"/>
  <c r="Q151" i="164" s="1"/>
  <c r="G34" i="164"/>
  <c r="G65" i="164"/>
  <c r="L64" i="164"/>
  <c r="M64" i="164" s="1"/>
  <c r="P64" i="164"/>
  <c r="Q64" i="164" s="1"/>
  <c r="N64" i="164"/>
  <c r="O64" i="164" s="1"/>
  <c r="J109" i="164"/>
  <c r="K109" i="164" s="1"/>
  <c r="G109" i="164"/>
  <c r="P109" i="164"/>
  <c r="Q109" i="164" s="1"/>
  <c r="N109" i="164"/>
  <c r="O109" i="164" s="1"/>
  <c r="L109" i="164"/>
  <c r="M109" i="164" s="1"/>
  <c r="J149" i="164"/>
  <c r="K149" i="164" s="1"/>
  <c r="G149" i="164"/>
  <c r="P149" i="164"/>
  <c r="Q149" i="164" s="1"/>
  <c r="N149" i="164"/>
  <c r="O149" i="164" s="1"/>
  <c r="L149" i="164"/>
  <c r="M149" i="164" s="1"/>
  <c r="L57" i="164"/>
  <c r="M57" i="164" s="1"/>
  <c r="N57" i="164"/>
  <c r="O57" i="164" s="1"/>
  <c r="J57" i="164"/>
  <c r="K57" i="164" s="1"/>
  <c r="H57" i="164"/>
  <c r="I57" i="164" s="1"/>
  <c r="J86" i="164"/>
  <c r="K86" i="164" s="1"/>
  <c r="G86" i="164"/>
  <c r="P86" i="164"/>
  <c r="Q86" i="164" s="1"/>
  <c r="L51" i="164"/>
  <c r="M51" i="164" s="1"/>
  <c r="N51" i="164"/>
  <c r="O51" i="164" s="1"/>
  <c r="H51" i="164"/>
  <c r="I51" i="164" s="1"/>
  <c r="J51" i="164"/>
  <c r="K51" i="164" s="1"/>
  <c r="G77" i="164"/>
  <c r="L77" i="164"/>
  <c r="M77" i="164" s="1"/>
  <c r="J77" i="164"/>
  <c r="K77" i="164" s="1"/>
  <c r="H77" i="164"/>
  <c r="I77" i="164" s="1"/>
  <c r="P77" i="164"/>
  <c r="Q77" i="164" s="1"/>
  <c r="N77" i="164"/>
  <c r="O77" i="164" s="1"/>
  <c r="J90" i="164"/>
  <c r="K90" i="164" s="1"/>
  <c r="G90" i="164"/>
  <c r="P90" i="164"/>
  <c r="Q90" i="164" s="1"/>
  <c r="N90" i="164"/>
  <c r="O90" i="164" s="1"/>
  <c r="H109" i="164"/>
  <c r="I109" i="164" s="1"/>
  <c r="H149" i="164"/>
  <c r="I149" i="164" s="1"/>
  <c r="J101" i="164"/>
  <c r="K101" i="164" s="1"/>
  <c r="G101" i="164"/>
  <c r="P101" i="164"/>
  <c r="Q101" i="164" s="1"/>
  <c r="N101" i="164"/>
  <c r="O101" i="164" s="1"/>
  <c r="G50" i="164"/>
  <c r="G56" i="164"/>
  <c r="G62" i="164"/>
  <c r="N70" i="164"/>
  <c r="O70" i="164" s="1"/>
  <c r="J70" i="164"/>
  <c r="K70" i="164" s="1"/>
  <c r="P73" i="164"/>
  <c r="Q73" i="164" s="1"/>
  <c r="N73" i="164"/>
  <c r="O73" i="164" s="1"/>
  <c r="G79" i="164"/>
  <c r="P79" i="164"/>
  <c r="Q79" i="164" s="1"/>
  <c r="G82" i="164"/>
  <c r="H82" i="164"/>
  <c r="I82" i="164" s="1"/>
  <c r="J87" i="164"/>
  <c r="K87" i="164" s="1"/>
  <c r="G87" i="164"/>
  <c r="H87" i="164"/>
  <c r="I87" i="164" s="1"/>
  <c r="J97" i="164"/>
  <c r="K97" i="164" s="1"/>
  <c r="G97" i="164"/>
  <c r="P97" i="164"/>
  <c r="Q97" i="164" s="1"/>
  <c r="N97" i="164"/>
  <c r="O97" i="164" s="1"/>
  <c r="H101" i="164"/>
  <c r="I101" i="164" s="1"/>
  <c r="J116" i="164"/>
  <c r="K116" i="164" s="1"/>
  <c r="G116" i="164"/>
  <c r="P116" i="164"/>
  <c r="Q116" i="164" s="1"/>
  <c r="J125" i="164"/>
  <c r="K125" i="164" s="1"/>
  <c r="G125" i="164"/>
  <c r="P125" i="164"/>
  <c r="Q125" i="164" s="1"/>
  <c r="J134" i="164"/>
  <c r="K134" i="164" s="1"/>
  <c r="G134" i="164"/>
  <c r="P134" i="164"/>
  <c r="Q134" i="164" s="1"/>
  <c r="J143" i="164"/>
  <c r="K143" i="164" s="1"/>
  <c r="G143" i="164"/>
  <c r="P143" i="164"/>
  <c r="Q143" i="164" s="1"/>
  <c r="J152" i="164"/>
  <c r="K152" i="164" s="1"/>
  <c r="G152" i="164"/>
  <c r="P152" i="164"/>
  <c r="Q152" i="164" s="1"/>
  <c r="H50" i="164"/>
  <c r="I50" i="164" s="1"/>
  <c r="H56" i="164"/>
  <c r="I56" i="164" s="1"/>
  <c r="H62" i="164"/>
  <c r="I62" i="164" s="1"/>
  <c r="G70" i="164"/>
  <c r="G73" i="164"/>
  <c r="H79" i="164"/>
  <c r="I79" i="164" s="1"/>
  <c r="J82" i="164"/>
  <c r="K82" i="164" s="1"/>
  <c r="L87" i="164"/>
  <c r="M87" i="164" s="1"/>
  <c r="J89" i="164"/>
  <c r="K89" i="164" s="1"/>
  <c r="G89" i="164"/>
  <c r="P89" i="164"/>
  <c r="Q89" i="164" s="1"/>
  <c r="N89" i="164"/>
  <c r="O89" i="164" s="1"/>
  <c r="J93" i="164"/>
  <c r="K93" i="164" s="1"/>
  <c r="G93" i="164"/>
  <c r="P93" i="164"/>
  <c r="Q93" i="164" s="1"/>
  <c r="N93" i="164"/>
  <c r="O93" i="164" s="1"/>
  <c r="H97" i="164"/>
  <c r="I97" i="164" s="1"/>
  <c r="H116" i="164"/>
  <c r="I116" i="164" s="1"/>
  <c r="J118" i="164"/>
  <c r="K118" i="164" s="1"/>
  <c r="G118" i="164"/>
  <c r="N118" i="164"/>
  <c r="O118" i="164" s="1"/>
  <c r="L118" i="164"/>
  <c r="M118" i="164" s="1"/>
  <c r="H118" i="164"/>
  <c r="I118" i="164" s="1"/>
  <c r="H125" i="164"/>
  <c r="I125" i="164" s="1"/>
  <c r="J127" i="164"/>
  <c r="K127" i="164" s="1"/>
  <c r="G127" i="164"/>
  <c r="N127" i="164"/>
  <c r="O127" i="164" s="1"/>
  <c r="L127" i="164"/>
  <c r="M127" i="164" s="1"/>
  <c r="H127" i="164"/>
  <c r="I127" i="164" s="1"/>
  <c r="H134" i="164"/>
  <c r="I134" i="164" s="1"/>
  <c r="J136" i="164"/>
  <c r="K136" i="164" s="1"/>
  <c r="G136" i="164"/>
  <c r="N136" i="164"/>
  <c r="O136" i="164" s="1"/>
  <c r="L136" i="164"/>
  <c r="M136" i="164" s="1"/>
  <c r="H136" i="164"/>
  <c r="I136" i="164" s="1"/>
  <c r="H143" i="164"/>
  <c r="I143" i="164" s="1"/>
  <c r="J145" i="164"/>
  <c r="K145" i="164" s="1"/>
  <c r="G145" i="164"/>
  <c r="N145" i="164"/>
  <c r="O145" i="164" s="1"/>
  <c r="L145" i="164"/>
  <c r="M145" i="164" s="1"/>
  <c r="H145" i="164"/>
  <c r="I145" i="164" s="1"/>
  <c r="H152" i="164"/>
  <c r="I152" i="164" s="1"/>
  <c r="G49" i="164"/>
  <c r="J50" i="164"/>
  <c r="K50" i="164" s="1"/>
  <c r="G55" i="164"/>
  <c r="J56" i="164"/>
  <c r="K56" i="164" s="1"/>
  <c r="G61" i="164"/>
  <c r="J62" i="164"/>
  <c r="K62" i="164" s="1"/>
  <c r="G66" i="164"/>
  <c r="H70" i="164"/>
  <c r="I70" i="164" s="1"/>
  <c r="H73" i="164"/>
  <c r="I73" i="164" s="1"/>
  <c r="G76" i="164"/>
  <c r="H76" i="164"/>
  <c r="I76" i="164" s="1"/>
  <c r="L82" i="164"/>
  <c r="M82" i="164" s="1"/>
  <c r="H89" i="164"/>
  <c r="I89" i="164" s="1"/>
  <c r="H93" i="164"/>
  <c r="I93" i="164" s="1"/>
  <c r="L101" i="164"/>
  <c r="M101" i="164" s="1"/>
  <c r="P118" i="164"/>
  <c r="Q118" i="164" s="1"/>
  <c r="P127" i="164"/>
  <c r="Q127" i="164" s="1"/>
  <c r="P136" i="164"/>
  <c r="Q136" i="164" s="1"/>
  <c r="P145" i="164"/>
  <c r="Q145" i="164" s="1"/>
  <c r="H49" i="164"/>
  <c r="I49" i="164" s="1"/>
  <c r="H55" i="164"/>
  <c r="I55" i="164" s="1"/>
  <c r="H61" i="164"/>
  <c r="I61" i="164" s="1"/>
  <c r="H66" i="164"/>
  <c r="I66" i="164" s="1"/>
  <c r="J79" i="164"/>
  <c r="K79" i="164" s="1"/>
  <c r="G84" i="164"/>
  <c r="N84" i="164"/>
  <c r="O84" i="164" s="1"/>
  <c r="J84" i="164"/>
  <c r="K84" i="164" s="1"/>
  <c r="N87" i="164"/>
  <c r="O87" i="164" s="1"/>
  <c r="L97" i="164"/>
  <c r="M97" i="164" s="1"/>
  <c r="L116" i="164"/>
  <c r="M116" i="164" s="1"/>
  <c r="L125" i="164"/>
  <c r="M125" i="164" s="1"/>
  <c r="L134" i="164"/>
  <c r="M134" i="164" s="1"/>
  <c r="L143" i="164"/>
  <c r="M143" i="164" s="1"/>
  <c r="L152" i="164"/>
  <c r="M152" i="164" s="1"/>
  <c r="J119" i="164"/>
  <c r="K119" i="164" s="1"/>
  <c r="G119" i="164"/>
  <c r="P119" i="164"/>
  <c r="Q119" i="164" s="1"/>
  <c r="J128" i="164"/>
  <c r="K128" i="164" s="1"/>
  <c r="G128" i="164"/>
  <c r="P128" i="164"/>
  <c r="Q128" i="164" s="1"/>
  <c r="J137" i="164"/>
  <c r="K137" i="164" s="1"/>
  <c r="G137" i="164"/>
  <c r="P137" i="164"/>
  <c r="Q137" i="164" s="1"/>
  <c r="J146" i="164"/>
  <c r="K146" i="164" s="1"/>
  <c r="G146" i="164"/>
  <c r="P146" i="164"/>
  <c r="Q146" i="164" s="1"/>
  <c r="J91" i="164"/>
  <c r="K91" i="164" s="1"/>
  <c r="G91" i="164"/>
  <c r="J95" i="164"/>
  <c r="K95" i="164" s="1"/>
  <c r="G95" i="164"/>
  <c r="J99" i="164"/>
  <c r="K99" i="164" s="1"/>
  <c r="G99" i="164"/>
  <c r="J103" i="164"/>
  <c r="K103" i="164" s="1"/>
  <c r="G103" i="164"/>
  <c r="J107" i="164"/>
  <c r="K107" i="164" s="1"/>
  <c r="G107" i="164"/>
  <c r="J111" i="164"/>
  <c r="K111" i="164" s="1"/>
  <c r="G111" i="164"/>
  <c r="H91" i="164"/>
  <c r="I91" i="164" s="1"/>
  <c r="H95" i="164"/>
  <c r="I95" i="164" s="1"/>
  <c r="H99" i="164"/>
  <c r="I99" i="164" s="1"/>
  <c r="H103" i="164"/>
  <c r="I103" i="164" s="1"/>
  <c r="H107" i="164"/>
  <c r="I107" i="164" s="1"/>
  <c r="H111" i="164"/>
  <c r="I111" i="164" s="1"/>
  <c r="J114" i="164"/>
  <c r="K114" i="164" s="1"/>
  <c r="G114" i="164"/>
  <c r="J117" i="164"/>
  <c r="K117" i="164" s="1"/>
  <c r="G117" i="164"/>
  <c r="J120" i="164"/>
  <c r="K120" i="164" s="1"/>
  <c r="G120" i="164"/>
  <c r="J123" i="164"/>
  <c r="K123" i="164" s="1"/>
  <c r="G123" i="164"/>
  <c r="J126" i="164"/>
  <c r="K126" i="164" s="1"/>
  <c r="G126" i="164"/>
  <c r="J129" i="164"/>
  <c r="K129" i="164" s="1"/>
  <c r="G129" i="164"/>
  <c r="J132" i="164"/>
  <c r="K132" i="164" s="1"/>
  <c r="G132" i="164"/>
  <c r="J135" i="164"/>
  <c r="K135" i="164" s="1"/>
  <c r="G135" i="164"/>
  <c r="J138" i="164"/>
  <c r="K138" i="164" s="1"/>
  <c r="G138" i="164"/>
  <c r="J141" i="164"/>
  <c r="K141" i="164" s="1"/>
  <c r="G141" i="164"/>
  <c r="J144" i="164"/>
  <c r="K144" i="164" s="1"/>
  <c r="G144" i="164"/>
  <c r="J147" i="164"/>
  <c r="K147" i="164" s="1"/>
  <c r="G147" i="164"/>
  <c r="J150" i="164"/>
  <c r="K150" i="164" s="1"/>
  <c r="G150" i="164"/>
  <c r="L91" i="164"/>
  <c r="M91" i="164" s="1"/>
  <c r="J94" i="164"/>
  <c r="K94" i="164" s="1"/>
  <c r="G94" i="164"/>
  <c r="L95" i="164"/>
  <c r="M95" i="164" s="1"/>
  <c r="J98" i="164"/>
  <c r="K98" i="164" s="1"/>
  <c r="G98" i="164"/>
  <c r="L99" i="164"/>
  <c r="M99" i="164" s="1"/>
  <c r="J102" i="164"/>
  <c r="K102" i="164" s="1"/>
  <c r="G102" i="164"/>
  <c r="L103" i="164"/>
  <c r="M103" i="164" s="1"/>
  <c r="J106" i="164"/>
  <c r="K106" i="164" s="1"/>
  <c r="G106" i="164"/>
  <c r="L107" i="164"/>
  <c r="M107" i="164" s="1"/>
  <c r="J110" i="164"/>
  <c r="K110" i="164" s="1"/>
  <c r="G110" i="164"/>
  <c r="L111" i="164"/>
  <c r="M111" i="164" s="1"/>
  <c r="M155" i="165" l="1"/>
  <c r="Q153" i="165"/>
  <c r="M153" i="164"/>
  <c r="K153" i="164"/>
  <c r="G153" i="164"/>
  <c r="F45" i="136" l="1"/>
  <c r="F42" i="136"/>
  <c r="F39" i="136"/>
  <c r="J35" i="20"/>
  <c r="F45" i="158" l="1"/>
  <c r="F41" i="158"/>
  <c r="F46" i="152" l="1"/>
  <c r="F48" i="150"/>
  <c r="F44" i="150"/>
  <c r="F46" i="151"/>
  <c r="F93" i="163" l="1"/>
  <c r="L93" i="163" s="1"/>
  <c r="M93" i="163" s="1"/>
  <c r="N92" i="163"/>
  <c r="O92" i="163" s="1"/>
  <c r="M92" i="163"/>
  <c r="L92" i="163"/>
  <c r="J92" i="163"/>
  <c r="K92" i="163" s="1"/>
  <c r="F92" i="163"/>
  <c r="H92" i="163" s="1"/>
  <c r="I92" i="163" s="1"/>
  <c r="N91" i="163"/>
  <c r="O91" i="163" s="1"/>
  <c r="M91" i="163"/>
  <c r="L91" i="163"/>
  <c r="K91" i="163"/>
  <c r="J91" i="163"/>
  <c r="H91" i="163"/>
  <c r="I91" i="163" s="1"/>
  <c r="F91" i="163"/>
  <c r="G91" i="163" s="1"/>
  <c r="L90" i="163"/>
  <c r="M90" i="163" s="1"/>
  <c r="J90" i="163"/>
  <c r="K90" i="163" s="1"/>
  <c r="I90" i="163"/>
  <c r="H90" i="163"/>
  <c r="F90" i="163"/>
  <c r="G90" i="163" s="1"/>
  <c r="J89" i="163"/>
  <c r="K89" i="163" s="1"/>
  <c r="H89" i="163"/>
  <c r="I89" i="163" s="1"/>
  <c r="G89" i="163"/>
  <c r="F89" i="163"/>
  <c r="N89" i="163" s="1"/>
  <c r="O89" i="163" s="1"/>
  <c r="F88" i="163"/>
  <c r="F87" i="163"/>
  <c r="L87" i="163" s="1"/>
  <c r="M87" i="163" s="1"/>
  <c r="N86" i="163"/>
  <c r="O86" i="163" s="1"/>
  <c r="M86" i="163"/>
  <c r="L86" i="163"/>
  <c r="J86" i="163"/>
  <c r="K86" i="163" s="1"/>
  <c r="F86" i="163"/>
  <c r="H86" i="163" s="1"/>
  <c r="I86" i="163" s="1"/>
  <c r="N85" i="163"/>
  <c r="O85" i="163" s="1"/>
  <c r="L85" i="163"/>
  <c r="M85" i="163" s="1"/>
  <c r="K85" i="163"/>
  <c r="J85" i="163"/>
  <c r="H85" i="163"/>
  <c r="I85" i="163" s="1"/>
  <c r="F85" i="163"/>
  <c r="G85" i="163" s="1"/>
  <c r="L84" i="163"/>
  <c r="M84" i="163" s="1"/>
  <c r="J84" i="163"/>
  <c r="K84" i="163" s="1"/>
  <c r="I84" i="163"/>
  <c r="H84" i="163"/>
  <c r="F84" i="163"/>
  <c r="G84" i="163" s="1"/>
  <c r="J83" i="163"/>
  <c r="K83" i="163" s="1"/>
  <c r="H83" i="163"/>
  <c r="I83" i="163" s="1"/>
  <c r="G83" i="163"/>
  <c r="F83" i="163"/>
  <c r="N83" i="163" s="1"/>
  <c r="O83" i="163" s="1"/>
  <c r="F82" i="163"/>
  <c r="F81" i="163"/>
  <c r="L81" i="163" s="1"/>
  <c r="M81" i="163" s="1"/>
  <c r="N80" i="163"/>
  <c r="O80" i="163" s="1"/>
  <c r="M80" i="163"/>
  <c r="L80" i="163"/>
  <c r="J80" i="163"/>
  <c r="K80" i="163" s="1"/>
  <c r="F80" i="163"/>
  <c r="H80" i="163" s="1"/>
  <c r="I80" i="163" s="1"/>
  <c r="N79" i="163"/>
  <c r="O79" i="163" s="1"/>
  <c r="M79" i="163"/>
  <c r="L79" i="163"/>
  <c r="K79" i="163"/>
  <c r="J79" i="163"/>
  <c r="H79" i="163"/>
  <c r="I79" i="163" s="1"/>
  <c r="F79" i="163"/>
  <c r="G79" i="163" s="1"/>
  <c r="L78" i="163"/>
  <c r="M78" i="163" s="1"/>
  <c r="J78" i="163"/>
  <c r="K78" i="163" s="1"/>
  <c r="I78" i="163"/>
  <c r="H78" i="163"/>
  <c r="F78" i="163"/>
  <c r="G78" i="163" s="1"/>
  <c r="J77" i="163"/>
  <c r="K77" i="163" s="1"/>
  <c r="H77" i="163"/>
  <c r="I77" i="163" s="1"/>
  <c r="G77" i="163"/>
  <c r="F77" i="163"/>
  <c r="N77" i="163" s="1"/>
  <c r="O77" i="163" s="1"/>
  <c r="F76" i="163"/>
  <c r="F75" i="163"/>
  <c r="L75" i="163" s="1"/>
  <c r="M75" i="163" s="1"/>
  <c r="O74" i="163"/>
  <c r="N74" i="163"/>
  <c r="M74" i="163"/>
  <c r="L74" i="163"/>
  <c r="J74" i="163"/>
  <c r="K74" i="163" s="1"/>
  <c r="F74" i="163"/>
  <c r="H74" i="163" s="1"/>
  <c r="I74" i="163" s="1"/>
  <c r="N73" i="163"/>
  <c r="O73" i="163" s="1"/>
  <c r="L73" i="163"/>
  <c r="M73" i="163" s="1"/>
  <c r="K73" i="163"/>
  <c r="J73" i="163"/>
  <c r="H73" i="163"/>
  <c r="I73" i="163" s="1"/>
  <c r="F73" i="163"/>
  <c r="G73" i="163" s="1"/>
  <c r="L72" i="163"/>
  <c r="M72" i="163" s="1"/>
  <c r="J72" i="163"/>
  <c r="K72" i="163" s="1"/>
  <c r="I72" i="163"/>
  <c r="H72" i="163"/>
  <c r="F72" i="163"/>
  <c r="G72" i="163" s="1"/>
  <c r="J71" i="163"/>
  <c r="K71" i="163" s="1"/>
  <c r="H71" i="163"/>
  <c r="I71" i="163" s="1"/>
  <c r="G71" i="163"/>
  <c r="F71" i="163"/>
  <c r="N71" i="163" s="1"/>
  <c r="O71" i="163" s="1"/>
  <c r="G70" i="163"/>
  <c r="F70" i="163"/>
  <c r="F69" i="163"/>
  <c r="L69" i="163" s="1"/>
  <c r="M69" i="163" s="1"/>
  <c r="N68" i="163"/>
  <c r="O68" i="163" s="1"/>
  <c r="M68" i="163"/>
  <c r="L68" i="163"/>
  <c r="J68" i="163"/>
  <c r="K68" i="163" s="1"/>
  <c r="F68" i="163"/>
  <c r="H68" i="163" s="1"/>
  <c r="I68" i="163" s="1"/>
  <c r="N67" i="163"/>
  <c r="O67" i="163" s="1"/>
  <c r="M67" i="163"/>
  <c r="L67" i="163"/>
  <c r="K67" i="163"/>
  <c r="J67" i="163"/>
  <c r="H67" i="163"/>
  <c r="I67" i="163" s="1"/>
  <c r="F67" i="163"/>
  <c r="G67" i="163" s="1"/>
  <c r="L66" i="163"/>
  <c r="M66" i="163" s="1"/>
  <c r="J66" i="163"/>
  <c r="K66" i="163" s="1"/>
  <c r="I66" i="163"/>
  <c r="H66" i="163"/>
  <c r="F66" i="163"/>
  <c r="G66" i="163" s="1"/>
  <c r="J65" i="163"/>
  <c r="K65" i="163" s="1"/>
  <c r="H65" i="163"/>
  <c r="I65" i="163" s="1"/>
  <c r="G65" i="163"/>
  <c r="F65" i="163"/>
  <c r="N65" i="163" s="1"/>
  <c r="O65" i="163" s="1"/>
  <c r="F64" i="163"/>
  <c r="G64" i="163" s="1"/>
  <c r="E64" i="163"/>
  <c r="E63" i="163"/>
  <c r="F63" i="163" s="1"/>
  <c r="E62" i="163"/>
  <c r="F62" i="163" s="1"/>
  <c r="E61" i="163"/>
  <c r="F61" i="163" s="1"/>
  <c r="N60" i="163"/>
  <c r="O60" i="163" s="1"/>
  <c r="M60" i="163"/>
  <c r="L60" i="163"/>
  <c r="J60" i="163"/>
  <c r="K60" i="163" s="1"/>
  <c r="F60" i="163"/>
  <c r="H60" i="163" s="1"/>
  <c r="I60" i="163" s="1"/>
  <c r="N59" i="163"/>
  <c r="O59" i="163" s="1"/>
  <c r="L59" i="163"/>
  <c r="M59" i="163" s="1"/>
  <c r="K59" i="163"/>
  <c r="J59" i="163"/>
  <c r="H59" i="163"/>
  <c r="I59" i="163" s="1"/>
  <c r="F59" i="163"/>
  <c r="G59" i="163" s="1"/>
  <c r="L58" i="163"/>
  <c r="M58" i="163" s="1"/>
  <c r="J58" i="163"/>
  <c r="K58" i="163" s="1"/>
  <c r="I58" i="163"/>
  <c r="H58" i="163"/>
  <c r="F58" i="163"/>
  <c r="G58" i="163" s="1"/>
  <c r="J57" i="163"/>
  <c r="K57" i="163" s="1"/>
  <c r="H57" i="163"/>
  <c r="I57" i="163" s="1"/>
  <c r="G57" i="163"/>
  <c r="F57" i="163"/>
  <c r="N57" i="163" s="1"/>
  <c r="O57" i="163" s="1"/>
  <c r="F56" i="163"/>
  <c r="F55" i="163"/>
  <c r="L55" i="163" s="1"/>
  <c r="M55" i="163" s="1"/>
  <c r="N54" i="163"/>
  <c r="O54" i="163" s="1"/>
  <c r="M54" i="163"/>
  <c r="L54" i="163"/>
  <c r="J54" i="163"/>
  <c r="K54" i="163" s="1"/>
  <c r="F54" i="163"/>
  <c r="H54" i="163" s="1"/>
  <c r="I54" i="163" s="1"/>
  <c r="N53" i="163"/>
  <c r="O53" i="163" s="1"/>
  <c r="L53" i="163"/>
  <c r="M53" i="163" s="1"/>
  <c r="K53" i="163"/>
  <c r="J53" i="163"/>
  <c r="H53" i="163"/>
  <c r="I53" i="163" s="1"/>
  <c r="F53" i="163"/>
  <c r="G53" i="163" s="1"/>
  <c r="L52" i="163"/>
  <c r="M52" i="163" s="1"/>
  <c r="K52" i="163"/>
  <c r="J52" i="163"/>
  <c r="I52" i="163"/>
  <c r="H52" i="163"/>
  <c r="F52" i="163"/>
  <c r="G52" i="163" s="1"/>
  <c r="J51" i="163"/>
  <c r="K51" i="163" s="1"/>
  <c r="I51" i="163"/>
  <c r="H51" i="163"/>
  <c r="G51" i="163"/>
  <c r="F51" i="163"/>
  <c r="N51" i="163" s="1"/>
  <c r="O51" i="163" s="1"/>
  <c r="F50" i="163"/>
  <c r="F49" i="163"/>
  <c r="L49" i="163" s="1"/>
  <c r="M49" i="163" s="1"/>
  <c r="N46" i="163"/>
  <c r="O46" i="163" s="1"/>
  <c r="M46" i="163"/>
  <c r="L46" i="163"/>
  <c r="J46" i="163"/>
  <c r="K46" i="163" s="1"/>
  <c r="F46" i="163"/>
  <c r="H46" i="163" s="1"/>
  <c r="I46" i="163" s="1"/>
  <c r="N43" i="163"/>
  <c r="O43" i="163" s="1"/>
  <c r="M43" i="163"/>
  <c r="L43" i="163"/>
  <c r="K43" i="163"/>
  <c r="J43" i="163"/>
  <c r="H43" i="163"/>
  <c r="I43" i="163" s="1"/>
  <c r="F43" i="163"/>
  <c r="L40" i="163"/>
  <c r="M40" i="163" s="1"/>
  <c r="J40" i="163"/>
  <c r="K40" i="163" s="1"/>
  <c r="I40" i="163"/>
  <c r="H40" i="163"/>
  <c r="G40" i="163"/>
  <c r="F40" i="163"/>
  <c r="N40" i="163" s="1"/>
  <c r="O40" i="163" s="1"/>
  <c r="N90" i="162"/>
  <c r="O90" i="162" s="1"/>
  <c r="F90" i="162"/>
  <c r="L90" i="162" s="1"/>
  <c r="M90" i="162" s="1"/>
  <c r="N89" i="162"/>
  <c r="O89" i="162" s="1"/>
  <c r="L89" i="162"/>
  <c r="M89" i="162" s="1"/>
  <c r="G89" i="162"/>
  <c r="F89" i="162"/>
  <c r="J89" i="162" s="1"/>
  <c r="K89" i="162" s="1"/>
  <c r="N88" i="162"/>
  <c r="O88" i="162" s="1"/>
  <c r="L88" i="162"/>
  <c r="M88" i="162" s="1"/>
  <c r="J88" i="162"/>
  <c r="K88" i="162" s="1"/>
  <c r="F88" i="162"/>
  <c r="H88" i="162" s="1"/>
  <c r="I88" i="162" s="1"/>
  <c r="O87" i="162"/>
  <c r="N87" i="162"/>
  <c r="L87" i="162"/>
  <c r="M87" i="162" s="1"/>
  <c r="J87" i="162"/>
  <c r="K87" i="162" s="1"/>
  <c r="H87" i="162"/>
  <c r="I87" i="162" s="1"/>
  <c r="G87" i="162"/>
  <c r="F87" i="162"/>
  <c r="H86" i="162"/>
  <c r="I86" i="162" s="1"/>
  <c r="F86" i="162"/>
  <c r="N86" i="162" s="1"/>
  <c r="O86" i="162" s="1"/>
  <c r="F85" i="162"/>
  <c r="N85" i="162" s="1"/>
  <c r="O85" i="162" s="1"/>
  <c r="N84" i="162"/>
  <c r="O84" i="162" s="1"/>
  <c r="F84" i="162"/>
  <c r="L84" i="162" s="1"/>
  <c r="M84" i="162" s="1"/>
  <c r="N83" i="162"/>
  <c r="O83" i="162" s="1"/>
  <c r="L83" i="162"/>
  <c r="M83" i="162" s="1"/>
  <c r="G83" i="162"/>
  <c r="F83" i="162"/>
  <c r="J83" i="162" s="1"/>
  <c r="K83" i="162" s="1"/>
  <c r="N82" i="162"/>
  <c r="O82" i="162" s="1"/>
  <c r="L82" i="162"/>
  <c r="M82" i="162" s="1"/>
  <c r="J82" i="162"/>
  <c r="K82" i="162" s="1"/>
  <c r="F82" i="162"/>
  <c r="H82" i="162" s="1"/>
  <c r="I82" i="162" s="1"/>
  <c r="N81" i="162"/>
  <c r="O81" i="162" s="1"/>
  <c r="L81" i="162"/>
  <c r="M81" i="162" s="1"/>
  <c r="J81" i="162"/>
  <c r="K81" i="162" s="1"/>
  <c r="H81" i="162"/>
  <c r="I81" i="162" s="1"/>
  <c r="G81" i="162"/>
  <c r="F81" i="162"/>
  <c r="H80" i="162"/>
  <c r="I80" i="162" s="1"/>
  <c r="F80" i="162"/>
  <c r="N80" i="162" s="1"/>
  <c r="O80" i="162" s="1"/>
  <c r="F79" i="162"/>
  <c r="N79" i="162" s="1"/>
  <c r="O79" i="162" s="1"/>
  <c r="N78" i="162"/>
  <c r="O78" i="162" s="1"/>
  <c r="F78" i="162"/>
  <c r="L78" i="162" s="1"/>
  <c r="M78" i="162" s="1"/>
  <c r="N77" i="162"/>
  <c r="O77" i="162" s="1"/>
  <c r="L77" i="162"/>
  <c r="M77" i="162" s="1"/>
  <c r="F77" i="162"/>
  <c r="J77" i="162" s="1"/>
  <c r="K77" i="162" s="1"/>
  <c r="N76" i="162"/>
  <c r="O76" i="162" s="1"/>
  <c r="L76" i="162"/>
  <c r="M76" i="162" s="1"/>
  <c r="J76" i="162"/>
  <c r="K76" i="162" s="1"/>
  <c r="F76" i="162"/>
  <c r="H76" i="162" s="1"/>
  <c r="I76" i="162" s="1"/>
  <c r="N75" i="162"/>
  <c r="O75" i="162" s="1"/>
  <c r="L75" i="162"/>
  <c r="M75" i="162" s="1"/>
  <c r="J75" i="162"/>
  <c r="K75" i="162" s="1"/>
  <c r="H75" i="162"/>
  <c r="I75" i="162" s="1"/>
  <c r="G75" i="162"/>
  <c r="F75" i="162"/>
  <c r="H74" i="162"/>
  <c r="I74" i="162" s="1"/>
  <c r="F74" i="162"/>
  <c r="N74" i="162" s="1"/>
  <c r="O74" i="162" s="1"/>
  <c r="F73" i="162"/>
  <c r="N73" i="162" s="1"/>
  <c r="O73" i="162" s="1"/>
  <c r="N72" i="162"/>
  <c r="O72" i="162" s="1"/>
  <c r="F72" i="162"/>
  <c r="L72" i="162" s="1"/>
  <c r="M72" i="162" s="1"/>
  <c r="N71" i="162"/>
  <c r="O71" i="162" s="1"/>
  <c r="L71" i="162"/>
  <c r="M71" i="162" s="1"/>
  <c r="F71" i="162"/>
  <c r="J71" i="162" s="1"/>
  <c r="K71" i="162" s="1"/>
  <c r="N70" i="162"/>
  <c r="O70" i="162" s="1"/>
  <c r="L70" i="162"/>
  <c r="M70" i="162" s="1"/>
  <c r="J70" i="162"/>
  <c r="K70" i="162" s="1"/>
  <c r="F70" i="162"/>
  <c r="H70" i="162" s="1"/>
  <c r="I70" i="162" s="1"/>
  <c r="N69" i="162"/>
  <c r="O69" i="162" s="1"/>
  <c r="L69" i="162"/>
  <c r="M69" i="162" s="1"/>
  <c r="J69" i="162"/>
  <c r="K69" i="162" s="1"/>
  <c r="H69" i="162"/>
  <c r="I69" i="162" s="1"/>
  <c r="G69" i="162"/>
  <c r="F69" i="162"/>
  <c r="H68" i="162"/>
  <c r="I68" i="162" s="1"/>
  <c r="F68" i="162"/>
  <c r="N68" i="162" s="1"/>
  <c r="O68" i="162" s="1"/>
  <c r="F67" i="162"/>
  <c r="N67" i="162" s="1"/>
  <c r="O67" i="162" s="1"/>
  <c r="N66" i="162"/>
  <c r="O66" i="162" s="1"/>
  <c r="F66" i="162"/>
  <c r="L66" i="162" s="1"/>
  <c r="M66" i="162" s="1"/>
  <c r="N65" i="162"/>
  <c r="O65" i="162" s="1"/>
  <c r="L65" i="162"/>
  <c r="M65" i="162" s="1"/>
  <c r="F65" i="162"/>
  <c r="J65" i="162" s="1"/>
  <c r="K65" i="162" s="1"/>
  <c r="N64" i="162"/>
  <c r="O64" i="162" s="1"/>
  <c r="L64" i="162"/>
  <c r="M64" i="162" s="1"/>
  <c r="J64" i="162"/>
  <c r="K64" i="162" s="1"/>
  <c r="F64" i="162"/>
  <c r="H64" i="162" s="1"/>
  <c r="I64" i="162" s="1"/>
  <c r="N63" i="162"/>
  <c r="O63" i="162" s="1"/>
  <c r="L63" i="162"/>
  <c r="M63" i="162" s="1"/>
  <c r="J63" i="162"/>
  <c r="K63" i="162" s="1"/>
  <c r="H63" i="162"/>
  <c r="I63" i="162" s="1"/>
  <c r="G63" i="162"/>
  <c r="F63" i="162"/>
  <c r="E62" i="162"/>
  <c r="F62" i="162" s="1"/>
  <c r="E61" i="162"/>
  <c r="F61" i="162" s="1"/>
  <c r="F60" i="162"/>
  <c r="N60" i="162" s="1"/>
  <c r="O60" i="162" s="1"/>
  <c r="E60" i="162"/>
  <c r="E59" i="162"/>
  <c r="F59" i="162" s="1"/>
  <c r="N58" i="162"/>
  <c r="O58" i="162" s="1"/>
  <c r="F58" i="162"/>
  <c r="L58" i="162" s="1"/>
  <c r="M58" i="162" s="1"/>
  <c r="N57" i="162"/>
  <c r="O57" i="162" s="1"/>
  <c r="L57" i="162"/>
  <c r="M57" i="162" s="1"/>
  <c r="F57" i="162"/>
  <c r="J57" i="162" s="1"/>
  <c r="K57" i="162" s="1"/>
  <c r="N56" i="162"/>
  <c r="O56" i="162" s="1"/>
  <c r="L56" i="162"/>
  <c r="M56" i="162" s="1"/>
  <c r="J56" i="162"/>
  <c r="K56" i="162" s="1"/>
  <c r="F56" i="162"/>
  <c r="H56" i="162" s="1"/>
  <c r="I56" i="162" s="1"/>
  <c r="N55" i="162"/>
  <c r="O55" i="162" s="1"/>
  <c r="L55" i="162"/>
  <c r="M55" i="162" s="1"/>
  <c r="J55" i="162"/>
  <c r="K55" i="162" s="1"/>
  <c r="H55" i="162"/>
  <c r="I55" i="162" s="1"/>
  <c r="G55" i="162"/>
  <c r="F55" i="162"/>
  <c r="H54" i="162"/>
  <c r="I54" i="162" s="1"/>
  <c r="F54" i="162"/>
  <c r="N54" i="162" s="1"/>
  <c r="O54" i="162" s="1"/>
  <c r="F53" i="162"/>
  <c r="N53" i="162" s="1"/>
  <c r="O53" i="162" s="1"/>
  <c r="N52" i="162"/>
  <c r="O52" i="162" s="1"/>
  <c r="F52" i="162"/>
  <c r="L52" i="162" s="1"/>
  <c r="M52" i="162" s="1"/>
  <c r="N51" i="162"/>
  <c r="O51" i="162" s="1"/>
  <c r="L51" i="162"/>
  <c r="M51" i="162" s="1"/>
  <c r="F51" i="162"/>
  <c r="J51" i="162" s="1"/>
  <c r="K51" i="162" s="1"/>
  <c r="N50" i="162"/>
  <c r="O50" i="162" s="1"/>
  <c r="L50" i="162"/>
  <c r="M50" i="162" s="1"/>
  <c r="J50" i="162"/>
  <c r="K50" i="162" s="1"/>
  <c r="F50" i="162"/>
  <c r="H50" i="162" s="1"/>
  <c r="I50" i="162" s="1"/>
  <c r="N49" i="162"/>
  <c r="O49" i="162" s="1"/>
  <c r="L49" i="162"/>
  <c r="M49" i="162" s="1"/>
  <c r="J49" i="162"/>
  <c r="K49" i="162" s="1"/>
  <c r="H49" i="162"/>
  <c r="I49" i="162" s="1"/>
  <c r="G49" i="162"/>
  <c r="F49" i="162"/>
  <c r="H46" i="162"/>
  <c r="I46" i="162" s="1"/>
  <c r="F46" i="162"/>
  <c r="N46" i="162" s="1"/>
  <c r="O46" i="162" s="1"/>
  <c r="F43" i="162"/>
  <c r="N43" i="162" s="1"/>
  <c r="O43" i="162" s="1"/>
  <c r="N40" i="162"/>
  <c r="O40" i="162" s="1"/>
  <c r="F40" i="162"/>
  <c r="L40" i="162" s="1"/>
  <c r="M40" i="162" s="1"/>
  <c r="N102" i="161"/>
  <c r="O102" i="161" s="1"/>
  <c r="F102" i="161"/>
  <c r="L102" i="161" s="1"/>
  <c r="M102" i="161" s="1"/>
  <c r="O101" i="161"/>
  <c r="N101" i="161"/>
  <c r="L101" i="161"/>
  <c r="M101" i="161" s="1"/>
  <c r="H101" i="161"/>
  <c r="I101" i="161" s="1"/>
  <c r="F101" i="161"/>
  <c r="J101" i="161" s="1"/>
  <c r="K101" i="161" s="1"/>
  <c r="N100" i="161"/>
  <c r="O100" i="161" s="1"/>
  <c r="M100" i="161"/>
  <c r="L100" i="161"/>
  <c r="J100" i="161"/>
  <c r="K100" i="161" s="1"/>
  <c r="F100" i="161"/>
  <c r="H100" i="161" s="1"/>
  <c r="I100" i="161" s="1"/>
  <c r="N99" i="161"/>
  <c r="O99" i="161" s="1"/>
  <c r="L99" i="161"/>
  <c r="M99" i="161" s="1"/>
  <c r="J99" i="161"/>
  <c r="K99" i="161" s="1"/>
  <c r="H99" i="161"/>
  <c r="I99" i="161" s="1"/>
  <c r="F99" i="161"/>
  <c r="G99" i="161" s="1"/>
  <c r="H98" i="161"/>
  <c r="I98" i="161" s="1"/>
  <c r="G98" i="161"/>
  <c r="F98" i="161"/>
  <c r="F97" i="161"/>
  <c r="N96" i="161"/>
  <c r="O96" i="161" s="1"/>
  <c r="F96" i="161"/>
  <c r="L96" i="161" s="1"/>
  <c r="M96" i="161" s="1"/>
  <c r="N95" i="161"/>
  <c r="O95" i="161" s="1"/>
  <c r="L95" i="161"/>
  <c r="M95" i="161" s="1"/>
  <c r="H95" i="161"/>
  <c r="I95" i="161" s="1"/>
  <c r="F95" i="161"/>
  <c r="J95" i="161" s="1"/>
  <c r="K95" i="161" s="1"/>
  <c r="N94" i="161"/>
  <c r="O94" i="161" s="1"/>
  <c r="L94" i="161"/>
  <c r="M94" i="161" s="1"/>
  <c r="J94" i="161"/>
  <c r="K94" i="161" s="1"/>
  <c r="F94" i="161"/>
  <c r="H94" i="161" s="1"/>
  <c r="I94" i="161" s="1"/>
  <c r="N93" i="161"/>
  <c r="O93" i="161" s="1"/>
  <c r="L93" i="161"/>
  <c r="M93" i="161" s="1"/>
  <c r="J93" i="161"/>
  <c r="K93" i="161" s="1"/>
  <c r="H93" i="161"/>
  <c r="I93" i="161" s="1"/>
  <c r="F93" i="161"/>
  <c r="G93" i="161" s="1"/>
  <c r="F92" i="161"/>
  <c r="F91" i="161"/>
  <c r="N90" i="161"/>
  <c r="O90" i="161" s="1"/>
  <c r="F90" i="161"/>
  <c r="L90" i="161" s="1"/>
  <c r="M90" i="161" s="1"/>
  <c r="N89" i="161"/>
  <c r="O89" i="161" s="1"/>
  <c r="L89" i="161"/>
  <c r="M89" i="161" s="1"/>
  <c r="H89" i="161"/>
  <c r="I89" i="161" s="1"/>
  <c r="F89" i="161"/>
  <c r="J89" i="161" s="1"/>
  <c r="K89" i="161" s="1"/>
  <c r="N88" i="161"/>
  <c r="O88" i="161" s="1"/>
  <c r="L88" i="161"/>
  <c r="M88" i="161" s="1"/>
  <c r="K88" i="161"/>
  <c r="J88" i="161"/>
  <c r="F88" i="161"/>
  <c r="H88" i="161" s="1"/>
  <c r="I88" i="161" s="1"/>
  <c r="N87" i="161"/>
  <c r="O87" i="161" s="1"/>
  <c r="L87" i="161"/>
  <c r="M87" i="161" s="1"/>
  <c r="J87" i="161"/>
  <c r="K87" i="161" s="1"/>
  <c r="H87" i="161"/>
  <c r="I87" i="161" s="1"/>
  <c r="F87" i="161"/>
  <c r="G87" i="161" s="1"/>
  <c r="F86" i="161"/>
  <c r="F85" i="161"/>
  <c r="N84" i="161"/>
  <c r="O84" i="161" s="1"/>
  <c r="F84" i="161"/>
  <c r="L84" i="161" s="1"/>
  <c r="M84" i="161" s="1"/>
  <c r="N83" i="161"/>
  <c r="O83" i="161" s="1"/>
  <c r="M83" i="161"/>
  <c r="L83" i="161"/>
  <c r="H83" i="161"/>
  <c r="I83" i="161" s="1"/>
  <c r="F83" i="161"/>
  <c r="J83" i="161" s="1"/>
  <c r="K83" i="161" s="1"/>
  <c r="N82" i="161"/>
  <c r="O82" i="161" s="1"/>
  <c r="L82" i="161"/>
  <c r="M82" i="161" s="1"/>
  <c r="J82" i="161"/>
  <c r="K82" i="161" s="1"/>
  <c r="F82" i="161"/>
  <c r="H82" i="161" s="1"/>
  <c r="I82" i="161" s="1"/>
  <c r="N81" i="161"/>
  <c r="O81" i="161" s="1"/>
  <c r="L81" i="161"/>
  <c r="M81" i="161" s="1"/>
  <c r="J81" i="161"/>
  <c r="K81" i="161" s="1"/>
  <c r="I81" i="161"/>
  <c r="H81" i="161"/>
  <c r="F81" i="161"/>
  <c r="G81" i="161" s="1"/>
  <c r="F80" i="161"/>
  <c r="F79" i="161"/>
  <c r="O78" i="161"/>
  <c r="N78" i="161"/>
  <c r="F78" i="161"/>
  <c r="L78" i="161" s="1"/>
  <c r="M78" i="161" s="1"/>
  <c r="N77" i="161"/>
  <c r="O77" i="161" s="1"/>
  <c r="M77" i="161"/>
  <c r="L77" i="161"/>
  <c r="H77" i="161"/>
  <c r="I77" i="161" s="1"/>
  <c r="F77" i="161"/>
  <c r="J77" i="161" s="1"/>
  <c r="K77" i="161" s="1"/>
  <c r="N76" i="161"/>
  <c r="O76" i="161" s="1"/>
  <c r="L76" i="161"/>
  <c r="M76" i="161" s="1"/>
  <c r="J76" i="161"/>
  <c r="K76" i="161" s="1"/>
  <c r="F76" i="161"/>
  <c r="H76" i="161" s="1"/>
  <c r="I76" i="161" s="1"/>
  <c r="N75" i="161"/>
  <c r="O75" i="161" s="1"/>
  <c r="L75" i="161"/>
  <c r="M75" i="161" s="1"/>
  <c r="J75" i="161"/>
  <c r="K75" i="161" s="1"/>
  <c r="I75" i="161"/>
  <c r="H75" i="161"/>
  <c r="F75" i="161"/>
  <c r="G75" i="161" s="1"/>
  <c r="F74" i="161"/>
  <c r="F73" i="161"/>
  <c r="N72" i="161"/>
  <c r="O72" i="161" s="1"/>
  <c r="F72" i="161"/>
  <c r="L72" i="161" s="1"/>
  <c r="M72" i="161" s="1"/>
  <c r="O71" i="161"/>
  <c r="N71" i="161"/>
  <c r="L71" i="161"/>
  <c r="M71" i="161" s="1"/>
  <c r="H71" i="161"/>
  <c r="I71" i="161" s="1"/>
  <c r="F71" i="161"/>
  <c r="J71" i="161" s="1"/>
  <c r="K71" i="161" s="1"/>
  <c r="N70" i="161"/>
  <c r="O70" i="161" s="1"/>
  <c r="L70" i="161"/>
  <c r="M70" i="161" s="1"/>
  <c r="J70" i="161"/>
  <c r="K70" i="161" s="1"/>
  <c r="F70" i="161"/>
  <c r="H70" i="161" s="1"/>
  <c r="I70" i="161" s="1"/>
  <c r="N69" i="161"/>
  <c r="O69" i="161" s="1"/>
  <c r="L69" i="161"/>
  <c r="M69" i="161" s="1"/>
  <c r="J69" i="161"/>
  <c r="K69" i="161" s="1"/>
  <c r="H69" i="161"/>
  <c r="I69" i="161" s="1"/>
  <c r="F69" i="161"/>
  <c r="G69" i="161" s="1"/>
  <c r="H68" i="161"/>
  <c r="I68" i="161" s="1"/>
  <c r="F68" i="161"/>
  <c r="F67" i="161"/>
  <c r="O66" i="161"/>
  <c r="N66" i="161"/>
  <c r="F66" i="161"/>
  <c r="L66" i="161" s="1"/>
  <c r="M66" i="161" s="1"/>
  <c r="N65" i="161"/>
  <c r="O65" i="161" s="1"/>
  <c r="L65" i="161"/>
  <c r="M65" i="161" s="1"/>
  <c r="H65" i="161"/>
  <c r="I65" i="161" s="1"/>
  <c r="F65" i="161"/>
  <c r="J65" i="161" s="1"/>
  <c r="K65" i="161" s="1"/>
  <c r="N64" i="161"/>
  <c r="O64" i="161" s="1"/>
  <c r="L64" i="161"/>
  <c r="M64" i="161" s="1"/>
  <c r="K64" i="161"/>
  <c r="J64" i="161"/>
  <c r="F64" i="161"/>
  <c r="H64" i="161" s="1"/>
  <c r="I64" i="161" s="1"/>
  <c r="N63" i="161"/>
  <c r="O63" i="161" s="1"/>
  <c r="L63" i="161"/>
  <c r="M63" i="161" s="1"/>
  <c r="J63" i="161"/>
  <c r="K63" i="161" s="1"/>
  <c r="I63" i="161"/>
  <c r="H63" i="161"/>
  <c r="F63" i="161"/>
  <c r="G63" i="161" s="1"/>
  <c r="H62" i="161"/>
  <c r="I62" i="161" s="1"/>
  <c r="G62" i="161"/>
  <c r="F62" i="161"/>
  <c r="F61" i="161"/>
  <c r="N60" i="161"/>
  <c r="O60" i="161" s="1"/>
  <c r="F60" i="161"/>
  <c r="L60" i="161" s="1"/>
  <c r="M60" i="161" s="1"/>
  <c r="O59" i="161"/>
  <c r="N59" i="161"/>
  <c r="L59" i="161"/>
  <c r="M59" i="161" s="1"/>
  <c r="H59" i="161"/>
  <c r="I59" i="161" s="1"/>
  <c r="F59" i="161"/>
  <c r="J59" i="161" s="1"/>
  <c r="K59" i="161" s="1"/>
  <c r="N58" i="161"/>
  <c r="O58" i="161" s="1"/>
  <c r="L58" i="161"/>
  <c r="M58" i="161" s="1"/>
  <c r="J58" i="161"/>
  <c r="K58" i="161" s="1"/>
  <c r="F58" i="161"/>
  <c r="H58" i="161" s="1"/>
  <c r="I58" i="161" s="1"/>
  <c r="N57" i="161"/>
  <c r="O57" i="161" s="1"/>
  <c r="L57" i="161"/>
  <c r="M57" i="161" s="1"/>
  <c r="J57" i="161"/>
  <c r="K57" i="161" s="1"/>
  <c r="I57" i="161"/>
  <c r="H57" i="161"/>
  <c r="F57" i="161"/>
  <c r="G57" i="161" s="1"/>
  <c r="F56" i="161"/>
  <c r="F55" i="161"/>
  <c r="N54" i="161"/>
  <c r="O54" i="161" s="1"/>
  <c r="F54" i="161"/>
  <c r="J54" i="161" s="1"/>
  <c r="K54" i="161" s="1"/>
  <c r="O53" i="161"/>
  <c r="N53" i="161"/>
  <c r="L53" i="161"/>
  <c r="M53" i="161" s="1"/>
  <c r="H53" i="161"/>
  <c r="I53" i="161" s="1"/>
  <c r="F53" i="161"/>
  <c r="J53" i="161" s="1"/>
  <c r="K53" i="161" s="1"/>
  <c r="N52" i="161"/>
  <c r="O52" i="161" s="1"/>
  <c r="L52" i="161"/>
  <c r="M52" i="161" s="1"/>
  <c r="J52" i="161"/>
  <c r="K52" i="161" s="1"/>
  <c r="F52" i="161"/>
  <c r="H52" i="161" s="1"/>
  <c r="I52" i="161" s="1"/>
  <c r="N51" i="161"/>
  <c r="O51" i="161" s="1"/>
  <c r="L51" i="161"/>
  <c r="M51" i="161" s="1"/>
  <c r="J51" i="161"/>
  <c r="K51" i="161" s="1"/>
  <c r="H51" i="161"/>
  <c r="I51" i="161" s="1"/>
  <c r="F51" i="161"/>
  <c r="G51" i="161" s="1"/>
  <c r="H47" i="161"/>
  <c r="I47" i="161" s="1"/>
  <c r="F47" i="161"/>
  <c r="F43" i="161"/>
  <c r="O39" i="161"/>
  <c r="N39" i="161"/>
  <c r="F39" i="161"/>
  <c r="L39" i="161" s="1"/>
  <c r="M39" i="161" s="1"/>
  <c r="F111" i="160"/>
  <c r="N110" i="160"/>
  <c r="O110" i="160" s="1"/>
  <c r="M110" i="160"/>
  <c r="L110" i="160"/>
  <c r="H110" i="160"/>
  <c r="I110" i="160" s="1"/>
  <c r="F110" i="160"/>
  <c r="J110" i="160" s="1"/>
  <c r="K110" i="160" s="1"/>
  <c r="F109" i="160"/>
  <c r="H109" i="160" s="1"/>
  <c r="I109" i="160" s="1"/>
  <c r="L108" i="160"/>
  <c r="M108" i="160" s="1"/>
  <c r="J108" i="160"/>
  <c r="K108" i="160" s="1"/>
  <c r="I108" i="160"/>
  <c r="H108" i="160"/>
  <c r="F108" i="160"/>
  <c r="G108" i="160" s="1"/>
  <c r="N107" i="160"/>
  <c r="O107" i="160" s="1"/>
  <c r="J107" i="160"/>
  <c r="K107" i="160" s="1"/>
  <c r="H107" i="160"/>
  <c r="I107" i="160" s="1"/>
  <c r="G107" i="160"/>
  <c r="F107" i="160"/>
  <c r="L107" i="160" s="1"/>
  <c r="M107" i="160" s="1"/>
  <c r="H106" i="160"/>
  <c r="I106" i="160" s="1"/>
  <c r="F106" i="160"/>
  <c r="F105" i="160"/>
  <c r="O104" i="160"/>
  <c r="N104" i="160"/>
  <c r="L104" i="160"/>
  <c r="M104" i="160" s="1"/>
  <c r="J104" i="160"/>
  <c r="K104" i="160" s="1"/>
  <c r="H104" i="160"/>
  <c r="I104" i="160" s="1"/>
  <c r="F104" i="160"/>
  <c r="G104" i="160" s="1"/>
  <c r="N103" i="160"/>
  <c r="O103" i="160" s="1"/>
  <c r="L103" i="160"/>
  <c r="M103" i="160" s="1"/>
  <c r="J103" i="160"/>
  <c r="K103" i="160" s="1"/>
  <c r="G103" i="160"/>
  <c r="F103" i="160"/>
  <c r="H103" i="160" s="1"/>
  <c r="I103" i="160" s="1"/>
  <c r="L102" i="160"/>
  <c r="M102" i="160" s="1"/>
  <c r="K102" i="160"/>
  <c r="J102" i="160"/>
  <c r="H102" i="160"/>
  <c r="I102" i="160" s="1"/>
  <c r="F102" i="160"/>
  <c r="G102" i="160" s="1"/>
  <c r="N101" i="160"/>
  <c r="O101" i="160" s="1"/>
  <c r="J101" i="160"/>
  <c r="K101" i="160" s="1"/>
  <c r="I101" i="160"/>
  <c r="H101" i="160"/>
  <c r="F101" i="160"/>
  <c r="L101" i="160" s="1"/>
  <c r="M101" i="160" s="1"/>
  <c r="F100" i="160"/>
  <c r="N99" i="160"/>
  <c r="O99" i="160" s="1"/>
  <c r="J99" i="160"/>
  <c r="K99" i="160" s="1"/>
  <c r="F99" i="160"/>
  <c r="N98" i="160"/>
  <c r="O98" i="160" s="1"/>
  <c r="M98" i="160"/>
  <c r="L98" i="160"/>
  <c r="J98" i="160"/>
  <c r="K98" i="160" s="1"/>
  <c r="H98" i="160"/>
  <c r="I98" i="160" s="1"/>
  <c r="F98" i="160"/>
  <c r="G98" i="160" s="1"/>
  <c r="N97" i="160"/>
  <c r="O97" i="160" s="1"/>
  <c r="L97" i="160"/>
  <c r="M97" i="160" s="1"/>
  <c r="F97" i="160"/>
  <c r="H97" i="160" s="1"/>
  <c r="I97" i="160" s="1"/>
  <c r="L96" i="160"/>
  <c r="M96" i="160" s="1"/>
  <c r="J96" i="160"/>
  <c r="K96" i="160" s="1"/>
  <c r="H96" i="160"/>
  <c r="I96" i="160" s="1"/>
  <c r="F96" i="160"/>
  <c r="G96" i="160" s="1"/>
  <c r="N95" i="160"/>
  <c r="O95" i="160" s="1"/>
  <c r="J95" i="160"/>
  <c r="K95" i="160" s="1"/>
  <c r="H95" i="160"/>
  <c r="I95" i="160" s="1"/>
  <c r="G95" i="160"/>
  <c r="F95" i="160"/>
  <c r="L95" i="160" s="1"/>
  <c r="M95" i="160" s="1"/>
  <c r="F94" i="160"/>
  <c r="N93" i="160"/>
  <c r="O93" i="160" s="1"/>
  <c r="F93" i="160"/>
  <c r="O92" i="160"/>
  <c r="N92" i="160"/>
  <c r="L92" i="160"/>
  <c r="M92" i="160" s="1"/>
  <c r="J92" i="160"/>
  <c r="K92" i="160" s="1"/>
  <c r="H92" i="160"/>
  <c r="I92" i="160" s="1"/>
  <c r="F92" i="160"/>
  <c r="G92" i="160" s="1"/>
  <c r="N91" i="160"/>
  <c r="O91" i="160" s="1"/>
  <c r="J91" i="160"/>
  <c r="K91" i="160" s="1"/>
  <c r="F91" i="160"/>
  <c r="H91" i="160" s="1"/>
  <c r="I91" i="160" s="1"/>
  <c r="L90" i="160"/>
  <c r="M90" i="160" s="1"/>
  <c r="J90" i="160"/>
  <c r="K90" i="160" s="1"/>
  <c r="H90" i="160"/>
  <c r="I90" i="160" s="1"/>
  <c r="F90" i="160"/>
  <c r="G90" i="160" s="1"/>
  <c r="F89" i="160"/>
  <c r="L89" i="160" s="1"/>
  <c r="M89" i="160" s="1"/>
  <c r="F88" i="160"/>
  <c r="O87" i="160"/>
  <c r="N87" i="160"/>
  <c r="J87" i="160"/>
  <c r="K87" i="160" s="1"/>
  <c r="F87" i="160"/>
  <c r="N86" i="160"/>
  <c r="O86" i="160" s="1"/>
  <c r="L86" i="160"/>
  <c r="M86" i="160" s="1"/>
  <c r="J86" i="160"/>
  <c r="K86" i="160" s="1"/>
  <c r="H86" i="160"/>
  <c r="I86" i="160" s="1"/>
  <c r="F86" i="160"/>
  <c r="G86" i="160" s="1"/>
  <c r="F85" i="160"/>
  <c r="H85" i="160" s="1"/>
  <c r="I85" i="160" s="1"/>
  <c r="L84" i="160"/>
  <c r="M84" i="160" s="1"/>
  <c r="J84" i="160"/>
  <c r="K84" i="160" s="1"/>
  <c r="I84" i="160"/>
  <c r="H84" i="160"/>
  <c r="F84" i="160"/>
  <c r="G84" i="160" s="1"/>
  <c r="F83" i="160"/>
  <c r="L83" i="160" s="1"/>
  <c r="M83" i="160" s="1"/>
  <c r="L82" i="160"/>
  <c r="M82" i="160" s="1"/>
  <c r="H82" i="160"/>
  <c r="I82" i="160" s="1"/>
  <c r="G82" i="160"/>
  <c r="F82" i="160"/>
  <c r="F81" i="160"/>
  <c r="N80" i="160"/>
  <c r="O80" i="160" s="1"/>
  <c r="L80" i="160"/>
  <c r="M80" i="160" s="1"/>
  <c r="J80" i="160"/>
  <c r="K80" i="160" s="1"/>
  <c r="I80" i="160"/>
  <c r="H80" i="160"/>
  <c r="F80" i="160"/>
  <c r="G80" i="160" s="1"/>
  <c r="F79" i="160"/>
  <c r="H79" i="160" s="1"/>
  <c r="I79" i="160" s="1"/>
  <c r="L78" i="160"/>
  <c r="M78" i="160" s="1"/>
  <c r="K78" i="160"/>
  <c r="J78" i="160"/>
  <c r="H78" i="160"/>
  <c r="I78" i="160" s="1"/>
  <c r="F78" i="160"/>
  <c r="G78" i="160" s="1"/>
  <c r="F77" i="160"/>
  <c r="L77" i="160" s="1"/>
  <c r="M77" i="160" s="1"/>
  <c r="M76" i="160"/>
  <c r="L76" i="160"/>
  <c r="H76" i="160"/>
  <c r="I76" i="160" s="1"/>
  <c r="G76" i="160"/>
  <c r="F76" i="160"/>
  <c r="F75" i="160"/>
  <c r="O74" i="160"/>
  <c r="N74" i="160"/>
  <c r="L74" i="160"/>
  <c r="M74" i="160" s="1"/>
  <c r="J74" i="160"/>
  <c r="K74" i="160" s="1"/>
  <c r="H74" i="160"/>
  <c r="I74" i="160" s="1"/>
  <c r="F74" i="160"/>
  <c r="G74" i="160" s="1"/>
  <c r="N73" i="160"/>
  <c r="O73" i="160" s="1"/>
  <c r="L73" i="160"/>
  <c r="M73" i="160" s="1"/>
  <c r="K73" i="160"/>
  <c r="J73" i="160"/>
  <c r="F73" i="160"/>
  <c r="H73" i="160" s="1"/>
  <c r="I73" i="160" s="1"/>
  <c r="M72" i="160"/>
  <c r="L72" i="160"/>
  <c r="J72" i="160"/>
  <c r="K72" i="160" s="1"/>
  <c r="H72" i="160"/>
  <c r="I72" i="160" s="1"/>
  <c r="F72" i="160"/>
  <c r="G72" i="160" s="1"/>
  <c r="N71" i="160"/>
  <c r="O71" i="160" s="1"/>
  <c r="H71" i="160"/>
  <c r="I71" i="160" s="1"/>
  <c r="F71" i="160"/>
  <c r="L71" i="160" s="1"/>
  <c r="M71" i="160" s="1"/>
  <c r="F70" i="160"/>
  <c r="J69" i="160"/>
  <c r="K69" i="160" s="1"/>
  <c r="F69" i="160"/>
  <c r="N68" i="160"/>
  <c r="O68" i="160" s="1"/>
  <c r="L68" i="160"/>
  <c r="M68" i="160" s="1"/>
  <c r="J68" i="160"/>
  <c r="K68" i="160" s="1"/>
  <c r="I68" i="160"/>
  <c r="H68" i="160"/>
  <c r="F68" i="160"/>
  <c r="G68" i="160" s="1"/>
  <c r="F67" i="160"/>
  <c r="H67" i="160" s="1"/>
  <c r="I67" i="160" s="1"/>
  <c r="L66" i="160"/>
  <c r="M66" i="160" s="1"/>
  <c r="K66" i="160"/>
  <c r="J66" i="160"/>
  <c r="H66" i="160"/>
  <c r="I66" i="160" s="1"/>
  <c r="F66" i="160"/>
  <c r="G66" i="160" s="1"/>
  <c r="N65" i="160"/>
  <c r="O65" i="160" s="1"/>
  <c r="J65" i="160"/>
  <c r="K65" i="160" s="1"/>
  <c r="H65" i="160"/>
  <c r="I65" i="160" s="1"/>
  <c r="G65" i="160"/>
  <c r="F65" i="160"/>
  <c r="L65" i="160" s="1"/>
  <c r="M65" i="160" s="1"/>
  <c r="F64" i="160"/>
  <c r="N63" i="160"/>
  <c r="O63" i="160" s="1"/>
  <c r="J63" i="160"/>
  <c r="K63" i="160" s="1"/>
  <c r="G63" i="160"/>
  <c r="F63" i="160"/>
  <c r="N62" i="160"/>
  <c r="O62" i="160" s="1"/>
  <c r="M62" i="160"/>
  <c r="L62" i="160"/>
  <c r="J62" i="160"/>
  <c r="K62" i="160" s="1"/>
  <c r="H62" i="160"/>
  <c r="I62" i="160" s="1"/>
  <c r="F62" i="160"/>
  <c r="G62" i="160" s="1"/>
  <c r="N61" i="160"/>
  <c r="O61" i="160" s="1"/>
  <c r="M61" i="160"/>
  <c r="L61" i="160"/>
  <c r="J61" i="160"/>
  <c r="K61" i="160" s="1"/>
  <c r="G61" i="160"/>
  <c r="F61" i="160"/>
  <c r="H61" i="160" s="1"/>
  <c r="I61" i="160" s="1"/>
  <c r="L60" i="160"/>
  <c r="M60" i="160" s="1"/>
  <c r="J60" i="160"/>
  <c r="K60" i="160" s="1"/>
  <c r="H60" i="160"/>
  <c r="I60" i="160" s="1"/>
  <c r="F60" i="160"/>
  <c r="G60" i="160" s="1"/>
  <c r="F59" i="160"/>
  <c r="L59" i="160" s="1"/>
  <c r="M59" i="160" s="1"/>
  <c r="L58" i="160"/>
  <c r="M58" i="160" s="1"/>
  <c r="H58" i="160"/>
  <c r="I58" i="160" s="1"/>
  <c r="G58" i="160"/>
  <c r="F58" i="160"/>
  <c r="F57" i="160"/>
  <c r="N56" i="160"/>
  <c r="O56" i="160" s="1"/>
  <c r="L56" i="160"/>
  <c r="M56" i="160" s="1"/>
  <c r="J56" i="160"/>
  <c r="K56" i="160" s="1"/>
  <c r="H56" i="160"/>
  <c r="I56" i="160" s="1"/>
  <c r="F56" i="160"/>
  <c r="G56" i="160" s="1"/>
  <c r="F55" i="160"/>
  <c r="H55" i="160" s="1"/>
  <c r="I55" i="160" s="1"/>
  <c r="M54" i="160"/>
  <c r="L54" i="160"/>
  <c r="J54" i="160"/>
  <c r="K54" i="160" s="1"/>
  <c r="H54" i="160"/>
  <c r="I54" i="160" s="1"/>
  <c r="F54" i="160"/>
  <c r="G54" i="160" s="1"/>
  <c r="N53" i="160"/>
  <c r="O53" i="160" s="1"/>
  <c r="J53" i="160"/>
  <c r="K53" i="160" s="1"/>
  <c r="I53" i="160"/>
  <c r="H53" i="160"/>
  <c r="F53" i="160"/>
  <c r="L53" i="160" s="1"/>
  <c r="M53" i="160" s="1"/>
  <c r="F52" i="160"/>
  <c r="N51" i="160"/>
  <c r="O51" i="160" s="1"/>
  <c r="K51" i="160"/>
  <c r="J51" i="160"/>
  <c r="F51" i="160"/>
  <c r="O50" i="160"/>
  <c r="N50" i="160"/>
  <c r="L50" i="160"/>
  <c r="M50" i="160" s="1"/>
  <c r="J50" i="160"/>
  <c r="K50" i="160" s="1"/>
  <c r="H50" i="160"/>
  <c r="I50" i="160" s="1"/>
  <c r="F50" i="160"/>
  <c r="G50" i="160" s="1"/>
  <c r="F49" i="160"/>
  <c r="H49" i="160" s="1"/>
  <c r="I49" i="160" s="1"/>
  <c r="L45" i="160"/>
  <c r="M45" i="160" s="1"/>
  <c r="J45" i="160"/>
  <c r="K45" i="160" s="1"/>
  <c r="I45" i="160"/>
  <c r="H45" i="160"/>
  <c r="F45" i="160"/>
  <c r="G45" i="160" s="1"/>
  <c r="F41" i="160"/>
  <c r="L41" i="160" s="1"/>
  <c r="M41" i="160" s="1"/>
  <c r="L39" i="160"/>
  <c r="N37" i="160"/>
  <c r="O37" i="160" s="1"/>
  <c r="M37" i="160"/>
  <c r="H37" i="160"/>
  <c r="I37" i="160" s="1"/>
  <c r="F37" i="160"/>
  <c r="L37" i="160" s="1"/>
  <c r="F37" i="159"/>
  <c r="G37" i="159"/>
  <c r="H37" i="159"/>
  <c r="I37" i="159" s="1"/>
  <c r="J37" i="159"/>
  <c r="K37" i="159"/>
  <c r="L37" i="159"/>
  <c r="M37" i="159" s="1"/>
  <c r="N37" i="159"/>
  <c r="O37" i="159"/>
  <c r="L39" i="159"/>
  <c r="F41" i="159"/>
  <c r="F45" i="159"/>
  <c r="H45" i="159" s="1"/>
  <c r="I45" i="159" s="1"/>
  <c r="G45" i="159"/>
  <c r="L45" i="159"/>
  <c r="M45" i="159" s="1"/>
  <c r="F49" i="159"/>
  <c r="L49" i="159" s="1"/>
  <c r="M49" i="159" s="1"/>
  <c r="N49" i="159"/>
  <c r="O49" i="159" s="1"/>
  <c r="F50" i="159"/>
  <c r="G50" i="159"/>
  <c r="H50" i="159"/>
  <c r="I50" i="159"/>
  <c r="J50" i="159"/>
  <c r="K50" i="159"/>
  <c r="L50" i="159"/>
  <c r="M50" i="159" s="1"/>
  <c r="N50" i="159"/>
  <c r="O50" i="159"/>
  <c r="F51" i="159"/>
  <c r="J51" i="159"/>
  <c r="K51" i="159"/>
  <c r="L51" i="159"/>
  <c r="M51" i="159"/>
  <c r="N51" i="159"/>
  <c r="O51" i="159" s="1"/>
  <c r="F52" i="159"/>
  <c r="J52" i="159" s="1"/>
  <c r="K52" i="159" s="1"/>
  <c r="G52" i="159"/>
  <c r="H52" i="159"/>
  <c r="I52" i="159" s="1"/>
  <c r="L52" i="159"/>
  <c r="M52" i="159" s="1"/>
  <c r="N52" i="159"/>
  <c r="O52" i="159"/>
  <c r="F53" i="159"/>
  <c r="J53" i="159" s="1"/>
  <c r="K53" i="159" s="1"/>
  <c r="F54" i="159"/>
  <c r="G54" i="159"/>
  <c r="H54" i="159"/>
  <c r="I54" i="159" s="1"/>
  <c r="L54" i="159"/>
  <c r="M54" i="159" s="1"/>
  <c r="F55" i="159"/>
  <c r="L55" i="159" s="1"/>
  <c r="M55" i="159" s="1"/>
  <c r="F56" i="159"/>
  <c r="G56" i="159"/>
  <c r="H56" i="159"/>
  <c r="I56" i="159"/>
  <c r="J56" i="159"/>
  <c r="K56" i="159"/>
  <c r="L56" i="159"/>
  <c r="M56" i="159" s="1"/>
  <c r="N56" i="159"/>
  <c r="O56" i="159"/>
  <c r="F57" i="159"/>
  <c r="N57" i="159"/>
  <c r="O57" i="159" s="1"/>
  <c r="F58" i="159"/>
  <c r="J58" i="159" s="1"/>
  <c r="K58" i="159" s="1"/>
  <c r="G58" i="159"/>
  <c r="H58" i="159"/>
  <c r="I58" i="159" s="1"/>
  <c r="L58" i="159"/>
  <c r="M58" i="159" s="1"/>
  <c r="N58" i="159"/>
  <c r="O58" i="159" s="1"/>
  <c r="F59" i="159"/>
  <c r="J59" i="159"/>
  <c r="K59" i="159" s="1"/>
  <c r="N59" i="159"/>
  <c r="O59" i="159"/>
  <c r="F60" i="159"/>
  <c r="G60" i="159"/>
  <c r="H60" i="159"/>
  <c r="I60" i="159" s="1"/>
  <c r="L60" i="159"/>
  <c r="M60" i="159" s="1"/>
  <c r="F61" i="159"/>
  <c r="L61" i="159" s="1"/>
  <c r="G61" i="159"/>
  <c r="H61" i="159"/>
  <c r="I61" i="159"/>
  <c r="J61" i="159"/>
  <c r="K61" i="159" s="1"/>
  <c r="M61" i="159"/>
  <c r="N61" i="159"/>
  <c r="O61" i="159" s="1"/>
  <c r="F62" i="159"/>
  <c r="G62" i="159"/>
  <c r="H62" i="159"/>
  <c r="I62" i="159"/>
  <c r="J62" i="159"/>
  <c r="K62" i="159"/>
  <c r="L62" i="159"/>
  <c r="M62" i="159" s="1"/>
  <c r="N62" i="159"/>
  <c r="O62" i="159"/>
  <c r="F63" i="159"/>
  <c r="J63" i="159" s="1"/>
  <c r="K63" i="159" s="1"/>
  <c r="L63" i="159"/>
  <c r="M63" i="159" s="1"/>
  <c r="N63" i="159"/>
  <c r="O63" i="159" s="1"/>
  <c r="F64" i="159"/>
  <c r="J64" i="159" s="1"/>
  <c r="G64" i="159"/>
  <c r="H64" i="159"/>
  <c r="I64" i="159" s="1"/>
  <c r="K64" i="159"/>
  <c r="L64" i="159"/>
  <c r="M64" i="159"/>
  <c r="N64" i="159"/>
  <c r="O64" i="159" s="1"/>
  <c r="F65" i="159"/>
  <c r="H65" i="159"/>
  <c r="I65" i="159" s="1"/>
  <c r="J65" i="159"/>
  <c r="K65" i="159" s="1"/>
  <c r="F66" i="159"/>
  <c r="N66" i="159" s="1"/>
  <c r="G66" i="159"/>
  <c r="H66" i="159"/>
  <c r="I66" i="159" s="1"/>
  <c r="J66" i="159"/>
  <c r="K66" i="159" s="1"/>
  <c r="L66" i="159"/>
  <c r="M66" i="159" s="1"/>
  <c r="O66" i="159"/>
  <c r="F67" i="159"/>
  <c r="H67" i="159" s="1"/>
  <c r="I67" i="159" s="1"/>
  <c r="G67" i="159"/>
  <c r="N67" i="159"/>
  <c r="O67" i="159" s="1"/>
  <c r="F68" i="159"/>
  <c r="G68" i="159"/>
  <c r="H68" i="159"/>
  <c r="I68" i="159"/>
  <c r="J68" i="159"/>
  <c r="K68" i="159"/>
  <c r="L68" i="159"/>
  <c r="M68" i="159" s="1"/>
  <c r="N68" i="159"/>
  <c r="O68" i="159"/>
  <c r="F69" i="159"/>
  <c r="J69" i="159"/>
  <c r="K69" i="159"/>
  <c r="L69" i="159"/>
  <c r="M69" i="159"/>
  <c r="N69" i="159"/>
  <c r="O69" i="159" s="1"/>
  <c r="F70" i="159"/>
  <c r="J70" i="159" s="1"/>
  <c r="K70" i="159" s="1"/>
  <c r="G70" i="159"/>
  <c r="N70" i="159"/>
  <c r="O70" i="159"/>
  <c r="F71" i="159"/>
  <c r="H71" i="159" s="1"/>
  <c r="I71" i="159" s="1"/>
  <c r="F72" i="159"/>
  <c r="N72" i="159" s="1"/>
  <c r="G72" i="159"/>
  <c r="H72" i="159"/>
  <c r="I72" i="159" s="1"/>
  <c r="J72" i="159"/>
  <c r="K72" i="159"/>
  <c r="L72" i="159"/>
  <c r="M72" i="159" s="1"/>
  <c r="O72" i="159"/>
  <c r="F73" i="159"/>
  <c r="J73" i="159" s="1"/>
  <c r="K73" i="159" s="1"/>
  <c r="G73" i="159"/>
  <c r="F74" i="159"/>
  <c r="G74" i="159"/>
  <c r="H74" i="159"/>
  <c r="I74" i="159" s="1"/>
  <c r="J74" i="159"/>
  <c r="K74" i="159"/>
  <c r="L74" i="159"/>
  <c r="M74" i="159" s="1"/>
  <c r="N74" i="159"/>
  <c r="O74" i="159" s="1"/>
  <c r="F75" i="159"/>
  <c r="J75" i="159"/>
  <c r="K75" i="159"/>
  <c r="L75" i="159"/>
  <c r="M75" i="159"/>
  <c r="N75" i="159"/>
  <c r="O75" i="159" s="1"/>
  <c r="F76" i="159"/>
  <c r="J76" i="159" s="1"/>
  <c r="G76" i="159"/>
  <c r="K76" i="159"/>
  <c r="F77" i="159"/>
  <c r="J77" i="159" s="1"/>
  <c r="K77" i="159" s="1"/>
  <c r="H77" i="159"/>
  <c r="I77" i="159"/>
  <c r="N77" i="159"/>
  <c r="O77" i="159" s="1"/>
  <c r="F78" i="159"/>
  <c r="N78" i="159" s="1"/>
  <c r="O78" i="159" s="1"/>
  <c r="F79" i="159"/>
  <c r="N79" i="159" s="1"/>
  <c r="O79" i="159" s="1"/>
  <c r="F80" i="159"/>
  <c r="G80" i="159"/>
  <c r="H80" i="159"/>
  <c r="I80" i="159"/>
  <c r="J80" i="159"/>
  <c r="K80" i="159" s="1"/>
  <c r="L80" i="159"/>
  <c r="M80" i="159" s="1"/>
  <c r="N80" i="159"/>
  <c r="O80" i="159" s="1"/>
  <c r="F81" i="159"/>
  <c r="F82" i="159"/>
  <c r="J82" i="159" s="1"/>
  <c r="K82" i="159" s="1"/>
  <c r="F83" i="159"/>
  <c r="H83" i="159" s="1"/>
  <c r="I83" i="159" s="1"/>
  <c r="J83" i="159"/>
  <c r="K83" i="159" s="1"/>
  <c r="N83" i="159"/>
  <c r="O83" i="159"/>
  <c r="F84" i="159"/>
  <c r="N84" i="159" s="1"/>
  <c r="O84" i="159" s="1"/>
  <c r="F85" i="159"/>
  <c r="G85" i="159"/>
  <c r="H85" i="159"/>
  <c r="I85" i="159" s="1"/>
  <c r="J85" i="159"/>
  <c r="K85" i="159" s="1"/>
  <c r="L85" i="159"/>
  <c r="M85" i="159" s="1"/>
  <c r="N85" i="159"/>
  <c r="O85" i="159" s="1"/>
  <c r="F86" i="159"/>
  <c r="G86" i="159"/>
  <c r="H86" i="159"/>
  <c r="I86" i="159" s="1"/>
  <c r="J86" i="159"/>
  <c r="K86" i="159"/>
  <c r="L86" i="159"/>
  <c r="M86" i="159" s="1"/>
  <c r="N86" i="159"/>
  <c r="O86" i="159"/>
  <c r="F87" i="159"/>
  <c r="J87" i="159" s="1"/>
  <c r="K87" i="159" s="1"/>
  <c r="F88" i="159"/>
  <c r="J88" i="159" s="1"/>
  <c r="K88" i="159" s="1"/>
  <c r="G88" i="159"/>
  <c r="H88" i="159"/>
  <c r="I88" i="159" s="1"/>
  <c r="L88" i="159"/>
  <c r="M88" i="159"/>
  <c r="F89" i="159"/>
  <c r="H89" i="159"/>
  <c r="I89" i="159"/>
  <c r="J89" i="159"/>
  <c r="K89" i="159" s="1"/>
  <c r="N89" i="159"/>
  <c r="O89" i="159"/>
  <c r="F90" i="159"/>
  <c r="N90" i="159" s="1"/>
  <c r="O90" i="159" s="1"/>
  <c r="G90" i="159"/>
  <c r="H90" i="159"/>
  <c r="I90" i="159" s="1"/>
  <c r="J90" i="159"/>
  <c r="K90" i="159"/>
  <c r="F91" i="159"/>
  <c r="G91" i="159" s="1"/>
  <c r="H91" i="159"/>
  <c r="I91" i="159"/>
  <c r="J91" i="159"/>
  <c r="K91" i="159" s="1"/>
  <c r="L91" i="159"/>
  <c r="M91" i="159"/>
  <c r="N91" i="159"/>
  <c r="O91" i="159" s="1"/>
  <c r="F92" i="159"/>
  <c r="H92" i="159" s="1"/>
  <c r="I92" i="159" s="1"/>
  <c r="G92" i="159"/>
  <c r="L92" i="159"/>
  <c r="M92" i="159" s="1"/>
  <c r="N92" i="159"/>
  <c r="O92" i="159"/>
  <c r="F93" i="159"/>
  <c r="G93" i="159" s="1"/>
  <c r="H93" i="159"/>
  <c r="I93" i="159"/>
  <c r="J93" i="159"/>
  <c r="K93" i="159"/>
  <c r="F94" i="159"/>
  <c r="G94" i="159"/>
  <c r="H94" i="159"/>
  <c r="I94" i="159" s="1"/>
  <c r="J94" i="159"/>
  <c r="K94" i="159" s="1"/>
  <c r="L94" i="159"/>
  <c r="M94" i="159"/>
  <c r="N94" i="159"/>
  <c r="O94" i="159"/>
  <c r="F95" i="159"/>
  <c r="G95" i="159" s="1"/>
  <c r="H95" i="159"/>
  <c r="I95" i="159"/>
  <c r="J95" i="159"/>
  <c r="K95" i="159" s="1"/>
  <c r="L95" i="159"/>
  <c r="M95" i="159"/>
  <c r="N95" i="159"/>
  <c r="O95" i="159" s="1"/>
  <c r="F96" i="159"/>
  <c r="L96" i="159" s="1"/>
  <c r="M96" i="159" s="1"/>
  <c r="G96" i="159"/>
  <c r="J96" i="159"/>
  <c r="K96" i="159" s="1"/>
  <c r="F97" i="159"/>
  <c r="G97" i="159"/>
  <c r="H97" i="159"/>
  <c r="I97" i="159" s="1"/>
  <c r="J97" i="159"/>
  <c r="K97" i="159" s="1"/>
  <c r="L97" i="159"/>
  <c r="M97" i="159" s="1"/>
  <c r="N97" i="159"/>
  <c r="O97" i="159" s="1"/>
  <c r="F98" i="159"/>
  <c r="G98" i="159"/>
  <c r="H98" i="159"/>
  <c r="I98" i="159" s="1"/>
  <c r="J98" i="159"/>
  <c r="K98" i="159"/>
  <c r="L98" i="159"/>
  <c r="M98" i="159" s="1"/>
  <c r="N98" i="159"/>
  <c r="O98" i="159"/>
  <c r="F99" i="159"/>
  <c r="G99" i="159" s="1"/>
  <c r="F100" i="159"/>
  <c r="N100" i="159" s="1"/>
  <c r="O100" i="159" s="1"/>
  <c r="G100" i="159"/>
  <c r="F101" i="159"/>
  <c r="G101" i="159" s="1"/>
  <c r="J101" i="159"/>
  <c r="K101" i="159" s="1"/>
  <c r="L101" i="159"/>
  <c r="M101" i="159" s="1"/>
  <c r="N101" i="159"/>
  <c r="O101" i="159"/>
  <c r="F102" i="159"/>
  <c r="H102" i="159" s="1"/>
  <c r="I102" i="159" s="1"/>
  <c r="G102" i="159"/>
  <c r="N102" i="159"/>
  <c r="O102" i="159"/>
  <c r="F103" i="159"/>
  <c r="N103" i="159" s="1"/>
  <c r="O103" i="159" s="1"/>
  <c r="F104" i="159"/>
  <c r="G104" i="159" s="1"/>
  <c r="H104" i="159"/>
  <c r="I104" i="159"/>
  <c r="J104" i="159"/>
  <c r="K104" i="159" s="1"/>
  <c r="L104" i="159"/>
  <c r="M104" i="159" s="1"/>
  <c r="N104" i="159"/>
  <c r="O104" i="159" s="1"/>
  <c r="F105" i="159"/>
  <c r="G105" i="159" s="1"/>
  <c r="N105" i="159"/>
  <c r="O105" i="159" s="1"/>
  <c r="F106" i="159"/>
  <c r="L106" i="159" s="1"/>
  <c r="M106" i="159" s="1"/>
  <c r="G106" i="159"/>
  <c r="H106" i="159"/>
  <c r="I106" i="159" s="1"/>
  <c r="J106" i="159"/>
  <c r="K106" i="159"/>
  <c r="F107" i="159"/>
  <c r="G107" i="159" s="1"/>
  <c r="H107" i="159"/>
  <c r="I107" i="159"/>
  <c r="L107" i="159"/>
  <c r="M107" i="159"/>
  <c r="F108" i="159"/>
  <c r="G108" i="159"/>
  <c r="H108" i="159"/>
  <c r="I108" i="159" s="1"/>
  <c r="J108" i="159"/>
  <c r="K108" i="159"/>
  <c r="L108" i="159"/>
  <c r="M108" i="159" s="1"/>
  <c r="N108" i="159"/>
  <c r="O108" i="159" s="1"/>
  <c r="F109" i="159"/>
  <c r="J109" i="159" s="1"/>
  <c r="K109" i="159" s="1"/>
  <c r="G109" i="159"/>
  <c r="F110" i="159"/>
  <c r="L110" i="159" s="1"/>
  <c r="M110" i="159" s="1"/>
  <c r="G110" i="159"/>
  <c r="H110" i="159"/>
  <c r="I110" i="159" s="1"/>
  <c r="J110" i="159"/>
  <c r="K110" i="159"/>
  <c r="N110" i="159"/>
  <c r="O110" i="159" s="1"/>
  <c r="F111" i="159"/>
  <c r="G111" i="159" s="1"/>
  <c r="H111" i="159"/>
  <c r="I111" i="159" s="1"/>
  <c r="J111" i="159"/>
  <c r="K111" i="159"/>
  <c r="L111" i="159"/>
  <c r="M111" i="159" s="1"/>
  <c r="N111" i="159"/>
  <c r="O111" i="159" s="1"/>
  <c r="O111" i="158"/>
  <c r="N111" i="158"/>
  <c r="F111" i="158"/>
  <c r="L111" i="158" s="1"/>
  <c r="M111" i="158" s="1"/>
  <c r="N110" i="158"/>
  <c r="O110" i="158" s="1"/>
  <c r="L110" i="158"/>
  <c r="M110" i="158" s="1"/>
  <c r="J110" i="158"/>
  <c r="K110" i="158" s="1"/>
  <c r="G110" i="158"/>
  <c r="F110" i="158"/>
  <c r="H110" i="158" s="1"/>
  <c r="I110" i="158" s="1"/>
  <c r="N109" i="158"/>
  <c r="O109" i="158" s="1"/>
  <c r="L109" i="158"/>
  <c r="M109" i="158" s="1"/>
  <c r="J109" i="158"/>
  <c r="K109" i="158" s="1"/>
  <c r="H109" i="158"/>
  <c r="I109" i="158" s="1"/>
  <c r="G109" i="158"/>
  <c r="F109" i="158"/>
  <c r="L108" i="158"/>
  <c r="M108" i="158" s="1"/>
  <c r="J108" i="158"/>
  <c r="K108" i="158" s="1"/>
  <c r="H108" i="158"/>
  <c r="I108" i="158" s="1"/>
  <c r="F108" i="158"/>
  <c r="G108" i="158" s="1"/>
  <c r="G107" i="158"/>
  <c r="F107" i="158"/>
  <c r="F106" i="158"/>
  <c r="G106" i="158" s="1"/>
  <c r="N105" i="158"/>
  <c r="O105" i="158" s="1"/>
  <c r="F105" i="158"/>
  <c r="L105" i="158" s="1"/>
  <c r="M105" i="158" s="1"/>
  <c r="N104" i="158"/>
  <c r="O104" i="158" s="1"/>
  <c r="L104" i="158"/>
  <c r="M104" i="158" s="1"/>
  <c r="J104" i="158"/>
  <c r="K104" i="158" s="1"/>
  <c r="G104" i="158"/>
  <c r="F104" i="158"/>
  <c r="H104" i="158" s="1"/>
  <c r="I104" i="158" s="1"/>
  <c r="N103" i="158"/>
  <c r="O103" i="158" s="1"/>
  <c r="L103" i="158"/>
  <c r="M103" i="158" s="1"/>
  <c r="J103" i="158"/>
  <c r="K103" i="158" s="1"/>
  <c r="H103" i="158"/>
  <c r="I103" i="158" s="1"/>
  <c r="G103" i="158"/>
  <c r="F103" i="158"/>
  <c r="L102" i="158"/>
  <c r="M102" i="158" s="1"/>
  <c r="J102" i="158"/>
  <c r="K102" i="158" s="1"/>
  <c r="H102" i="158"/>
  <c r="I102" i="158" s="1"/>
  <c r="F102" i="158"/>
  <c r="G102" i="158" s="1"/>
  <c r="F101" i="158"/>
  <c r="H101" i="158" s="1"/>
  <c r="I101" i="158" s="1"/>
  <c r="F100" i="158"/>
  <c r="N99" i="158"/>
  <c r="O99" i="158" s="1"/>
  <c r="F99" i="158"/>
  <c r="L99" i="158" s="1"/>
  <c r="M99" i="158" s="1"/>
  <c r="N98" i="158"/>
  <c r="O98" i="158" s="1"/>
  <c r="M98" i="158"/>
  <c r="L98" i="158"/>
  <c r="J98" i="158"/>
  <c r="K98" i="158" s="1"/>
  <c r="G98" i="158"/>
  <c r="F98" i="158"/>
  <c r="H98" i="158" s="1"/>
  <c r="I98" i="158" s="1"/>
  <c r="N97" i="158"/>
  <c r="O97" i="158" s="1"/>
  <c r="L97" i="158"/>
  <c r="M97" i="158" s="1"/>
  <c r="J97" i="158"/>
  <c r="K97" i="158" s="1"/>
  <c r="H97" i="158"/>
  <c r="I97" i="158" s="1"/>
  <c r="G97" i="158"/>
  <c r="F97" i="158"/>
  <c r="L96" i="158"/>
  <c r="M96" i="158" s="1"/>
  <c r="J96" i="158"/>
  <c r="K96" i="158" s="1"/>
  <c r="I96" i="158"/>
  <c r="H96" i="158"/>
  <c r="F96" i="158"/>
  <c r="G96" i="158" s="1"/>
  <c r="F95" i="158"/>
  <c r="F94" i="158"/>
  <c r="N93" i="158"/>
  <c r="O93" i="158" s="1"/>
  <c r="F93" i="158"/>
  <c r="L93" i="158" s="1"/>
  <c r="M93" i="158" s="1"/>
  <c r="N92" i="158"/>
  <c r="O92" i="158" s="1"/>
  <c r="L92" i="158"/>
  <c r="M92" i="158" s="1"/>
  <c r="J92" i="158"/>
  <c r="K92" i="158" s="1"/>
  <c r="G92" i="158"/>
  <c r="F92" i="158"/>
  <c r="H92" i="158" s="1"/>
  <c r="I92" i="158" s="1"/>
  <c r="N91" i="158"/>
  <c r="O91" i="158" s="1"/>
  <c r="L91" i="158"/>
  <c r="M91" i="158" s="1"/>
  <c r="J91" i="158"/>
  <c r="K91" i="158" s="1"/>
  <c r="H91" i="158"/>
  <c r="I91" i="158" s="1"/>
  <c r="G91" i="158"/>
  <c r="F91" i="158"/>
  <c r="L90" i="158"/>
  <c r="M90" i="158" s="1"/>
  <c r="J90" i="158"/>
  <c r="K90" i="158" s="1"/>
  <c r="H90" i="158"/>
  <c r="I90" i="158" s="1"/>
  <c r="F90" i="158"/>
  <c r="G90" i="158" s="1"/>
  <c r="F89" i="158"/>
  <c r="F88" i="158"/>
  <c r="O87" i="158"/>
  <c r="N87" i="158"/>
  <c r="F87" i="158"/>
  <c r="L87" i="158" s="1"/>
  <c r="M87" i="158" s="1"/>
  <c r="N86" i="158"/>
  <c r="O86" i="158" s="1"/>
  <c r="M86" i="158"/>
  <c r="L86" i="158"/>
  <c r="J86" i="158"/>
  <c r="K86" i="158" s="1"/>
  <c r="G86" i="158"/>
  <c r="F86" i="158"/>
  <c r="H86" i="158" s="1"/>
  <c r="I86" i="158" s="1"/>
  <c r="N85" i="158"/>
  <c r="O85" i="158" s="1"/>
  <c r="L85" i="158"/>
  <c r="M85" i="158" s="1"/>
  <c r="J85" i="158"/>
  <c r="K85" i="158" s="1"/>
  <c r="H85" i="158"/>
  <c r="I85" i="158" s="1"/>
  <c r="G85" i="158"/>
  <c r="F85" i="158"/>
  <c r="L84" i="158"/>
  <c r="M84" i="158" s="1"/>
  <c r="J84" i="158"/>
  <c r="K84" i="158" s="1"/>
  <c r="H84" i="158"/>
  <c r="I84" i="158" s="1"/>
  <c r="F84" i="158"/>
  <c r="G84" i="158" s="1"/>
  <c r="F83" i="158"/>
  <c r="F82" i="158"/>
  <c r="N81" i="158"/>
  <c r="O81" i="158" s="1"/>
  <c r="F81" i="158"/>
  <c r="L81" i="158" s="1"/>
  <c r="M81" i="158" s="1"/>
  <c r="N80" i="158"/>
  <c r="O80" i="158" s="1"/>
  <c r="L80" i="158"/>
  <c r="M80" i="158" s="1"/>
  <c r="J80" i="158"/>
  <c r="K80" i="158" s="1"/>
  <c r="G80" i="158"/>
  <c r="F80" i="158"/>
  <c r="H80" i="158" s="1"/>
  <c r="I80" i="158" s="1"/>
  <c r="N79" i="158"/>
  <c r="O79" i="158" s="1"/>
  <c r="M79" i="158"/>
  <c r="L79" i="158"/>
  <c r="K79" i="158"/>
  <c r="J79" i="158"/>
  <c r="H79" i="158"/>
  <c r="I79" i="158" s="1"/>
  <c r="G79" i="158"/>
  <c r="F79" i="158"/>
  <c r="L78" i="158"/>
  <c r="M78" i="158" s="1"/>
  <c r="J78" i="158"/>
  <c r="K78" i="158" s="1"/>
  <c r="I78" i="158"/>
  <c r="H78" i="158"/>
  <c r="F78" i="158"/>
  <c r="G78" i="158" s="1"/>
  <c r="F77" i="158"/>
  <c r="F76" i="158"/>
  <c r="N75" i="158"/>
  <c r="O75" i="158" s="1"/>
  <c r="F75" i="158"/>
  <c r="L75" i="158" s="1"/>
  <c r="M75" i="158" s="1"/>
  <c r="O74" i="158"/>
  <c r="N74" i="158"/>
  <c r="M74" i="158"/>
  <c r="L74" i="158"/>
  <c r="J74" i="158"/>
  <c r="K74" i="158" s="1"/>
  <c r="G74" i="158"/>
  <c r="F74" i="158"/>
  <c r="H74" i="158" s="1"/>
  <c r="I74" i="158" s="1"/>
  <c r="N73" i="158"/>
  <c r="O73" i="158" s="1"/>
  <c r="L73" i="158"/>
  <c r="M73" i="158" s="1"/>
  <c r="J73" i="158"/>
  <c r="K73" i="158" s="1"/>
  <c r="H73" i="158"/>
  <c r="I73" i="158" s="1"/>
  <c r="G73" i="158"/>
  <c r="F73" i="158"/>
  <c r="L72" i="158"/>
  <c r="M72" i="158" s="1"/>
  <c r="K72" i="158"/>
  <c r="J72" i="158"/>
  <c r="H72" i="158"/>
  <c r="I72" i="158" s="1"/>
  <c r="F72" i="158"/>
  <c r="G72" i="158" s="1"/>
  <c r="F71" i="158"/>
  <c r="F70" i="158"/>
  <c r="N69" i="158"/>
  <c r="O69" i="158" s="1"/>
  <c r="F69" i="158"/>
  <c r="L69" i="158" s="1"/>
  <c r="M69" i="158" s="1"/>
  <c r="N68" i="158"/>
  <c r="O68" i="158" s="1"/>
  <c r="L68" i="158"/>
  <c r="M68" i="158" s="1"/>
  <c r="J68" i="158"/>
  <c r="K68" i="158" s="1"/>
  <c r="G68" i="158"/>
  <c r="F68" i="158"/>
  <c r="H68" i="158" s="1"/>
  <c r="I68" i="158" s="1"/>
  <c r="N67" i="158"/>
  <c r="O67" i="158" s="1"/>
  <c r="M67" i="158"/>
  <c r="L67" i="158"/>
  <c r="K67" i="158"/>
  <c r="J67" i="158"/>
  <c r="H67" i="158"/>
  <c r="I67" i="158" s="1"/>
  <c r="G67" i="158"/>
  <c r="F67" i="158"/>
  <c r="L66" i="158"/>
  <c r="M66" i="158" s="1"/>
  <c r="J66" i="158"/>
  <c r="K66" i="158" s="1"/>
  <c r="I66" i="158"/>
  <c r="H66" i="158"/>
  <c r="F66" i="158"/>
  <c r="G66" i="158" s="1"/>
  <c r="F65" i="158"/>
  <c r="F64" i="158"/>
  <c r="N63" i="158"/>
  <c r="O63" i="158" s="1"/>
  <c r="F63" i="158"/>
  <c r="L63" i="158" s="1"/>
  <c r="M63" i="158" s="1"/>
  <c r="O62" i="158"/>
  <c r="N62" i="158"/>
  <c r="M62" i="158"/>
  <c r="L62" i="158"/>
  <c r="J62" i="158"/>
  <c r="K62" i="158" s="1"/>
  <c r="G62" i="158"/>
  <c r="F62" i="158"/>
  <c r="H62" i="158" s="1"/>
  <c r="I62" i="158" s="1"/>
  <c r="N61" i="158"/>
  <c r="O61" i="158" s="1"/>
  <c r="L61" i="158"/>
  <c r="M61" i="158" s="1"/>
  <c r="J61" i="158"/>
  <c r="K61" i="158" s="1"/>
  <c r="H61" i="158"/>
  <c r="I61" i="158" s="1"/>
  <c r="G61" i="158"/>
  <c r="F61" i="158"/>
  <c r="L60" i="158"/>
  <c r="M60" i="158" s="1"/>
  <c r="K60" i="158"/>
  <c r="J60" i="158"/>
  <c r="H60" i="158"/>
  <c r="I60" i="158" s="1"/>
  <c r="F60" i="158"/>
  <c r="G60" i="158" s="1"/>
  <c r="F59" i="158"/>
  <c r="F58" i="158"/>
  <c r="N57" i="158"/>
  <c r="O57" i="158" s="1"/>
  <c r="F57" i="158"/>
  <c r="L57" i="158" s="1"/>
  <c r="M57" i="158" s="1"/>
  <c r="N56" i="158"/>
  <c r="O56" i="158" s="1"/>
  <c r="L56" i="158"/>
  <c r="M56" i="158" s="1"/>
  <c r="J56" i="158"/>
  <c r="K56" i="158" s="1"/>
  <c r="G56" i="158"/>
  <c r="F56" i="158"/>
  <c r="H56" i="158" s="1"/>
  <c r="I56" i="158" s="1"/>
  <c r="N55" i="158"/>
  <c r="O55" i="158" s="1"/>
  <c r="M55" i="158"/>
  <c r="L55" i="158"/>
  <c r="K55" i="158"/>
  <c r="J55" i="158"/>
  <c r="H55" i="158"/>
  <c r="I55" i="158" s="1"/>
  <c r="G55" i="158"/>
  <c r="F55" i="158"/>
  <c r="L54" i="158"/>
  <c r="M54" i="158" s="1"/>
  <c r="J54" i="158"/>
  <c r="K54" i="158" s="1"/>
  <c r="I54" i="158"/>
  <c r="H54" i="158"/>
  <c r="F54" i="158"/>
  <c r="G54" i="158" s="1"/>
  <c r="F53" i="158"/>
  <c r="F52" i="158"/>
  <c r="N51" i="158"/>
  <c r="O51" i="158" s="1"/>
  <c r="F51" i="158"/>
  <c r="L51" i="158" s="1"/>
  <c r="M51" i="158" s="1"/>
  <c r="O50" i="158"/>
  <c r="N50" i="158"/>
  <c r="M50" i="158"/>
  <c r="L50" i="158"/>
  <c r="J50" i="158"/>
  <c r="K50" i="158" s="1"/>
  <c r="G50" i="158"/>
  <c r="F50" i="158"/>
  <c r="H50" i="158" s="1"/>
  <c r="I50" i="158" s="1"/>
  <c r="N49" i="158"/>
  <c r="O49" i="158" s="1"/>
  <c r="L49" i="158"/>
  <c r="M49" i="158" s="1"/>
  <c r="J49" i="158"/>
  <c r="K49" i="158" s="1"/>
  <c r="H49" i="158"/>
  <c r="I49" i="158" s="1"/>
  <c r="G49" i="158"/>
  <c r="F49" i="158"/>
  <c r="L45" i="158"/>
  <c r="M45" i="158" s="1"/>
  <c r="K45" i="158"/>
  <c r="J45" i="158"/>
  <c r="H45" i="158"/>
  <c r="I45" i="158" s="1"/>
  <c r="G45" i="158"/>
  <c r="N100" i="157"/>
  <c r="O100" i="157" s="1"/>
  <c r="F100" i="157"/>
  <c r="L100" i="157" s="1"/>
  <c r="M100" i="157" s="1"/>
  <c r="O99" i="157"/>
  <c r="N99" i="157"/>
  <c r="L99" i="157"/>
  <c r="M99" i="157" s="1"/>
  <c r="J99" i="157"/>
  <c r="K99" i="157" s="1"/>
  <c r="F99" i="157"/>
  <c r="H99" i="157" s="1"/>
  <c r="I99" i="157" s="1"/>
  <c r="N98" i="157"/>
  <c r="O98" i="157" s="1"/>
  <c r="M98" i="157"/>
  <c r="L98" i="157"/>
  <c r="J98" i="157"/>
  <c r="K98" i="157" s="1"/>
  <c r="H98" i="157"/>
  <c r="I98" i="157" s="1"/>
  <c r="G98" i="157"/>
  <c r="F98" i="157"/>
  <c r="L97" i="157"/>
  <c r="M97" i="157" s="1"/>
  <c r="K97" i="157"/>
  <c r="J97" i="157"/>
  <c r="H97" i="157"/>
  <c r="I97" i="157" s="1"/>
  <c r="F97" i="157"/>
  <c r="G97" i="157" s="1"/>
  <c r="F96" i="157"/>
  <c r="J96" i="157" s="1"/>
  <c r="K96" i="157" s="1"/>
  <c r="H95" i="157"/>
  <c r="I95" i="157" s="1"/>
  <c r="G95" i="157"/>
  <c r="F95" i="157"/>
  <c r="N95" i="157" s="1"/>
  <c r="O95" i="157" s="1"/>
  <c r="N94" i="157"/>
  <c r="O94" i="157" s="1"/>
  <c r="F94" i="157"/>
  <c r="L94" i="157" s="1"/>
  <c r="M94" i="157" s="1"/>
  <c r="O93" i="157"/>
  <c r="N93" i="157"/>
  <c r="L93" i="157"/>
  <c r="M93" i="157" s="1"/>
  <c r="J93" i="157"/>
  <c r="K93" i="157" s="1"/>
  <c r="I93" i="157"/>
  <c r="H93" i="157"/>
  <c r="F93" i="157"/>
  <c r="G93" i="157" s="1"/>
  <c r="N92" i="157"/>
  <c r="O92" i="157" s="1"/>
  <c r="M92" i="157"/>
  <c r="L92" i="157"/>
  <c r="J92" i="157"/>
  <c r="K92" i="157" s="1"/>
  <c r="H92" i="157"/>
  <c r="I92" i="157" s="1"/>
  <c r="G92" i="157"/>
  <c r="F92" i="157"/>
  <c r="L91" i="157"/>
  <c r="M91" i="157" s="1"/>
  <c r="K91" i="157"/>
  <c r="J91" i="157"/>
  <c r="H91" i="157"/>
  <c r="I91" i="157" s="1"/>
  <c r="F91" i="157"/>
  <c r="G91" i="157" s="1"/>
  <c r="F90" i="157"/>
  <c r="J90" i="157" s="1"/>
  <c r="K90" i="157" s="1"/>
  <c r="H89" i="157"/>
  <c r="I89" i="157" s="1"/>
  <c r="G89" i="157"/>
  <c r="F89" i="157"/>
  <c r="N89" i="157" s="1"/>
  <c r="O89" i="157" s="1"/>
  <c r="N88" i="157"/>
  <c r="O88" i="157" s="1"/>
  <c r="F88" i="157"/>
  <c r="L88" i="157" s="1"/>
  <c r="M88" i="157" s="1"/>
  <c r="O87" i="157"/>
  <c r="N87" i="157"/>
  <c r="L87" i="157"/>
  <c r="M87" i="157" s="1"/>
  <c r="J87" i="157"/>
  <c r="K87" i="157" s="1"/>
  <c r="I87" i="157"/>
  <c r="H87" i="157"/>
  <c r="F87" i="157"/>
  <c r="G87" i="157" s="1"/>
  <c r="N86" i="157"/>
  <c r="O86" i="157" s="1"/>
  <c r="M86" i="157"/>
  <c r="L86" i="157"/>
  <c r="J86" i="157"/>
  <c r="K86" i="157" s="1"/>
  <c r="H86" i="157"/>
  <c r="I86" i="157" s="1"/>
  <c r="G86" i="157"/>
  <c r="F86" i="157"/>
  <c r="L85" i="157"/>
  <c r="M85" i="157" s="1"/>
  <c r="K85" i="157"/>
  <c r="J85" i="157"/>
  <c r="H85" i="157"/>
  <c r="I85" i="157" s="1"/>
  <c r="F85" i="157"/>
  <c r="G85" i="157" s="1"/>
  <c r="F84" i="157"/>
  <c r="N84" i="157" s="1"/>
  <c r="O84" i="157" s="1"/>
  <c r="H83" i="157"/>
  <c r="I83" i="157" s="1"/>
  <c r="G83" i="157"/>
  <c r="F83" i="157"/>
  <c r="N83" i="157" s="1"/>
  <c r="O83" i="157" s="1"/>
  <c r="N82" i="157"/>
  <c r="O82" i="157" s="1"/>
  <c r="F82" i="157"/>
  <c r="L82" i="157" s="1"/>
  <c r="M82" i="157" s="1"/>
  <c r="O81" i="157"/>
  <c r="N81" i="157"/>
  <c r="L81" i="157"/>
  <c r="M81" i="157" s="1"/>
  <c r="J81" i="157"/>
  <c r="K81" i="157" s="1"/>
  <c r="I81" i="157"/>
  <c r="H81" i="157"/>
  <c r="F81" i="157"/>
  <c r="G81" i="157" s="1"/>
  <c r="N80" i="157"/>
  <c r="O80" i="157" s="1"/>
  <c r="M80" i="157"/>
  <c r="L80" i="157"/>
  <c r="J80" i="157"/>
  <c r="K80" i="157" s="1"/>
  <c r="H80" i="157"/>
  <c r="I80" i="157" s="1"/>
  <c r="G80" i="157"/>
  <c r="F80" i="157"/>
  <c r="L79" i="157"/>
  <c r="M79" i="157" s="1"/>
  <c r="K79" i="157"/>
  <c r="J79" i="157"/>
  <c r="H79" i="157"/>
  <c r="I79" i="157" s="1"/>
  <c r="F79" i="157"/>
  <c r="G79" i="157" s="1"/>
  <c r="F78" i="157"/>
  <c r="N78" i="157" s="1"/>
  <c r="O78" i="157" s="1"/>
  <c r="H77" i="157"/>
  <c r="I77" i="157" s="1"/>
  <c r="G77" i="157"/>
  <c r="F77" i="157"/>
  <c r="N77" i="157" s="1"/>
  <c r="O77" i="157" s="1"/>
  <c r="N76" i="157"/>
  <c r="O76" i="157" s="1"/>
  <c r="F76" i="157"/>
  <c r="L76" i="157" s="1"/>
  <c r="M76" i="157" s="1"/>
  <c r="O75" i="157"/>
  <c r="N75" i="157"/>
  <c r="L75" i="157"/>
  <c r="M75" i="157" s="1"/>
  <c r="J75" i="157"/>
  <c r="K75" i="157" s="1"/>
  <c r="I75" i="157"/>
  <c r="H75" i="157"/>
  <c r="F75" i="157"/>
  <c r="G75" i="157" s="1"/>
  <c r="N74" i="157"/>
  <c r="O74" i="157" s="1"/>
  <c r="M74" i="157"/>
  <c r="L74" i="157"/>
  <c r="J74" i="157"/>
  <c r="K74" i="157" s="1"/>
  <c r="H74" i="157"/>
  <c r="I74" i="157" s="1"/>
  <c r="G74" i="157"/>
  <c r="F74" i="157"/>
  <c r="L73" i="157"/>
  <c r="M73" i="157" s="1"/>
  <c r="K73" i="157"/>
  <c r="J73" i="157"/>
  <c r="H73" i="157"/>
  <c r="I73" i="157" s="1"/>
  <c r="F73" i="157"/>
  <c r="G73" i="157" s="1"/>
  <c r="F72" i="157"/>
  <c r="J72" i="157" s="1"/>
  <c r="K72" i="157" s="1"/>
  <c r="H71" i="157"/>
  <c r="I71" i="157" s="1"/>
  <c r="G71" i="157"/>
  <c r="F71" i="157"/>
  <c r="N71" i="157" s="1"/>
  <c r="O71" i="157" s="1"/>
  <c r="N70" i="157"/>
  <c r="O70" i="157" s="1"/>
  <c r="F70" i="157"/>
  <c r="L70" i="157" s="1"/>
  <c r="M70" i="157" s="1"/>
  <c r="O69" i="157"/>
  <c r="N69" i="157"/>
  <c r="L69" i="157"/>
  <c r="M69" i="157" s="1"/>
  <c r="J69" i="157"/>
  <c r="K69" i="157" s="1"/>
  <c r="I69" i="157"/>
  <c r="H69" i="157"/>
  <c r="F69" i="157"/>
  <c r="G69" i="157" s="1"/>
  <c r="N68" i="157"/>
  <c r="O68" i="157" s="1"/>
  <c r="M68" i="157"/>
  <c r="L68" i="157"/>
  <c r="J68" i="157"/>
  <c r="K68" i="157" s="1"/>
  <c r="H68" i="157"/>
  <c r="I68" i="157" s="1"/>
  <c r="G68" i="157"/>
  <c r="F68" i="157"/>
  <c r="L67" i="157"/>
  <c r="M67" i="157" s="1"/>
  <c r="K67" i="157"/>
  <c r="J67" i="157"/>
  <c r="H67" i="157"/>
  <c r="I67" i="157" s="1"/>
  <c r="F67" i="157"/>
  <c r="G67" i="157" s="1"/>
  <c r="F66" i="157"/>
  <c r="N66" i="157" s="1"/>
  <c r="O66" i="157" s="1"/>
  <c r="H65" i="157"/>
  <c r="I65" i="157" s="1"/>
  <c r="G65" i="157"/>
  <c r="F65" i="157"/>
  <c r="N65" i="157" s="1"/>
  <c r="O65" i="157" s="1"/>
  <c r="N64" i="157"/>
  <c r="O64" i="157" s="1"/>
  <c r="F64" i="157"/>
  <c r="L64" i="157" s="1"/>
  <c r="M64" i="157" s="1"/>
  <c r="O63" i="157"/>
  <c r="N63" i="157"/>
  <c r="L63" i="157"/>
  <c r="M63" i="157" s="1"/>
  <c r="J63" i="157"/>
  <c r="K63" i="157" s="1"/>
  <c r="F63" i="157"/>
  <c r="H63" i="157" s="1"/>
  <c r="I63" i="157" s="1"/>
  <c r="N62" i="157"/>
  <c r="O62" i="157" s="1"/>
  <c r="M62" i="157"/>
  <c r="L62" i="157"/>
  <c r="J62" i="157"/>
  <c r="K62" i="157" s="1"/>
  <c r="H62" i="157"/>
  <c r="I62" i="157" s="1"/>
  <c r="G62" i="157"/>
  <c r="F62" i="157"/>
  <c r="L61" i="157"/>
  <c r="M61" i="157" s="1"/>
  <c r="K61" i="157"/>
  <c r="J61" i="157"/>
  <c r="H61" i="157"/>
  <c r="I61" i="157" s="1"/>
  <c r="F61" i="157"/>
  <c r="G61" i="157" s="1"/>
  <c r="F60" i="157"/>
  <c r="J60" i="157" s="1"/>
  <c r="K60" i="157" s="1"/>
  <c r="H59" i="157"/>
  <c r="I59" i="157" s="1"/>
  <c r="G59" i="157"/>
  <c r="F59" i="157"/>
  <c r="N59" i="157" s="1"/>
  <c r="O59" i="157" s="1"/>
  <c r="N58" i="157"/>
  <c r="O58" i="157" s="1"/>
  <c r="F58" i="157"/>
  <c r="L58" i="157" s="1"/>
  <c r="M58" i="157" s="1"/>
  <c r="O57" i="157"/>
  <c r="N57" i="157"/>
  <c r="L57" i="157"/>
  <c r="M57" i="157" s="1"/>
  <c r="J57" i="157"/>
  <c r="K57" i="157" s="1"/>
  <c r="F57" i="157"/>
  <c r="H57" i="157" s="1"/>
  <c r="I57" i="157" s="1"/>
  <c r="N56" i="157"/>
  <c r="O56" i="157" s="1"/>
  <c r="M56" i="157"/>
  <c r="L56" i="157"/>
  <c r="J56" i="157"/>
  <c r="K56" i="157" s="1"/>
  <c r="H56" i="157"/>
  <c r="I56" i="157" s="1"/>
  <c r="G56" i="157"/>
  <c r="F56" i="157"/>
  <c r="L55" i="157"/>
  <c r="M55" i="157" s="1"/>
  <c r="K55" i="157"/>
  <c r="J55" i="157"/>
  <c r="H55" i="157"/>
  <c r="I55" i="157" s="1"/>
  <c r="F55" i="157"/>
  <c r="G55" i="157" s="1"/>
  <c r="F54" i="157"/>
  <c r="J54" i="157" s="1"/>
  <c r="K54" i="157" s="1"/>
  <c r="H53" i="157"/>
  <c r="I53" i="157" s="1"/>
  <c r="G53" i="157"/>
  <c r="F53" i="157"/>
  <c r="N53" i="157" s="1"/>
  <c r="O53" i="157" s="1"/>
  <c r="N52" i="157"/>
  <c r="O52" i="157" s="1"/>
  <c r="F52" i="157"/>
  <c r="L52" i="157" s="1"/>
  <c r="M52" i="157" s="1"/>
  <c r="O51" i="157"/>
  <c r="N51" i="157"/>
  <c r="L51" i="157"/>
  <c r="M51" i="157" s="1"/>
  <c r="J51" i="157"/>
  <c r="K51" i="157" s="1"/>
  <c r="F51" i="157"/>
  <c r="H51" i="157" s="1"/>
  <c r="I51" i="157" s="1"/>
  <c r="N50" i="157"/>
  <c r="O50" i="157" s="1"/>
  <c r="M50" i="157"/>
  <c r="L50" i="157"/>
  <c r="J50" i="157"/>
  <c r="K50" i="157" s="1"/>
  <c r="H50" i="157"/>
  <c r="I50" i="157" s="1"/>
  <c r="G50" i="157"/>
  <c r="F50" i="157"/>
  <c r="L49" i="157"/>
  <c r="M49" i="157" s="1"/>
  <c r="K49" i="157"/>
  <c r="J49" i="157"/>
  <c r="H49" i="157"/>
  <c r="I49" i="157" s="1"/>
  <c r="F49" i="157"/>
  <c r="G49" i="157" s="1"/>
  <c r="F48" i="157"/>
  <c r="N48" i="157" s="1"/>
  <c r="O48" i="157" s="1"/>
  <c r="H44" i="157"/>
  <c r="I44" i="157" s="1"/>
  <c r="G44" i="157"/>
  <c r="F44" i="157"/>
  <c r="N44" i="157" s="1"/>
  <c r="O44" i="157" s="1"/>
  <c r="N40" i="157"/>
  <c r="O40" i="157" s="1"/>
  <c r="F40" i="157"/>
  <c r="L40" i="157" s="1"/>
  <c r="M40" i="157" s="1"/>
  <c r="O36" i="157"/>
  <c r="N36" i="157"/>
  <c r="L36" i="157"/>
  <c r="M36" i="157" s="1"/>
  <c r="J36" i="157"/>
  <c r="K36" i="157" s="1"/>
  <c r="F36" i="157"/>
  <c r="H36" i="157" s="1"/>
  <c r="I36" i="157" s="1"/>
  <c r="F102" i="155"/>
  <c r="N101" i="155"/>
  <c r="O101" i="155" s="1"/>
  <c r="L101" i="155"/>
  <c r="M101" i="155" s="1"/>
  <c r="H101" i="155"/>
  <c r="I101" i="155" s="1"/>
  <c r="F101" i="155"/>
  <c r="J101" i="155" s="1"/>
  <c r="K101" i="155" s="1"/>
  <c r="N100" i="155"/>
  <c r="O100" i="155" s="1"/>
  <c r="L100" i="155"/>
  <c r="M100" i="155" s="1"/>
  <c r="K100" i="155"/>
  <c r="J100" i="155"/>
  <c r="F100" i="155"/>
  <c r="H100" i="155" s="1"/>
  <c r="I100" i="155" s="1"/>
  <c r="N99" i="155"/>
  <c r="O99" i="155" s="1"/>
  <c r="L99" i="155"/>
  <c r="M99" i="155" s="1"/>
  <c r="J99" i="155"/>
  <c r="K99" i="155" s="1"/>
  <c r="I99" i="155"/>
  <c r="H99" i="155"/>
  <c r="F99" i="155"/>
  <c r="G99" i="155" s="1"/>
  <c r="F98" i="155"/>
  <c r="H98" i="155" s="1"/>
  <c r="I98" i="155" s="1"/>
  <c r="F97" i="155"/>
  <c r="F96" i="155"/>
  <c r="N95" i="155"/>
  <c r="O95" i="155" s="1"/>
  <c r="L95" i="155"/>
  <c r="M95" i="155" s="1"/>
  <c r="H95" i="155"/>
  <c r="I95" i="155" s="1"/>
  <c r="F95" i="155"/>
  <c r="J95" i="155" s="1"/>
  <c r="K95" i="155" s="1"/>
  <c r="N94" i="155"/>
  <c r="O94" i="155" s="1"/>
  <c r="L94" i="155"/>
  <c r="M94" i="155" s="1"/>
  <c r="J94" i="155"/>
  <c r="K94" i="155" s="1"/>
  <c r="F94" i="155"/>
  <c r="H94" i="155" s="1"/>
  <c r="I94" i="155" s="1"/>
  <c r="N93" i="155"/>
  <c r="O93" i="155" s="1"/>
  <c r="L93" i="155"/>
  <c r="M93" i="155" s="1"/>
  <c r="J93" i="155"/>
  <c r="K93" i="155" s="1"/>
  <c r="H93" i="155"/>
  <c r="I93" i="155" s="1"/>
  <c r="F93" i="155"/>
  <c r="G93" i="155" s="1"/>
  <c r="F92" i="155"/>
  <c r="F91" i="155"/>
  <c r="F90" i="155"/>
  <c r="O89" i="155"/>
  <c r="N89" i="155"/>
  <c r="L89" i="155"/>
  <c r="M89" i="155" s="1"/>
  <c r="H89" i="155"/>
  <c r="I89" i="155" s="1"/>
  <c r="F89" i="155"/>
  <c r="J89" i="155" s="1"/>
  <c r="K89" i="155" s="1"/>
  <c r="N88" i="155"/>
  <c r="O88" i="155" s="1"/>
  <c r="M88" i="155"/>
  <c r="L88" i="155"/>
  <c r="J88" i="155"/>
  <c r="K88" i="155" s="1"/>
  <c r="F88" i="155"/>
  <c r="H88" i="155" s="1"/>
  <c r="I88" i="155" s="1"/>
  <c r="N87" i="155"/>
  <c r="O87" i="155" s="1"/>
  <c r="L87" i="155"/>
  <c r="M87" i="155" s="1"/>
  <c r="J87" i="155"/>
  <c r="K87" i="155" s="1"/>
  <c r="H87" i="155"/>
  <c r="I87" i="155" s="1"/>
  <c r="F87" i="155"/>
  <c r="G87" i="155" s="1"/>
  <c r="H86" i="155"/>
  <c r="I86" i="155" s="1"/>
  <c r="F86" i="155"/>
  <c r="F85" i="155"/>
  <c r="N84" i="155"/>
  <c r="O84" i="155" s="1"/>
  <c r="F84" i="155"/>
  <c r="N83" i="155"/>
  <c r="O83" i="155" s="1"/>
  <c r="L83" i="155"/>
  <c r="M83" i="155" s="1"/>
  <c r="H83" i="155"/>
  <c r="I83" i="155" s="1"/>
  <c r="F83" i="155"/>
  <c r="J83" i="155" s="1"/>
  <c r="K83" i="155" s="1"/>
  <c r="N82" i="155"/>
  <c r="O82" i="155" s="1"/>
  <c r="L82" i="155"/>
  <c r="M82" i="155" s="1"/>
  <c r="J82" i="155"/>
  <c r="K82" i="155" s="1"/>
  <c r="F82" i="155"/>
  <c r="H82" i="155" s="1"/>
  <c r="I82" i="155" s="1"/>
  <c r="N81" i="155"/>
  <c r="O81" i="155" s="1"/>
  <c r="L81" i="155"/>
  <c r="M81" i="155" s="1"/>
  <c r="J81" i="155"/>
  <c r="K81" i="155" s="1"/>
  <c r="H81" i="155"/>
  <c r="I81" i="155" s="1"/>
  <c r="F81" i="155"/>
  <c r="G81" i="155" s="1"/>
  <c r="G80" i="155"/>
  <c r="F80" i="155"/>
  <c r="F79" i="155"/>
  <c r="N78" i="155"/>
  <c r="O78" i="155" s="1"/>
  <c r="G78" i="155"/>
  <c r="F78" i="155"/>
  <c r="N77" i="155"/>
  <c r="O77" i="155" s="1"/>
  <c r="M77" i="155"/>
  <c r="L77" i="155"/>
  <c r="H77" i="155"/>
  <c r="I77" i="155" s="1"/>
  <c r="F77" i="155"/>
  <c r="J77" i="155" s="1"/>
  <c r="K77" i="155" s="1"/>
  <c r="N76" i="155"/>
  <c r="O76" i="155" s="1"/>
  <c r="L76" i="155"/>
  <c r="M76" i="155" s="1"/>
  <c r="K76" i="155"/>
  <c r="J76" i="155"/>
  <c r="F76" i="155"/>
  <c r="H76" i="155" s="1"/>
  <c r="I76" i="155" s="1"/>
  <c r="N75" i="155"/>
  <c r="O75" i="155" s="1"/>
  <c r="M75" i="155"/>
  <c r="L75" i="155"/>
  <c r="J75" i="155"/>
  <c r="K75" i="155" s="1"/>
  <c r="H75" i="155"/>
  <c r="I75" i="155" s="1"/>
  <c r="F75" i="155"/>
  <c r="G75" i="155" s="1"/>
  <c r="J74" i="155"/>
  <c r="K74" i="155" s="1"/>
  <c r="F74" i="155"/>
  <c r="F73" i="155"/>
  <c r="F72" i="155"/>
  <c r="N71" i="155"/>
  <c r="O71" i="155" s="1"/>
  <c r="L71" i="155"/>
  <c r="M71" i="155" s="1"/>
  <c r="H71" i="155"/>
  <c r="I71" i="155" s="1"/>
  <c r="F71" i="155"/>
  <c r="J71" i="155" s="1"/>
  <c r="K71" i="155" s="1"/>
  <c r="N70" i="155"/>
  <c r="O70" i="155" s="1"/>
  <c r="L70" i="155"/>
  <c r="M70" i="155" s="1"/>
  <c r="J70" i="155"/>
  <c r="K70" i="155" s="1"/>
  <c r="F70" i="155"/>
  <c r="H70" i="155" s="1"/>
  <c r="I70" i="155" s="1"/>
  <c r="N69" i="155"/>
  <c r="O69" i="155" s="1"/>
  <c r="L69" i="155"/>
  <c r="M69" i="155" s="1"/>
  <c r="J69" i="155"/>
  <c r="K69" i="155" s="1"/>
  <c r="H69" i="155"/>
  <c r="I69" i="155" s="1"/>
  <c r="F69" i="155"/>
  <c r="G69" i="155" s="1"/>
  <c r="J68" i="155"/>
  <c r="K68" i="155" s="1"/>
  <c r="F68" i="155"/>
  <c r="F67" i="155"/>
  <c r="F66" i="155"/>
  <c r="O65" i="155"/>
  <c r="N65" i="155"/>
  <c r="L65" i="155"/>
  <c r="M65" i="155" s="1"/>
  <c r="H65" i="155"/>
  <c r="I65" i="155" s="1"/>
  <c r="F65" i="155"/>
  <c r="J65" i="155" s="1"/>
  <c r="K65" i="155" s="1"/>
  <c r="N64" i="155"/>
  <c r="O64" i="155" s="1"/>
  <c r="L64" i="155"/>
  <c r="M64" i="155" s="1"/>
  <c r="J64" i="155"/>
  <c r="K64" i="155" s="1"/>
  <c r="F64" i="155"/>
  <c r="H64" i="155" s="1"/>
  <c r="I64" i="155" s="1"/>
  <c r="N63" i="155"/>
  <c r="O63" i="155" s="1"/>
  <c r="L63" i="155"/>
  <c r="M63" i="155" s="1"/>
  <c r="K63" i="155"/>
  <c r="J63" i="155"/>
  <c r="H63" i="155"/>
  <c r="I63" i="155" s="1"/>
  <c r="F63" i="155"/>
  <c r="G63" i="155" s="1"/>
  <c r="N62" i="155"/>
  <c r="O62" i="155" s="1"/>
  <c r="J62" i="155"/>
  <c r="K62" i="155" s="1"/>
  <c r="F62" i="155"/>
  <c r="L62" i="155" s="1"/>
  <c r="M62" i="155" s="1"/>
  <c r="F61" i="155"/>
  <c r="N60" i="155"/>
  <c r="O60" i="155" s="1"/>
  <c r="J60" i="155"/>
  <c r="K60" i="155" s="1"/>
  <c r="G60" i="155"/>
  <c r="F60" i="155"/>
  <c r="N59" i="155"/>
  <c r="O59" i="155" s="1"/>
  <c r="M59" i="155"/>
  <c r="L59" i="155"/>
  <c r="H59" i="155"/>
  <c r="I59" i="155" s="1"/>
  <c r="F59" i="155"/>
  <c r="J59" i="155" s="1"/>
  <c r="K59" i="155" s="1"/>
  <c r="N58" i="155"/>
  <c r="O58" i="155" s="1"/>
  <c r="L58" i="155"/>
  <c r="M58" i="155" s="1"/>
  <c r="F58" i="155"/>
  <c r="N57" i="155"/>
  <c r="O57" i="155" s="1"/>
  <c r="M57" i="155"/>
  <c r="L57" i="155"/>
  <c r="J57" i="155"/>
  <c r="K57" i="155" s="1"/>
  <c r="H57" i="155"/>
  <c r="I57" i="155" s="1"/>
  <c r="F57" i="155"/>
  <c r="G57" i="155" s="1"/>
  <c r="N56" i="155"/>
  <c r="O56" i="155" s="1"/>
  <c r="G56" i="155"/>
  <c r="F56" i="155"/>
  <c r="L56" i="155" s="1"/>
  <c r="M56" i="155" s="1"/>
  <c r="F55" i="155"/>
  <c r="N54" i="155"/>
  <c r="O54" i="155" s="1"/>
  <c r="F54" i="155"/>
  <c r="O53" i="155"/>
  <c r="N53" i="155"/>
  <c r="L53" i="155"/>
  <c r="M53" i="155" s="1"/>
  <c r="H53" i="155"/>
  <c r="I53" i="155" s="1"/>
  <c r="F53" i="155"/>
  <c r="J53" i="155" s="1"/>
  <c r="K53" i="155" s="1"/>
  <c r="N52" i="155"/>
  <c r="O52" i="155" s="1"/>
  <c r="F52" i="155"/>
  <c r="N51" i="155"/>
  <c r="O51" i="155" s="1"/>
  <c r="L51" i="155"/>
  <c r="M51" i="155" s="1"/>
  <c r="J51" i="155"/>
  <c r="K51" i="155" s="1"/>
  <c r="H51" i="155"/>
  <c r="I51" i="155" s="1"/>
  <c r="F51" i="155"/>
  <c r="G51" i="155" s="1"/>
  <c r="F50" i="155"/>
  <c r="L50" i="155" s="1"/>
  <c r="M50" i="155" s="1"/>
  <c r="F49" i="155"/>
  <c r="G48" i="155"/>
  <c r="F48" i="155"/>
  <c r="N47" i="155"/>
  <c r="O47" i="155" s="1"/>
  <c r="L47" i="155"/>
  <c r="M47" i="155" s="1"/>
  <c r="H47" i="155"/>
  <c r="I47" i="155" s="1"/>
  <c r="F47" i="155"/>
  <c r="J47" i="155" s="1"/>
  <c r="K47" i="155" s="1"/>
  <c r="F46" i="155"/>
  <c r="N42" i="155"/>
  <c r="O42" i="155" s="1"/>
  <c r="L42" i="155"/>
  <c r="M42" i="155" s="1"/>
  <c r="J42" i="155"/>
  <c r="K42" i="155" s="1"/>
  <c r="I42" i="155"/>
  <c r="H42" i="155"/>
  <c r="F42" i="155"/>
  <c r="G42" i="155" s="1"/>
  <c r="F38" i="155"/>
  <c r="L38" i="155" s="1"/>
  <c r="M38" i="155" s="1"/>
  <c r="L34" i="155"/>
  <c r="M34" i="155" s="1"/>
  <c r="H34" i="155"/>
  <c r="I34" i="155" s="1"/>
  <c r="F34" i="155"/>
  <c r="N101" i="154"/>
  <c r="O101" i="154" s="1"/>
  <c r="F101" i="154"/>
  <c r="L101" i="154" s="1"/>
  <c r="M101" i="154" s="1"/>
  <c r="N100" i="154"/>
  <c r="O100" i="154" s="1"/>
  <c r="L100" i="154"/>
  <c r="M100" i="154" s="1"/>
  <c r="H100" i="154"/>
  <c r="I100" i="154" s="1"/>
  <c r="F100" i="154"/>
  <c r="J100" i="154" s="1"/>
  <c r="K100" i="154" s="1"/>
  <c r="N99" i="154"/>
  <c r="O99" i="154" s="1"/>
  <c r="M99" i="154"/>
  <c r="L99" i="154"/>
  <c r="J99" i="154"/>
  <c r="K99" i="154" s="1"/>
  <c r="F99" i="154"/>
  <c r="H99" i="154" s="1"/>
  <c r="I99" i="154" s="1"/>
  <c r="N98" i="154"/>
  <c r="O98" i="154" s="1"/>
  <c r="L98" i="154"/>
  <c r="M98" i="154" s="1"/>
  <c r="J98" i="154"/>
  <c r="K98" i="154" s="1"/>
  <c r="H98" i="154"/>
  <c r="I98" i="154" s="1"/>
  <c r="F98" i="154"/>
  <c r="G98" i="154" s="1"/>
  <c r="F97" i="154"/>
  <c r="F96" i="154"/>
  <c r="N95" i="154"/>
  <c r="O95" i="154" s="1"/>
  <c r="F95" i="154"/>
  <c r="L95" i="154" s="1"/>
  <c r="M95" i="154" s="1"/>
  <c r="N94" i="154"/>
  <c r="O94" i="154" s="1"/>
  <c r="L94" i="154"/>
  <c r="M94" i="154" s="1"/>
  <c r="H94" i="154"/>
  <c r="I94" i="154" s="1"/>
  <c r="F94" i="154"/>
  <c r="J94" i="154" s="1"/>
  <c r="K94" i="154" s="1"/>
  <c r="N93" i="154"/>
  <c r="O93" i="154" s="1"/>
  <c r="L93" i="154"/>
  <c r="M93" i="154" s="1"/>
  <c r="J93" i="154"/>
  <c r="K93" i="154" s="1"/>
  <c r="F93" i="154"/>
  <c r="H93" i="154" s="1"/>
  <c r="I93" i="154" s="1"/>
  <c r="N92" i="154"/>
  <c r="O92" i="154" s="1"/>
  <c r="L92" i="154"/>
  <c r="M92" i="154" s="1"/>
  <c r="J92" i="154"/>
  <c r="K92" i="154" s="1"/>
  <c r="H92" i="154"/>
  <c r="I92" i="154" s="1"/>
  <c r="F92" i="154"/>
  <c r="G92" i="154" s="1"/>
  <c r="H91" i="154"/>
  <c r="I91" i="154" s="1"/>
  <c r="F91" i="154"/>
  <c r="F90" i="154"/>
  <c r="O89" i="154"/>
  <c r="N89" i="154"/>
  <c r="F89" i="154"/>
  <c r="J89" i="154" s="1"/>
  <c r="K89" i="154" s="1"/>
  <c r="N88" i="154"/>
  <c r="O88" i="154" s="1"/>
  <c r="L88" i="154"/>
  <c r="M88" i="154" s="1"/>
  <c r="H88" i="154"/>
  <c r="I88" i="154" s="1"/>
  <c r="F88" i="154"/>
  <c r="J88" i="154" s="1"/>
  <c r="K88" i="154" s="1"/>
  <c r="N87" i="154"/>
  <c r="O87" i="154" s="1"/>
  <c r="L87" i="154"/>
  <c r="M87" i="154" s="1"/>
  <c r="J87" i="154"/>
  <c r="K87" i="154" s="1"/>
  <c r="F87" i="154"/>
  <c r="H87" i="154" s="1"/>
  <c r="I87" i="154" s="1"/>
  <c r="N86" i="154"/>
  <c r="O86" i="154" s="1"/>
  <c r="L86" i="154"/>
  <c r="M86" i="154" s="1"/>
  <c r="J86" i="154"/>
  <c r="K86" i="154" s="1"/>
  <c r="H86" i="154"/>
  <c r="I86" i="154" s="1"/>
  <c r="F86" i="154"/>
  <c r="G86" i="154" s="1"/>
  <c r="H85" i="154"/>
  <c r="I85" i="154" s="1"/>
  <c r="G85" i="154"/>
  <c r="F85" i="154"/>
  <c r="F84" i="154"/>
  <c r="N83" i="154"/>
  <c r="O83" i="154" s="1"/>
  <c r="F83" i="154"/>
  <c r="L83" i="154" s="1"/>
  <c r="M83" i="154" s="1"/>
  <c r="N82" i="154"/>
  <c r="O82" i="154" s="1"/>
  <c r="L82" i="154"/>
  <c r="M82" i="154" s="1"/>
  <c r="H82" i="154"/>
  <c r="I82" i="154" s="1"/>
  <c r="F82" i="154"/>
  <c r="J82" i="154" s="1"/>
  <c r="K82" i="154" s="1"/>
  <c r="N81" i="154"/>
  <c r="O81" i="154" s="1"/>
  <c r="L81" i="154"/>
  <c r="M81" i="154" s="1"/>
  <c r="J81" i="154"/>
  <c r="K81" i="154" s="1"/>
  <c r="F81" i="154"/>
  <c r="H81" i="154" s="1"/>
  <c r="I81" i="154" s="1"/>
  <c r="N80" i="154"/>
  <c r="O80" i="154" s="1"/>
  <c r="L80" i="154"/>
  <c r="M80" i="154" s="1"/>
  <c r="J80" i="154"/>
  <c r="K80" i="154" s="1"/>
  <c r="H80" i="154"/>
  <c r="I80" i="154" s="1"/>
  <c r="F80" i="154"/>
  <c r="G80" i="154" s="1"/>
  <c r="F79" i="154"/>
  <c r="F78" i="154"/>
  <c r="N77" i="154"/>
  <c r="O77" i="154" s="1"/>
  <c r="F77" i="154"/>
  <c r="L77" i="154" s="1"/>
  <c r="M77" i="154" s="1"/>
  <c r="N76" i="154"/>
  <c r="O76" i="154" s="1"/>
  <c r="L76" i="154"/>
  <c r="M76" i="154" s="1"/>
  <c r="H76" i="154"/>
  <c r="I76" i="154" s="1"/>
  <c r="F76" i="154"/>
  <c r="J76" i="154" s="1"/>
  <c r="K76" i="154" s="1"/>
  <c r="N75" i="154"/>
  <c r="O75" i="154" s="1"/>
  <c r="L75" i="154"/>
  <c r="M75" i="154" s="1"/>
  <c r="K75" i="154"/>
  <c r="J75" i="154"/>
  <c r="F75" i="154"/>
  <c r="H75" i="154" s="1"/>
  <c r="I75" i="154" s="1"/>
  <c r="N74" i="154"/>
  <c r="O74" i="154" s="1"/>
  <c r="L74" i="154"/>
  <c r="M74" i="154" s="1"/>
  <c r="J74" i="154"/>
  <c r="K74" i="154" s="1"/>
  <c r="H74" i="154"/>
  <c r="I74" i="154" s="1"/>
  <c r="F74" i="154"/>
  <c r="G74" i="154" s="1"/>
  <c r="F73" i="154"/>
  <c r="F72" i="154"/>
  <c r="N71" i="154"/>
  <c r="O71" i="154" s="1"/>
  <c r="F71" i="154"/>
  <c r="L71" i="154" s="1"/>
  <c r="M71" i="154" s="1"/>
  <c r="N70" i="154"/>
  <c r="O70" i="154" s="1"/>
  <c r="L70" i="154"/>
  <c r="M70" i="154" s="1"/>
  <c r="H70" i="154"/>
  <c r="I70" i="154" s="1"/>
  <c r="F70" i="154"/>
  <c r="J70" i="154" s="1"/>
  <c r="K70" i="154" s="1"/>
  <c r="N69" i="154"/>
  <c r="O69" i="154" s="1"/>
  <c r="L69" i="154"/>
  <c r="M69" i="154" s="1"/>
  <c r="J69" i="154"/>
  <c r="K69" i="154" s="1"/>
  <c r="F69" i="154"/>
  <c r="H69" i="154" s="1"/>
  <c r="I69" i="154" s="1"/>
  <c r="N68" i="154"/>
  <c r="O68" i="154" s="1"/>
  <c r="L68" i="154"/>
  <c r="M68" i="154" s="1"/>
  <c r="J68" i="154"/>
  <c r="K68" i="154" s="1"/>
  <c r="H68" i="154"/>
  <c r="I68" i="154" s="1"/>
  <c r="F68" i="154"/>
  <c r="G68" i="154" s="1"/>
  <c r="F67" i="154"/>
  <c r="F66" i="154"/>
  <c r="N65" i="154"/>
  <c r="O65" i="154" s="1"/>
  <c r="F65" i="154"/>
  <c r="L65" i="154" s="1"/>
  <c r="M65" i="154" s="1"/>
  <c r="N64" i="154"/>
  <c r="O64" i="154" s="1"/>
  <c r="M64" i="154"/>
  <c r="L64" i="154"/>
  <c r="H64" i="154"/>
  <c r="I64" i="154" s="1"/>
  <c r="F64" i="154"/>
  <c r="J64" i="154" s="1"/>
  <c r="K64" i="154" s="1"/>
  <c r="N63" i="154"/>
  <c r="O63" i="154" s="1"/>
  <c r="L63" i="154"/>
  <c r="M63" i="154" s="1"/>
  <c r="J63" i="154"/>
  <c r="K63" i="154" s="1"/>
  <c r="F63" i="154"/>
  <c r="H63" i="154" s="1"/>
  <c r="I63" i="154" s="1"/>
  <c r="L62" i="154"/>
  <c r="M62" i="154" s="1"/>
  <c r="J62" i="154"/>
  <c r="K62" i="154" s="1"/>
  <c r="H62" i="154"/>
  <c r="I62" i="154" s="1"/>
  <c r="F62" i="154"/>
  <c r="G62" i="154" s="1"/>
  <c r="F61" i="154"/>
  <c r="F60" i="154"/>
  <c r="N59" i="154"/>
  <c r="O59" i="154" s="1"/>
  <c r="F59" i="154"/>
  <c r="L59" i="154" s="1"/>
  <c r="M59" i="154" s="1"/>
  <c r="N58" i="154"/>
  <c r="O58" i="154" s="1"/>
  <c r="L58" i="154"/>
  <c r="M58" i="154" s="1"/>
  <c r="J58" i="154"/>
  <c r="K58" i="154" s="1"/>
  <c r="H58" i="154"/>
  <c r="I58" i="154" s="1"/>
  <c r="F58" i="154"/>
  <c r="G58" i="154" s="1"/>
  <c r="N57" i="154"/>
  <c r="O57" i="154" s="1"/>
  <c r="L57" i="154"/>
  <c r="M57" i="154" s="1"/>
  <c r="J57" i="154"/>
  <c r="K57" i="154" s="1"/>
  <c r="F57" i="154"/>
  <c r="H57" i="154" s="1"/>
  <c r="I57" i="154" s="1"/>
  <c r="L56" i="154"/>
  <c r="M56" i="154" s="1"/>
  <c r="J56" i="154"/>
  <c r="K56" i="154" s="1"/>
  <c r="H56" i="154"/>
  <c r="I56" i="154" s="1"/>
  <c r="F56" i="154"/>
  <c r="G56" i="154" s="1"/>
  <c r="F55" i="154"/>
  <c r="G54" i="154"/>
  <c r="F54" i="154"/>
  <c r="N53" i="154"/>
  <c r="O53" i="154" s="1"/>
  <c r="F53" i="154"/>
  <c r="L53" i="154" s="1"/>
  <c r="M53" i="154" s="1"/>
  <c r="N52" i="154"/>
  <c r="O52" i="154" s="1"/>
  <c r="L52" i="154"/>
  <c r="M52" i="154" s="1"/>
  <c r="J52" i="154"/>
  <c r="K52" i="154" s="1"/>
  <c r="H52" i="154"/>
  <c r="I52" i="154" s="1"/>
  <c r="F52" i="154"/>
  <c r="G52" i="154" s="1"/>
  <c r="N51" i="154"/>
  <c r="O51" i="154" s="1"/>
  <c r="L51" i="154"/>
  <c r="M51" i="154" s="1"/>
  <c r="J51" i="154"/>
  <c r="K51" i="154" s="1"/>
  <c r="F51" i="154"/>
  <c r="H51" i="154" s="1"/>
  <c r="I51" i="154" s="1"/>
  <c r="L50" i="154"/>
  <c r="M50" i="154" s="1"/>
  <c r="J50" i="154"/>
  <c r="K50" i="154" s="1"/>
  <c r="H50" i="154"/>
  <c r="I50" i="154" s="1"/>
  <c r="F50" i="154"/>
  <c r="G50" i="154" s="1"/>
  <c r="F49" i="154"/>
  <c r="G45" i="154"/>
  <c r="F45" i="154"/>
  <c r="N41" i="154"/>
  <c r="O41" i="154" s="1"/>
  <c r="F41" i="154"/>
  <c r="J41" i="154" s="1"/>
  <c r="K41" i="154" s="1"/>
  <c r="N37" i="154"/>
  <c r="O37" i="154" s="1"/>
  <c r="L37" i="154"/>
  <c r="M37" i="154" s="1"/>
  <c r="J37" i="154"/>
  <c r="K37" i="154" s="1"/>
  <c r="H37" i="154"/>
  <c r="I37" i="154" s="1"/>
  <c r="F37" i="154"/>
  <c r="G37" i="154" s="1"/>
  <c r="F40" i="153"/>
  <c r="G40" i="153" s="1"/>
  <c r="J40" i="153"/>
  <c r="K40" i="153"/>
  <c r="L40" i="153"/>
  <c r="M40" i="153"/>
  <c r="N40" i="153"/>
  <c r="O40" i="153"/>
  <c r="F44" i="153"/>
  <c r="H44" i="153" s="1"/>
  <c r="I44" i="153" s="1"/>
  <c r="G44" i="153"/>
  <c r="F48" i="153"/>
  <c r="J48" i="153" s="1"/>
  <c r="K48" i="153" s="1"/>
  <c r="G48" i="153"/>
  <c r="H48" i="153"/>
  <c r="I48" i="153"/>
  <c r="F52" i="153"/>
  <c r="L52" i="153" s="1"/>
  <c r="M52" i="153" s="1"/>
  <c r="G52" i="153"/>
  <c r="H52" i="153"/>
  <c r="I52" i="153"/>
  <c r="J52" i="153"/>
  <c r="K52" i="153"/>
  <c r="F53" i="153"/>
  <c r="N53" i="153" s="1"/>
  <c r="O53" i="153" s="1"/>
  <c r="G53" i="153"/>
  <c r="H53" i="153"/>
  <c r="I53" i="153"/>
  <c r="J53" i="153"/>
  <c r="K53" i="153"/>
  <c r="L53" i="153"/>
  <c r="M53" i="153"/>
  <c r="F54" i="153"/>
  <c r="G54" i="153" s="1"/>
  <c r="H54" i="153"/>
  <c r="I54" i="153"/>
  <c r="J54" i="153"/>
  <c r="K54" i="153"/>
  <c r="L54" i="153"/>
  <c r="M54" i="153"/>
  <c r="N54" i="153"/>
  <c r="O54" i="153"/>
  <c r="F55" i="153"/>
  <c r="G55" i="153" s="1"/>
  <c r="J55" i="153"/>
  <c r="K55" i="153"/>
  <c r="L55" i="153"/>
  <c r="M55" i="153"/>
  <c r="N55" i="153"/>
  <c r="O55" i="153"/>
  <c r="F56" i="153"/>
  <c r="H56" i="153" s="1"/>
  <c r="I56" i="153" s="1"/>
  <c r="G56" i="153"/>
  <c r="F57" i="153"/>
  <c r="J57" i="153" s="1"/>
  <c r="K57" i="153" s="1"/>
  <c r="G57" i="153"/>
  <c r="H57" i="153"/>
  <c r="I57" i="153"/>
  <c r="F58" i="153"/>
  <c r="L58" i="153" s="1"/>
  <c r="M58" i="153" s="1"/>
  <c r="G58" i="153"/>
  <c r="H58" i="153"/>
  <c r="I58" i="153"/>
  <c r="J58" i="153"/>
  <c r="K58" i="153"/>
  <c r="F59" i="153"/>
  <c r="N59" i="153" s="1"/>
  <c r="O59" i="153" s="1"/>
  <c r="G59" i="153"/>
  <c r="H59" i="153"/>
  <c r="I59" i="153"/>
  <c r="J59" i="153"/>
  <c r="K59" i="153"/>
  <c r="L59" i="153"/>
  <c r="M59" i="153"/>
  <c r="F60" i="153"/>
  <c r="G60" i="153" s="1"/>
  <c r="H60" i="153"/>
  <c r="I60" i="153"/>
  <c r="J60" i="153"/>
  <c r="K60" i="153"/>
  <c r="L60" i="153"/>
  <c r="M60" i="153"/>
  <c r="N60" i="153"/>
  <c r="O60" i="153"/>
  <c r="F61" i="153"/>
  <c r="G61" i="153" s="1"/>
  <c r="J61" i="153"/>
  <c r="K61" i="153"/>
  <c r="L61" i="153"/>
  <c r="M61" i="153"/>
  <c r="N61" i="153"/>
  <c r="O61" i="153"/>
  <c r="F62" i="153"/>
  <c r="H62" i="153" s="1"/>
  <c r="I62" i="153" s="1"/>
  <c r="G62" i="153"/>
  <c r="F63" i="153"/>
  <c r="J63" i="153" s="1"/>
  <c r="K63" i="153" s="1"/>
  <c r="G63" i="153"/>
  <c r="H63" i="153"/>
  <c r="I63" i="153"/>
  <c r="F64" i="153"/>
  <c r="L64" i="153" s="1"/>
  <c r="M64" i="153" s="1"/>
  <c r="G64" i="153"/>
  <c r="H64" i="153"/>
  <c r="I64" i="153"/>
  <c r="J64" i="153"/>
  <c r="K64" i="153"/>
  <c r="F65" i="153"/>
  <c r="N65" i="153" s="1"/>
  <c r="O65" i="153" s="1"/>
  <c r="G65" i="153"/>
  <c r="H65" i="153"/>
  <c r="I65" i="153"/>
  <c r="J65" i="153"/>
  <c r="K65" i="153"/>
  <c r="L65" i="153"/>
  <c r="M65" i="153"/>
  <c r="F66" i="153"/>
  <c r="G66" i="153" s="1"/>
  <c r="H66" i="153"/>
  <c r="I66" i="153"/>
  <c r="J66" i="153"/>
  <c r="K66" i="153"/>
  <c r="L66" i="153"/>
  <c r="M66" i="153"/>
  <c r="N66" i="153"/>
  <c r="O66" i="153"/>
  <c r="F67" i="153"/>
  <c r="G67" i="153" s="1"/>
  <c r="J67" i="153"/>
  <c r="K67" i="153"/>
  <c r="L67" i="153"/>
  <c r="M67" i="153"/>
  <c r="N67" i="153"/>
  <c r="O67" i="153"/>
  <c r="F68" i="153"/>
  <c r="H68" i="153" s="1"/>
  <c r="I68" i="153" s="1"/>
  <c r="G68" i="153"/>
  <c r="F69" i="153"/>
  <c r="J69" i="153" s="1"/>
  <c r="K69" i="153" s="1"/>
  <c r="G69" i="153"/>
  <c r="H69" i="153"/>
  <c r="I69" i="153"/>
  <c r="F70" i="153"/>
  <c r="L70" i="153" s="1"/>
  <c r="M70" i="153" s="1"/>
  <c r="G70" i="153"/>
  <c r="H70" i="153"/>
  <c r="I70" i="153"/>
  <c r="J70" i="153"/>
  <c r="K70" i="153"/>
  <c r="F71" i="153"/>
  <c r="N71" i="153" s="1"/>
  <c r="O71" i="153" s="1"/>
  <c r="G71" i="153"/>
  <c r="H71" i="153"/>
  <c r="I71" i="153"/>
  <c r="J71" i="153"/>
  <c r="K71" i="153"/>
  <c r="L71" i="153"/>
  <c r="M71" i="153"/>
  <c r="F72" i="153"/>
  <c r="G72" i="153" s="1"/>
  <c r="H72" i="153"/>
  <c r="I72" i="153"/>
  <c r="J72" i="153"/>
  <c r="K72" i="153"/>
  <c r="L72" i="153"/>
  <c r="M72" i="153"/>
  <c r="N72" i="153"/>
  <c r="O72" i="153"/>
  <c r="F73" i="153"/>
  <c r="G73" i="153" s="1"/>
  <c r="J73" i="153"/>
  <c r="K73" i="153"/>
  <c r="L73" i="153"/>
  <c r="M73" i="153"/>
  <c r="N73" i="153"/>
  <c r="O73" i="153"/>
  <c r="F74" i="153"/>
  <c r="H74" i="153" s="1"/>
  <c r="I74" i="153" s="1"/>
  <c r="G74" i="153"/>
  <c r="F75" i="153"/>
  <c r="J75" i="153" s="1"/>
  <c r="K75" i="153" s="1"/>
  <c r="G75" i="153"/>
  <c r="H75" i="153"/>
  <c r="I75" i="153"/>
  <c r="F76" i="153"/>
  <c r="L76" i="153" s="1"/>
  <c r="M76" i="153" s="1"/>
  <c r="G76" i="153"/>
  <c r="H76" i="153"/>
  <c r="I76" i="153"/>
  <c r="J76" i="153"/>
  <c r="K76" i="153"/>
  <c r="F77" i="153"/>
  <c r="N77" i="153" s="1"/>
  <c r="O77" i="153" s="1"/>
  <c r="G77" i="153"/>
  <c r="H77" i="153"/>
  <c r="I77" i="153"/>
  <c r="J77" i="153"/>
  <c r="K77" i="153"/>
  <c r="L77" i="153"/>
  <c r="M77" i="153"/>
  <c r="F78" i="153"/>
  <c r="G78" i="153" s="1"/>
  <c r="H78" i="153"/>
  <c r="I78" i="153"/>
  <c r="J78" i="153"/>
  <c r="K78" i="153"/>
  <c r="L78" i="153"/>
  <c r="M78" i="153"/>
  <c r="N78" i="153"/>
  <c r="O78" i="153"/>
  <c r="F79" i="153"/>
  <c r="G79" i="153" s="1"/>
  <c r="J79" i="153"/>
  <c r="K79" i="153"/>
  <c r="L79" i="153"/>
  <c r="M79" i="153"/>
  <c r="N79" i="153"/>
  <c r="O79" i="153"/>
  <c r="F80" i="153"/>
  <c r="H80" i="153" s="1"/>
  <c r="I80" i="153" s="1"/>
  <c r="G80" i="153"/>
  <c r="F81" i="153"/>
  <c r="J81" i="153" s="1"/>
  <c r="K81" i="153" s="1"/>
  <c r="G81" i="153"/>
  <c r="H81" i="153"/>
  <c r="I81" i="153"/>
  <c r="F82" i="153"/>
  <c r="L82" i="153" s="1"/>
  <c r="M82" i="153" s="1"/>
  <c r="G82" i="153"/>
  <c r="H82" i="153"/>
  <c r="I82" i="153"/>
  <c r="J82" i="153"/>
  <c r="K82" i="153"/>
  <c r="F83" i="153"/>
  <c r="N83" i="153" s="1"/>
  <c r="O83" i="153" s="1"/>
  <c r="G83" i="153"/>
  <c r="H83" i="153"/>
  <c r="I83" i="153"/>
  <c r="J83" i="153"/>
  <c r="K83" i="153"/>
  <c r="L83" i="153"/>
  <c r="M83" i="153"/>
  <c r="F84" i="153"/>
  <c r="G84" i="153" s="1"/>
  <c r="H84" i="153"/>
  <c r="I84" i="153"/>
  <c r="J84" i="153"/>
  <c r="K84" i="153"/>
  <c r="L84" i="153"/>
  <c r="M84" i="153"/>
  <c r="N84" i="153"/>
  <c r="O84" i="153"/>
  <c r="F85" i="153"/>
  <c r="G85" i="153" s="1"/>
  <c r="J85" i="153"/>
  <c r="K85" i="153"/>
  <c r="L85" i="153"/>
  <c r="M85" i="153"/>
  <c r="N85" i="153"/>
  <c r="O85" i="153"/>
  <c r="F86" i="153"/>
  <c r="H86" i="153" s="1"/>
  <c r="I86" i="153" s="1"/>
  <c r="G86" i="153"/>
  <c r="F87" i="153"/>
  <c r="J87" i="153" s="1"/>
  <c r="K87" i="153" s="1"/>
  <c r="G87" i="153"/>
  <c r="H87" i="153"/>
  <c r="I87" i="153"/>
  <c r="F88" i="153"/>
  <c r="L88" i="153" s="1"/>
  <c r="M88" i="153" s="1"/>
  <c r="G88" i="153"/>
  <c r="H88" i="153"/>
  <c r="I88" i="153"/>
  <c r="J88" i="153"/>
  <c r="K88" i="153"/>
  <c r="F89" i="153"/>
  <c r="N89" i="153" s="1"/>
  <c r="O89" i="153" s="1"/>
  <c r="G89" i="153"/>
  <c r="H89" i="153"/>
  <c r="I89" i="153"/>
  <c r="J89" i="153"/>
  <c r="K89" i="153"/>
  <c r="L89" i="153"/>
  <c r="M89" i="153"/>
  <c r="F90" i="153"/>
  <c r="G90" i="153" s="1"/>
  <c r="H90" i="153"/>
  <c r="I90" i="153"/>
  <c r="J90" i="153"/>
  <c r="K90" i="153"/>
  <c r="L90" i="153"/>
  <c r="M90" i="153"/>
  <c r="N90" i="153"/>
  <c r="O90" i="153"/>
  <c r="F91" i="153"/>
  <c r="G91" i="153" s="1"/>
  <c r="J91" i="153"/>
  <c r="K91" i="153"/>
  <c r="L91" i="153"/>
  <c r="M91" i="153"/>
  <c r="N91" i="153"/>
  <c r="O91" i="153"/>
  <c r="F92" i="153"/>
  <c r="H92" i="153" s="1"/>
  <c r="I92" i="153" s="1"/>
  <c r="G92" i="153"/>
  <c r="F93" i="153"/>
  <c r="J93" i="153" s="1"/>
  <c r="K93" i="153" s="1"/>
  <c r="G93" i="153"/>
  <c r="H93" i="153"/>
  <c r="I93" i="153"/>
  <c r="F94" i="153"/>
  <c r="L94" i="153" s="1"/>
  <c r="M94" i="153" s="1"/>
  <c r="G94" i="153"/>
  <c r="H94" i="153"/>
  <c r="I94" i="153"/>
  <c r="J94" i="153"/>
  <c r="K94" i="153"/>
  <c r="F95" i="153"/>
  <c r="N95" i="153" s="1"/>
  <c r="O95" i="153" s="1"/>
  <c r="G95" i="153"/>
  <c r="H95" i="153"/>
  <c r="I95" i="153"/>
  <c r="J95" i="153"/>
  <c r="K95" i="153"/>
  <c r="L95" i="153"/>
  <c r="M95" i="153"/>
  <c r="F96" i="153"/>
  <c r="G96" i="153" s="1"/>
  <c r="H96" i="153"/>
  <c r="I96" i="153"/>
  <c r="J96" i="153"/>
  <c r="K96" i="153"/>
  <c r="L96" i="153"/>
  <c r="M96" i="153"/>
  <c r="N96" i="153"/>
  <c r="O96" i="153"/>
  <c r="F97" i="153"/>
  <c r="G97" i="153" s="1"/>
  <c r="J97" i="153"/>
  <c r="K97" i="153"/>
  <c r="L97" i="153"/>
  <c r="M97" i="153"/>
  <c r="N97" i="153"/>
  <c r="O97" i="153"/>
  <c r="F98" i="153"/>
  <c r="H98" i="153" s="1"/>
  <c r="I98" i="153" s="1"/>
  <c r="G98" i="153"/>
  <c r="F99" i="153"/>
  <c r="J99" i="153" s="1"/>
  <c r="K99" i="153" s="1"/>
  <c r="G99" i="153"/>
  <c r="H99" i="153"/>
  <c r="I99" i="153"/>
  <c r="N105" i="152"/>
  <c r="O105" i="152" s="1"/>
  <c r="F105" i="152"/>
  <c r="L105" i="152" s="1"/>
  <c r="M105" i="152" s="1"/>
  <c r="O104" i="152"/>
  <c r="N104" i="152"/>
  <c r="L104" i="152"/>
  <c r="M104" i="152" s="1"/>
  <c r="I104" i="152"/>
  <c r="H104" i="152"/>
  <c r="G104" i="152"/>
  <c r="F104" i="152"/>
  <c r="J104" i="152" s="1"/>
  <c r="K104" i="152" s="1"/>
  <c r="N103" i="152"/>
  <c r="O103" i="152" s="1"/>
  <c r="L103" i="152"/>
  <c r="M103" i="152" s="1"/>
  <c r="J103" i="152"/>
  <c r="K103" i="152" s="1"/>
  <c r="G103" i="152"/>
  <c r="F103" i="152"/>
  <c r="H103" i="152" s="1"/>
  <c r="I103" i="152" s="1"/>
  <c r="O102" i="152"/>
  <c r="N102" i="152"/>
  <c r="L102" i="152"/>
  <c r="M102" i="152" s="1"/>
  <c r="J102" i="152"/>
  <c r="K102" i="152" s="1"/>
  <c r="H102" i="152"/>
  <c r="I102" i="152" s="1"/>
  <c r="F102" i="152"/>
  <c r="G102" i="152" s="1"/>
  <c r="H101" i="152"/>
  <c r="I101" i="152" s="1"/>
  <c r="G101" i="152"/>
  <c r="F101" i="152"/>
  <c r="G100" i="152"/>
  <c r="F100" i="152"/>
  <c r="N99" i="152"/>
  <c r="O99" i="152" s="1"/>
  <c r="F99" i="152"/>
  <c r="L99" i="152" s="1"/>
  <c r="M99" i="152" s="1"/>
  <c r="N98" i="152"/>
  <c r="O98" i="152" s="1"/>
  <c r="L98" i="152"/>
  <c r="M98" i="152" s="1"/>
  <c r="I98" i="152"/>
  <c r="H98" i="152"/>
  <c r="G98" i="152"/>
  <c r="F98" i="152"/>
  <c r="J98" i="152" s="1"/>
  <c r="K98" i="152" s="1"/>
  <c r="N97" i="152"/>
  <c r="O97" i="152" s="1"/>
  <c r="L97" i="152"/>
  <c r="M97" i="152" s="1"/>
  <c r="J97" i="152"/>
  <c r="K97" i="152" s="1"/>
  <c r="G97" i="152"/>
  <c r="F97" i="152"/>
  <c r="H97" i="152" s="1"/>
  <c r="I97" i="152" s="1"/>
  <c r="O96" i="152"/>
  <c r="N96" i="152"/>
  <c r="L96" i="152"/>
  <c r="M96" i="152" s="1"/>
  <c r="K96" i="152"/>
  <c r="J96" i="152"/>
  <c r="H96" i="152"/>
  <c r="I96" i="152" s="1"/>
  <c r="F96" i="152"/>
  <c r="G96" i="152" s="1"/>
  <c r="F95" i="152"/>
  <c r="H95" i="152" s="1"/>
  <c r="I95" i="152" s="1"/>
  <c r="F94" i="152"/>
  <c r="F93" i="152"/>
  <c r="N92" i="152"/>
  <c r="O92" i="152" s="1"/>
  <c r="L92" i="152"/>
  <c r="M92" i="152" s="1"/>
  <c r="I92" i="152"/>
  <c r="H92" i="152"/>
  <c r="G92" i="152"/>
  <c r="F92" i="152"/>
  <c r="J92" i="152" s="1"/>
  <c r="K92" i="152" s="1"/>
  <c r="N91" i="152"/>
  <c r="O91" i="152" s="1"/>
  <c r="L91" i="152"/>
  <c r="M91" i="152" s="1"/>
  <c r="J91" i="152"/>
  <c r="K91" i="152" s="1"/>
  <c r="G91" i="152"/>
  <c r="F91" i="152"/>
  <c r="H91" i="152" s="1"/>
  <c r="I91" i="152" s="1"/>
  <c r="O90" i="152"/>
  <c r="N90" i="152"/>
  <c r="L90" i="152"/>
  <c r="M90" i="152" s="1"/>
  <c r="K90" i="152"/>
  <c r="J90" i="152"/>
  <c r="H90" i="152"/>
  <c r="I90" i="152" s="1"/>
  <c r="F90" i="152"/>
  <c r="G90" i="152" s="1"/>
  <c r="H89" i="152"/>
  <c r="I89" i="152" s="1"/>
  <c r="F89" i="152"/>
  <c r="H88" i="152"/>
  <c r="I88" i="152" s="1"/>
  <c r="G88" i="152"/>
  <c r="F88" i="152"/>
  <c r="F87" i="152"/>
  <c r="N86" i="152"/>
  <c r="O86" i="152" s="1"/>
  <c r="L86" i="152"/>
  <c r="M86" i="152" s="1"/>
  <c r="I86" i="152"/>
  <c r="H86" i="152"/>
  <c r="G86" i="152"/>
  <c r="F86" i="152"/>
  <c r="J86" i="152" s="1"/>
  <c r="K86" i="152" s="1"/>
  <c r="N85" i="152"/>
  <c r="O85" i="152" s="1"/>
  <c r="L85" i="152"/>
  <c r="M85" i="152" s="1"/>
  <c r="J85" i="152"/>
  <c r="K85" i="152" s="1"/>
  <c r="G85" i="152"/>
  <c r="F85" i="152"/>
  <c r="H85" i="152" s="1"/>
  <c r="I85" i="152" s="1"/>
  <c r="O84" i="152"/>
  <c r="N84" i="152"/>
  <c r="L84" i="152"/>
  <c r="M84" i="152" s="1"/>
  <c r="K84" i="152"/>
  <c r="J84" i="152"/>
  <c r="H84" i="152"/>
  <c r="I84" i="152" s="1"/>
  <c r="F84" i="152"/>
  <c r="G84" i="152" s="1"/>
  <c r="F83" i="152"/>
  <c r="H82" i="152"/>
  <c r="I82" i="152" s="1"/>
  <c r="F82" i="152"/>
  <c r="F81" i="152"/>
  <c r="N80" i="152"/>
  <c r="O80" i="152" s="1"/>
  <c r="L80" i="152"/>
  <c r="M80" i="152" s="1"/>
  <c r="I80" i="152"/>
  <c r="H80" i="152"/>
  <c r="G80" i="152"/>
  <c r="F80" i="152"/>
  <c r="J80" i="152" s="1"/>
  <c r="K80" i="152" s="1"/>
  <c r="N79" i="152"/>
  <c r="O79" i="152" s="1"/>
  <c r="L79" i="152"/>
  <c r="M79" i="152" s="1"/>
  <c r="J79" i="152"/>
  <c r="K79" i="152" s="1"/>
  <c r="G79" i="152"/>
  <c r="F79" i="152"/>
  <c r="H79" i="152" s="1"/>
  <c r="I79" i="152" s="1"/>
  <c r="O78" i="152"/>
  <c r="N78" i="152"/>
  <c r="L78" i="152"/>
  <c r="M78" i="152" s="1"/>
  <c r="J78" i="152"/>
  <c r="K78" i="152" s="1"/>
  <c r="H78" i="152"/>
  <c r="I78" i="152" s="1"/>
  <c r="F78" i="152"/>
  <c r="G78" i="152" s="1"/>
  <c r="J77" i="152"/>
  <c r="K77" i="152" s="1"/>
  <c r="H77" i="152"/>
  <c r="I77" i="152" s="1"/>
  <c r="F77" i="152"/>
  <c r="F76" i="152"/>
  <c r="F75" i="152"/>
  <c r="N74" i="152"/>
  <c r="O74" i="152" s="1"/>
  <c r="L74" i="152"/>
  <c r="M74" i="152" s="1"/>
  <c r="I74" i="152"/>
  <c r="H74" i="152"/>
  <c r="G74" i="152"/>
  <c r="F74" i="152"/>
  <c r="J74" i="152" s="1"/>
  <c r="K74" i="152" s="1"/>
  <c r="N73" i="152"/>
  <c r="O73" i="152" s="1"/>
  <c r="L73" i="152"/>
  <c r="M73" i="152" s="1"/>
  <c r="K73" i="152"/>
  <c r="J73" i="152"/>
  <c r="G73" i="152"/>
  <c r="F73" i="152"/>
  <c r="H73" i="152" s="1"/>
  <c r="I73" i="152" s="1"/>
  <c r="O72" i="152"/>
  <c r="N72" i="152"/>
  <c r="L72" i="152"/>
  <c r="M72" i="152" s="1"/>
  <c r="J72" i="152"/>
  <c r="K72" i="152" s="1"/>
  <c r="H72" i="152"/>
  <c r="I72" i="152" s="1"/>
  <c r="F72" i="152"/>
  <c r="G72" i="152" s="1"/>
  <c r="F71" i="152"/>
  <c r="F70" i="152"/>
  <c r="F69" i="152"/>
  <c r="N68" i="152"/>
  <c r="O68" i="152" s="1"/>
  <c r="L68" i="152"/>
  <c r="M68" i="152" s="1"/>
  <c r="I68" i="152"/>
  <c r="H68" i="152"/>
  <c r="G68" i="152"/>
  <c r="F68" i="152"/>
  <c r="J68" i="152" s="1"/>
  <c r="K68" i="152" s="1"/>
  <c r="N67" i="152"/>
  <c r="O67" i="152" s="1"/>
  <c r="L67" i="152"/>
  <c r="M67" i="152" s="1"/>
  <c r="J67" i="152"/>
  <c r="K67" i="152" s="1"/>
  <c r="G67" i="152"/>
  <c r="F67" i="152"/>
  <c r="H67" i="152" s="1"/>
  <c r="I67" i="152" s="1"/>
  <c r="O66" i="152"/>
  <c r="N66" i="152"/>
  <c r="L66" i="152"/>
  <c r="M66" i="152" s="1"/>
  <c r="J66" i="152"/>
  <c r="K66" i="152" s="1"/>
  <c r="H66" i="152"/>
  <c r="I66" i="152" s="1"/>
  <c r="F66" i="152"/>
  <c r="G66" i="152" s="1"/>
  <c r="J65" i="152"/>
  <c r="K65" i="152" s="1"/>
  <c r="H65" i="152"/>
  <c r="I65" i="152" s="1"/>
  <c r="G65" i="152"/>
  <c r="F65" i="152"/>
  <c r="F64" i="152"/>
  <c r="F63" i="152"/>
  <c r="N63" i="152" s="1"/>
  <c r="O63" i="152" s="1"/>
  <c r="N62" i="152"/>
  <c r="O62" i="152" s="1"/>
  <c r="M62" i="152"/>
  <c r="L62" i="152"/>
  <c r="I62" i="152"/>
  <c r="H62" i="152"/>
  <c r="G62" i="152"/>
  <c r="F62" i="152"/>
  <c r="J62" i="152" s="1"/>
  <c r="K62" i="152" s="1"/>
  <c r="N61" i="152"/>
  <c r="O61" i="152" s="1"/>
  <c r="L61" i="152"/>
  <c r="M61" i="152" s="1"/>
  <c r="K61" i="152"/>
  <c r="J61" i="152"/>
  <c r="G61" i="152"/>
  <c r="F61" i="152"/>
  <c r="H61" i="152" s="1"/>
  <c r="I61" i="152" s="1"/>
  <c r="O60" i="152"/>
  <c r="N60" i="152"/>
  <c r="L60" i="152"/>
  <c r="M60" i="152" s="1"/>
  <c r="J60" i="152"/>
  <c r="K60" i="152" s="1"/>
  <c r="H60" i="152"/>
  <c r="I60" i="152" s="1"/>
  <c r="F60" i="152"/>
  <c r="G60" i="152" s="1"/>
  <c r="J59" i="152"/>
  <c r="K59" i="152" s="1"/>
  <c r="I59" i="152"/>
  <c r="H59" i="152"/>
  <c r="F59" i="152"/>
  <c r="F58" i="152"/>
  <c r="F57" i="152"/>
  <c r="O56" i="152"/>
  <c r="N56" i="152"/>
  <c r="L56" i="152"/>
  <c r="M56" i="152" s="1"/>
  <c r="I56" i="152"/>
  <c r="H56" i="152"/>
  <c r="G56" i="152"/>
  <c r="F56" i="152"/>
  <c r="J56" i="152" s="1"/>
  <c r="K56" i="152" s="1"/>
  <c r="N55" i="152"/>
  <c r="O55" i="152" s="1"/>
  <c r="L55" i="152"/>
  <c r="M55" i="152" s="1"/>
  <c r="J55" i="152"/>
  <c r="K55" i="152" s="1"/>
  <c r="G55" i="152"/>
  <c r="F55" i="152"/>
  <c r="H55" i="152" s="1"/>
  <c r="I55" i="152" s="1"/>
  <c r="O54" i="152"/>
  <c r="N54" i="152"/>
  <c r="L54" i="152"/>
  <c r="M54" i="152" s="1"/>
  <c r="J54" i="152"/>
  <c r="K54" i="152" s="1"/>
  <c r="H54" i="152"/>
  <c r="I54" i="152" s="1"/>
  <c r="F54" i="152"/>
  <c r="G54" i="152" s="1"/>
  <c r="J53" i="152"/>
  <c r="K53" i="152" s="1"/>
  <c r="F53" i="152"/>
  <c r="F52" i="152"/>
  <c r="N51" i="152"/>
  <c r="O51" i="152" s="1"/>
  <c r="F51" i="152"/>
  <c r="O50" i="152"/>
  <c r="N50" i="152"/>
  <c r="L50" i="152"/>
  <c r="M50" i="152" s="1"/>
  <c r="I50" i="152"/>
  <c r="H50" i="152"/>
  <c r="G50" i="152"/>
  <c r="F50" i="152"/>
  <c r="J50" i="152" s="1"/>
  <c r="K50" i="152" s="1"/>
  <c r="N46" i="152"/>
  <c r="O46" i="152" s="1"/>
  <c r="L46" i="152"/>
  <c r="M46" i="152" s="1"/>
  <c r="J46" i="152"/>
  <c r="K46" i="152" s="1"/>
  <c r="H46" i="152"/>
  <c r="I46" i="152" s="1"/>
  <c r="O42" i="152"/>
  <c r="N42" i="152"/>
  <c r="L42" i="152"/>
  <c r="M42" i="152" s="1"/>
  <c r="J42" i="152"/>
  <c r="K42" i="152" s="1"/>
  <c r="I42" i="152"/>
  <c r="H42" i="152"/>
  <c r="F42" i="152"/>
  <c r="G42" i="152" s="1"/>
  <c r="N38" i="152"/>
  <c r="O38" i="152" s="1"/>
  <c r="M38" i="152"/>
  <c r="J38" i="152"/>
  <c r="K38" i="152" s="1"/>
  <c r="F38" i="152"/>
  <c r="L38" i="152" s="1"/>
  <c r="F38" i="151"/>
  <c r="G38" i="151" s="1"/>
  <c r="L38" i="151"/>
  <c r="M38" i="151"/>
  <c r="N38" i="151"/>
  <c r="O38" i="151" s="1"/>
  <c r="F42" i="151"/>
  <c r="G46" i="151"/>
  <c r="F50" i="151"/>
  <c r="L50" i="151" s="1"/>
  <c r="M50" i="151" s="1"/>
  <c r="G50" i="151"/>
  <c r="H50" i="151"/>
  <c r="I50" i="151" s="1"/>
  <c r="J50" i="151"/>
  <c r="K50" i="151" s="1"/>
  <c r="F51" i="151"/>
  <c r="G51" i="151"/>
  <c r="H51" i="151"/>
  <c r="I51" i="151"/>
  <c r="J51" i="151"/>
  <c r="K51" i="151"/>
  <c r="L51" i="151"/>
  <c r="M51" i="151" s="1"/>
  <c r="N51" i="151"/>
  <c r="O51" i="151" s="1"/>
  <c r="F52" i="151"/>
  <c r="G52" i="151" s="1"/>
  <c r="H52" i="151"/>
  <c r="I52" i="151"/>
  <c r="J52" i="151"/>
  <c r="K52" i="151"/>
  <c r="L52" i="151"/>
  <c r="M52" i="151" s="1"/>
  <c r="N52" i="151"/>
  <c r="O52" i="151" s="1"/>
  <c r="F53" i="151"/>
  <c r="G53" i="151" s="1"/>
  <c r="L53" i="151"/>
  <c r="M53" i="151"/>
  <c r="N53" i="151"/>
  <c r="O53" i="151"/>
  <c r="F54" i="151"/>
  <c r="F55" i="151"/>
  <c r="G55" i="151"/>
  <c r="H55" i="151"/>
  <c r="I55" i="151" s="1"/>
  <c r="F56" i="151"/>
  <c r="N56" i="151" s="1"/>
  <c r="O56" i="151" s="1"/>
  <c r="G56" i="151"/>
  <c r="H56" i="151"/>
  <c r="I56" i="151"/>
  <c r="J56" i="151"/>
  <c r="K56" i="151" s="1"/>
  <c r="F57" i="151"/>
  <c r="G57" i="151"/>
  <c r="H57" i="151"/>
  <c r="I57" i="151"/>
  <c r="J57" i="151"/>
  <c r="K57" i="151"/>
  <c r="L57" i="151"/>
  <c r="M57" i="151" s="1"/>
  <c r="N57" i="151"/>
  <c r="O57" i="151" s="1"/>
  <c r="F58" i="151"/>
  <c r="G58" i="151" s="1"/>
  <c r="J58" i="151"/>
  <c r="K58" i="151"/>
  <c r="L58" i="151"/>
  <c r="M58" i="151"/>
  <c r="N58" i="151"/>
  <c r="O58" i="151" s="1"/>
  <c r="F59" i="151"/>
  <c r="G59" i="151" s="1"/>
  <c r="L59" i="151"/>
  <c r="M59" i="151"/>
  <c r="N59" i="151"/>
  <c r="O59" i="151"/>
  <c r="F60" i="151"/>
  <c r="F61" i="151"/>
  <c r="G61" i="151"/>
  <c r="H61" i="151"/>
  <c r="I61" i="151" s="1"/>
  <c r="F62" i="151"/>
  <c r="N62" i="151" s="1"/>
  <c r="O62" i="151" s="1"/>
  <c r="G62" i="151"/>
  <c r="H62" i="151"/>
  <c r="I62" i="151"/>
  <c r="J62" i="151"/>
  <c r="K62" i="151" s="1"/>
  <c r="F63" i="151"/>
  <c r="G63" i="151"/>
  <c r="H63" i="151"/>
  <c r="I63" i="151"/>
  <c r="J63" i="151"/>
  <c r="K63" i="151"/>
  <c r="L63" i="151"/>
  <c r="M63" i="151" s="1"/>
  <c r="N63" i="151"/>
  <c r="O63" i="151" s="1"/>
  <c r="F64" i="151"/>
  <c r="G64" i="151" s="1"/>
  <c r="J64" i="151"/>
  <c r="K64" i="151"/>
  <c r="L64" i="151"/>
  <c r="M64" i="151" s="1"/>
  <c r="N64" i="151"/>
  <c r="O64" i="151" s="1"/>
  <c r="F65" i="151"/>
  <c r="G65" i="151" s="1"/>
  <c r="L65" i="151"/>
  <c r="M65" i="151"/>
  <c r="N65" i="151"/>
  <c r="O65" i="151"/>
  <c r="F66" i="151"/>
  <c r="F67" i="151"/>
  <c r="G67" i="151"/>
  <c r="H67" i="151"/>
  <c r="I67" i="151" s="1"/>
  <c r="F68" i="151"/>
  <c r="N68" i="151" s="1"/>
  <c r="O68" i="151" s="1"/>
  <c r="G68" i="151"/>
  <c r="H68" i="151"/>
  <c r="I68" i="151"/>
  <c r="J68" i="151"/>
  <c r="K68" i="151" s="1"/>
  <c r="F69" i="151"/>
  <c r="G69" i="151"/>
  <c r="H69" i="151"/>
  <c r="I69" i="151"/>
  <c r="J69" i="151"/>
  <c r="K69" i="151"/>
  <c r="L69" i="151"/>
  <c r="M69" i="151" s="1"/>
  <c r="N69" i="151"/>
  <c r="O69" i="151" s="1"/>
  <c r="F70" i="151"/>
  <c r="H70" i="151" s="1"/>
  <c r="I70" i="151" s="1"/>
  <c r="G70" i="151"/>
  <c r="J70" i="151"/>
  <c r="K70" i="151"/>
  <c r="L70" i="151"/>
  <c r="M70" i="151"/>
  <c r="N70" i="151"/>
  <c r="O70" i="151" s="1"/>
  <c r="F71" i="151"/>
  <c r="G71" i="151" s="1"/>
  <c r="L71" i="151"/>
  <c r="M71" i="151"/>
  <c r="N71" i="151"/>
  <c r="O71" i="151"/>
  <c r="F72" i="151"/>
  <c r="F73" i="151"/>
  <c r="G73" i="151"/>
  <c r="H73" i="151"/>
  <c r="I73" i="151" s="1"/>
  <c r="F74" i="151"/>
  <c r="N74" i="151" s="1"/>
  <c r="O74" i="151" s="1"/>
  <c r="G74" i="151"/>
  <c r="H74" i="151"/>
  <c r="I74" i="151"/>
  <c r="J74" i="151"/>
  <c r="K74" i="151" s="1"/>
  <c r="F75" i="151"/>
  <c r="G75" i="151"/>
  <c r="H75" i="151"/>
  <c r="I75" i="151"/>
  <c r="J75" i="151"/>
  <c r="K75" i="151"/>
  <c r="L75" i="151"/>
  <c r="M75" i="151" s="1"/>
  <c r="N75" i="151"/>
  <c r="O75" i="151" s="1"/>
  <c r="F76" i="151"/>
  <c r="H76" i="151" s="1"/>
  <c r="I76" i="151" s="1"/>
  <c r="G76" i="151"/>
  <c r="J76" i="151"/>
  <c r="K76" i="151"/>
  <c r="L76" i="151"/>
  <c r="M76" i="151"/>
  <c r="N76" i="151"/>
  <c r="O76" i="151" s="1"/>
  <c r="F77" i="151"/>
  <c r="G77" i="151" s="1"/>
  <c r="L77" i="151"/>
  <c r="M77" i="151"/>
  <c r="N77" i="151"/>
  <c r="O77" i="151" s="1"/>
  <c r="F78" i="151"/>
  <c r="F79" i="151"/>
  <c r="G79" i="151"/>
  <c r="H79" i="151"/>
  <c r="I79" i="151" s="1"/>
  <c r="F80" i="151"/>
  <c r="N80" i="151" s="1"/>
  <c r="O80" i="151" s="1"/>
  <c r="G80" i="151"/>
  <c r="H80" i="151"/>
  <c r="I80" i="151" s="1"/>
  <c r="J80" i="151"/>
  <c r="K80" i="151" s="1"/>
  <c r="F81" i="151"/>
  <c r="G81" i="151"/>
  <c r="H81" i="151"/>
  <c r="I81" i="151"/>
  <c r="J81" i="151"/>
  <c r="K81" i="151"/>
  <c r="L81" i="151"/>
  <c r="M81" i="151" s="1"/>
  <c r="N81" i="151"/>
  <c r="O81" i="151"/>
  <c r="F82" i="151"/>
  <c r="H82" i="151" s="1"/>
  <c r="I82" i="151" s="1"/>
  <c r="G82" i="151"/>
  <c r="J82" i="151"/>
  <c r="K82" i="151"/>
  <c r="L82" i="151"/>
  <c r="M82" i="151" s="1"/>
  <c r="N82" i="151"/>
  <c r="O82" i="151" s="1"/>
  <c r="F83" i="151"/>
  <c r="H83" i="151" s="1"/>
  <c r="I83" i="151" s="1"/>
  <c r="G83" i="151"/>
  <c r="L83" i="151"/>
  <c r="M83" i="151"/>
  <c r="N83" i="151"/>
  <c r="O83" i="151"/>
  <c r="F84" i="151"/>
  <c r="F85" i="151"/>
  <c r="G85" i="151"/>
  <c r="H85" i="151"/>
  <c r="I85" i="151" s="1"/>
  <c r="F86" i="151"/>
  <c r="L86" i="151" s="1"/>
  <c r="M86" i="151" s="1"/>
  <c r="G86" i="151"/>
  <c r="H86" i="151"/>
  <c r="I86" i="151"/>
  <c r="J86" i="151"/>
  <c r="K86" i="151" s="1"/>
  <c r="F87" i="151"/>
  <c r="G87" i="151"/>
  <c r="H87" i="151"/>
  <c r="I87" i="151"/>
  <c r="J87" i="151"/>
  <c r="K87" i="151"/>
  <c r="L87" i="151"/>
  <c r="M87" i="151" s="1"/>
  <c r="N87" i="151"/>
  <c r="O87" i="151"/>
  <c r="F88" i="151"/>
  <c r="H88" i="151" s="1"/>
  <c r="I88" i="151" s="1"/>
  <c r="G88" i="151"/>
  <c r="J88" i="151"/>
  <c r="K88" i="151"/>
  <c r="L88" i="151"/>
  <c r="M88" i="151"/>
  <c r="N88" i="151"/>
  <c r="O88" i="151" s="1"/>
  <c r="F89" i="151"/>
  <c r="H89" i="151" s="1"/>
  <c r="I89" i="151" s="1"/>
  <c r="G89" i="151"/>
  <c r="N89" i="151"/>
  <c r="O89" i="151"/>
  <c r="F90" i="151"/>
  <c r="F91" i="151"/>
  <c r="G91" i="151"/>
  <c r="H91" i="151"/>
  <c r="I91" i="151" s="1"/>
  <c r="F92" i="151"/>
  <c r="L92" i="151" s="1"/>
  <c r="M92" i="151" s="1"/>
  <c r="G92" i="151"/>
  <c r="H92" i="151"/>
  <c r="I92" i="151"/>
  <c r="J92" i="151"/>
  <c r="K92" i="151" s="1"/>
  <c r="F93" i="151"/>
  <c r="G93" i="151"/>
  <c r="H93" i="151"/>
  <c r="I93" i="151"/>
  <c r="J93" i="151"/>
  <c r="K93" i="151"/>
  <c r="L93" i="151"/>
  <c r="M93" i="151" s="1"/>
  <c r="N93" i="151"/>
  <c r="O93" i="151"/>
  <c r="F94" i="151"/>
  <c r="G94" i="151" s="1"/>
  <c r="J94" i="151"/>
  <c r="K94" i="151"/>
  <c r="L94" i="151"/>
  <c r="M94" i="151" s="1"/>
  <c r="N94" i="151"/>
  <c r="O94" i="151" s="1"/>
  <c r="F95" i="151"/>
  <c r="H95" i="151" s="1"/>
  <c r="I95" i="151" s="1"/>
  <c r="G95" i="151"/>
  <c r="N95" i="151"/>
  <c r="O95" i="151"/>
  <c r="F96" i="151"/>
  <c r="F97" i="151"/>
  <c r="G97" i="151"/>
  <c r="H97" i="151"/>
  <c r="I97" i="151" s="1"/>
  <c r="F98" i="151"/>
  <c r="N98" i="151" s="1"/>
  <c r="O98" i="151" s="1"/>
  <c r="G98" i="151"/>
  <c r="H98" i="151"/>
  <c r="I98" i="151"/>
  <c r="J98" i="151"/>
  <c r="K98" i="151" s="1"/>
  <c r="L98" i="151"/>
  <c r="M98" i="151"/>
  <c r="F99" i="151"/>
  <c r="G99" i="151"/>
  <c r="H99" i="151"/>
  <c r="I99" i="151"/>
  <c r="J99" i="151"/>
  <c r="K99" i="151"/>
  <c r="L99" i="151"/>
  <c r="M99" i="151" s="1"/>
  <c r="N99" i="151"/>
  <c r="O99" i="151"/>
  <c r="F100" i="151"/>
  <c r="G100" i="151" s="1"/>
  <c r="J100" i="151"/>
  <c r="K100" i="151"/>
  <c r="L100" i="151"/>
  <c r="M100" i="151"/>
  <c r="N100" i="151"/>
  <c r="O100" i="151" s="1"/>
  <c r="F101" i="151"/>
  <c r="H101" i="151" s="1"/>
  <c r="I101" i="151" s="1"/>
  <c r="G101" i="151"/>
  <c r="N101" i="151"/>
  <c r="O101" i="151"/>
  <c r="F102" i="151"/>
  <c r="F103" i="151"/>
  <c r="G103" i="151"/>
  <c r="H103" i="151"/>
  <c r="I103" i="151" s="1"/>
  <c r="F104" i="151"/>
  <c r="N104" i="151" s="1"/>
  <c r="O104" i="151" s="1"/>
  <c r="G104" i="151"/>
  <c r="H104" i="151"/>
  <c r="I104" i="151"/>
  <c r="J104" i="151"/>
  <c r="K104" i="151" s="1"/>
  <c r="L104" i="151"/>
  <c r="M104" i="151"/>
  <c r="F105" i="151"/>
  <c r="G105" i="151"/>
  <c r="H105" i="151"/>
  <c r="I105" i="151"/>
  <c r="J105" i="151"/>
  <c r="K105" i="151"/>
  <c r="L105" i="151"/>
  <c r="M105" i="151" s="1"/>
  <c r="N105" i="151"/>
  <c r="O105" i="151"/>
  <c r="N99" i="150"/>
  <c r="O99" i="150" s="1"/>
  <c r="F99" i="150"/>
  <c r="L99" i="150" s="1"/>
  <c r="M99" i="150" s="1"/>
  <c r="N98" i="150"/>
  <c r="O98" i="150" s="1"/>
  <c r="L98" i="150"/>
  <c r="M98" i="150" s="1"/>
  <c r="H98" i="150"/>
  <c r="I98" i="150" s="1"/>
  <c r="G98" i="150"/>
  <c r="F98" i="150"/>
  <c r="J98" i="150" s="1"/>
  <c r="K98" i="150" s="1"/>
  <c r="N97" i="150"/>
  <c r="O97" i="150" s="1"/>
  <c r="L97" i="150"/>
  <c r="M97" i="150" s="1"/>
  <c r="K97" i="150"/>
  <c r="J97" i="150"/>
  <c r="F97" i="150"/>
  <c r="H97" i="150" s="1"/>
  <c r="I97" i="150" s="1"/>
  <c r="O96" i="150"/>
  <c r="N96" i="150"/>
  <c r="L96" i="150"/>
  <c r="M96" i="150" s="1"/>
  <c r="J96" i="150"/>
  <c r="K96" i="150" s="1"/>
  <c r="I96" i="150"/>
  <c r="H96" i="150"/>
  <c r="G96" i="150"/>
  <c r="F96" i="150"/>
  <c r="F95" i="150"/>
  <c r="F94" i="150"/>
  <c r="G94" i="150" s="1"/>
  <c r="N93" i="150"/>
  <c r="O93" i="150" s="1"/>
  <c r="F93" i="150"/>
  <c r="J93" i="150" s="1"/>
  <c r="K93" i="150" s="1"/>
  <c r="N92" i="150"/>
  <c r="O92" i="150" s="1"/>
  <c r="L92" i="150"/>
  <c r="M92" i="150" s="1"/>
  <c r="H92" i="150"/>
  <c r="I92" i="150" s="1"/>
  <c r="G92" i="150"/>
  <c r="F92" i="150"/>
  <c r="J92" i="150" s="1"/>
  <c r="K92" i="150" s="1"/>
  <c r="N91" i="150"/>
  <c r="O91" i="150" s="1"/>
  <c r="L91" i="150"/>
  <c r="M91" i="150" s="1"/>
  <c r="J91" i="150"/>
  <c r="K91" i="150" s="1"/>
  <c r="F91" i="150"/>
  <c r="H91" i="150" s="1"/>
  <c r="I91" i="150" s="1"/>
  <c r="O90" i="150"/>
  <c r="N90" i="150"/>
  <c r="L90" i="150"/>
  <c r="M90" i="150" s="1"/>
  <c r="J90" i="150"/>
  <c r="K90" i="150" s="1"/>
  <c r="H90" i="150"/>
  <c r="I90" i="150" s="1"/>
  <c r="G90" i="150"/>
  <c r="F90" i="150"/>
  <c r="H89" i="150"/>
  <c r="I89" i="150" s="1"/>
  <c r="F89" i="150"/>
  <c r="F88" i="150"/>
  <c r="G88" i="150" s="1"/>
  <c r="N87" i="150"/>
  <c r="O87" i="150" s="1"/>
  <c r="F87" i="150"/>
  <c r="L87" i="150" s="1"/>
  <c r="M87" i="150" s="1"/>
  <c r="N86" i="150"/>
  <c r="O86" i="150" s="1"/>
  <c r="L86" i="150"/>
  <c r="M86" i="150" s="1"/>
  <c r="H86" i="150"/>
  <c r="I86" i="150" s="1"/>
  <c r="G86" i="150"/>
  <c r="F86" i="150"/>
  <c r="J86" i="150" s="1"/>
  <c r="K86" i="150" s="1"/>
  <c r="N85" i="150"/>
  <c r="O85" i="150" s="1"/>
  <c r="M85" i="150"/>
  <c r="L85" i="150"/>
  <c r="J85" i="150"/>
  <c r="K85" i="150" s="1"/>
  <c r="F85" i="150"/>
  <c r="H85" i="150" s="1"/>
  <c r="I85" i="150" s="1"/>
  <c r="O84" i="150"/>
  <c r="N84" i="150"/>
  <c r="L84" i="150"/>
  <c r="M84" i="150" s="1"/>
  <c r="K84" i="150"/>
  <c r="J84" i="150"/>
  <c r="H84" i="150"/>
  <c r="I84" i="150" s="1"/>
  <c r="G84" i="150"/>
  <c r="F84" i="150"/>
  <c r="F83" i="150"/>
  <c r="F82" i="150"/>
  <c r="O81" i="150"/>
  <c r="N81" i="150"/>
  <c r="F81" i="150"/>
  <c r="L81" i="150" s="1"/>
  <c r="M81" i="150" s="1"/>
  <c r="N80" i="150"/>
  <c r="O80" i="150" s="1"/>
  <c r="L80" i="150"/>
  <c r="M80" i="150" s="1"/>
  <c r="H80" i="150"/>
  <c r="I80" i="150" s="1"/>
  <c r="G80" i="150"/>
  <c r="F80" i="150"/>
  <c r="J80" i="150" s="1"/>
  <c r="K80" i="150" s="1"/>
  <c r="N79" i="150"/>
  <c r="O79" i="150" s="1"/>
  <c r="L79" i="150"/>
  <c r="M79" i="150" s="1"/>
  <c r="J79" i="150"/>
  <c r="K79" i="150" s="1"/>
  <c r="F79" i="150"/>
  <c r="H79" i="150" s="1"/>
  <c r="I79" i="150" s="1"/>
  <c r="O78" i="150"/>
  <c r="N78" i="150"/>
  <c r="L78" i="150"/>
  <c r="M78" i="150" s="1"/>
  <c r="J78" i="150"/>
  <c r="K78" i="150" s="1"/>
  <c r="H78" i="150"/>
  <c r="I78" i="150" s="1"/>
  <c r="G78" i="150"/>
  <c r="F78" i="150"/>
  <c r="F77" i="150"/>
  <c r="G77" i="150" s="1"/>
  <c r="F76" i="150"/>
  <c r="N75" i="150"/>
  <c r="O75" i="150" s="1"/>
  <c r="F75" i="150"/>
  <c r="L75" i="150" s="1"/>
  <c r="M75" i="150" s="1"/>
  <c r="N74" i="150"/>
  <c r="O74" i="150" s="1"/>
  <c r="M74" i="150"/>
  <c r="L74" i="150"/>
  <c r="H74" i="150"/>
  <c r="I74" i="150" s="1"/>
  <c r="G74" i="150"/>
  <c r="F74" i="150"/>
  <c r="J74" i="150" s="1"/>
  <c r="K74" i="150" s="1"/>
  <c r="N73" i="150"/>
  <c r="O73" i="150" s="1"/>
  <c r="L73" i="150"/>
  <c r="M73" i="150" s="1"/>
  <c r="J73" i="150"/>
  <c r="K73" i="150" s="1"/>
  <c r="F73" i="150"/>
  <c r="H73" i="150" s="1"/>
  <c r="I73" i="150" s="1"/>
  <c r="O72" i="150"/>
  <c r="N72" i="150"/>
  <c r="L72" i="150"/>
  <c r="M72" i="150" s="1"/>
  <c r="J72" i="150"/>
  <c r="K72" i="150" s="1"/>
  <c r="I72" i="150"/>
  <c r="H72" i="150"/>
  <c r="G72" i="150"/>
  <c r="F72" i="150"/>
  <c r="F71" i="150"/>
  <c r="G70" i="150"/>
  <c r="F70" i="150"/>
  <c r="O69" i="150"/>
  <c r="N69" i="150"/>
  <c r="F69" i="150"/>
  <c r="L69" i="150" s="1"/>
  <c r="M69" i="150" s="1"/>
  <c r="N68" i="150"/>
  <c r="O68" i="150" s="1"/>
  <c r="L68" i="150"/>
  <c r="M68" i="150" s="1"/>
  <c r="H68" i="150"/>
  <c r="I68" i="150" s="1"/>
  <c r="G68" i="150"/>
  <c r="F68" i="150"/>
  <c r="J68" i="150" s="1"/>
  <c r="K68" i="150" s="1"/>
  <c r="N67" i="150"/>
  <c r="O67" i="150" s="1"/>
  <c r="L67" i="150"/>
  <c r="M67" i="150" s="1"/>
  <c r="J67" i="150"/>
  <c r="K67" i="150" s="1"/>
  <c r="F67" i="150"/>
  <c r="H67" i="150" s="1"/>
  <c r="I67" i="150" s="1"/>
  <c r="O66" i="150"/>
  <c r="N66" i="150"/>
  <c r="L66" i="150"/>
  <c r="M66" i="150" s="1"/>
  <c r="J66" i="150"/>
  <c r="K66" i="150" s="1"/>
  <c r="H66" i="150"/>
  <c r="I66" i="150" s="1"/>
  <c r="G66" i="150"/>
  <c r="F66" i="150"/>
  <c r="H65" i="150"/>
  <c r="I65" i="150" s="1"/>
  <c r="F65" i="150"/>
  <c r="F64" i="150"/>
  <c r="G64" i="150" s="1"/>
  <c r="N63" i="150"/>
  <c r="O63" i="150" s="1"/>
  <c r="F63" i="150"/>
  <c r="J63" i="150" s="1"/>
  <c r="K63" i="150" s="1"/>
  <c r="O62" i="150"/>
  <c r="N62" i="150"/>
  <c r="L62" i="150"/>
  <c r="M62" i="150" s="1"/>
  <c r="H62" i="150"/>
  <c r="I62" i="150" s="1"/>
  <c r="G62" i="150"/>
  <c r="F62" i="150"/>
  <c r="J62" i="150" s="1"/>
  <c r="K62" i="150" s="1"/>
  <c r="N61" i="150"/>
  <c r="O61" i="150" s="1"/>
  <c r="L61" i="150"/>
  <c r="M61" i="150" s="1"/>
  <c r="J61" i="150"/>
  <c r="K61" i="150" s="1"/>
  <c r="F61" i="150"/>
  <c r="H61" i="150" s="1"/>
  <c r="I61" i="150" s="1"/>
  <c r="O60" i="150"/>
  <c r="N60" i="150"/>
  <c r="L60" i="150"/>
  <c r="M60" i="150" s="1"/>
  <c r="K60" i="150"/>
  <c r="J60" i="150"/>
  <c r="H60" i="150"/>
  <c r="I60" i="150" s="1"/>
  <c r="G60" i="150"/>
  <c r="F60" i="150"/>
  <c r="H59" i="150"/>
  <c r="I59" i="150" s="1"/>
  <c r="G59" i="150"/>
  <c r="F59" i="150"/>
  <c r="F58" i="150"/>
  <c r="F57" i="150"/>
  <c r="N56" i="150"/>
  <c r="O56" i="150" s="1"/>
  <c r="L56" i="150"/>
  <c r="M56" i="150" s="1"/>
  <c r="H56" i="150"/>
  <c r="I56" i="150" s="1"/>
  <c r="G56" i="150"/>
  <c r="F56" i="150"/>
  <c r="J56" i="150" s="1"/>
  <c r="K56" i="150" s="1"/>
  <c r="N55" i="150"/>
  <c r="O55" i="150" s="1"/>
  <c r="L55" i="150"/>
  <c r="M55" i="150" s="1"/>
  <c r="J55" i="150"/>
  <c r="K55" i="150" s="1"/>
  <c r="F55" i="150"/>
  <c r="H55" i="150" s="1"/>
  <c r="I55" i="150" s="1"/>
  <c r="L54" i="150"/>
  <c r="M54" i="150" s="1"/>
  <c r="J54" i="150"/>
  <c r="K54" i="150" s="1"/>
  <c r="H54" i="150"/>
  <c r="I54" i="150" s="1"/>
  <c r="G54" i="150"/>
  <c r="F54" i="150"/>
  <c r="N54" i="150" s="1"/>
  <c r="O54" i="150" s="1"/>
  <c r="F53" i="150"/>
  <c r="H53" i="150" s="1"/>
  <c r="I53" i="150" s="1"/>
  <c r="F52" i="150"/>
  <c r="H52" i="150" s="1"/>
  <c r="I52" i="150" s="1"/>
  <c r="N48" i="150"/>
  <c r="O48" i="150" s="1"/>
  <c r="N44" i="150"/>
  <c r="O44" i="150" s="1"/>
  <c r="L44" i="150"/>
  <c r="M44" i="150" s="1"/>
  <c r="H44" i="150"/>
  <c r="I44" i="150" s="1"/>
  <c r="G44" i="150"/>
  <c r="J44" i="150"/>
  <c r="K44" i="150" s="1"/>
  <c r="N40" i="150"/>
  <c r="O40" i="150" s="1"/>
  <c r="L40" i="150"/>
  <c r="M40" i="150" s="1"/>
  <c r="K40" i="150"/>
  <c r="J40" i="150"/>
  <c r="F40" i="150"/>
  <c r="H40" i="150" s="1"/>
  <c r="I40" i="150" s="1"/>
  <c r="F71" i="149"/>
  <c r="L71" i="149" s="1"/>
  <c r="M71" i="149" s="1"/>
  <c r="F70" i="149"/>
  <c r="J70" i="149" s="1"/>
  <c r="K70" i="149" s="1"/>
  <c r="F69" i="149"/>
  <c r="H69" i="149" s="1"/>
  <c r="I69" i="149" s="1"/>
  <c r="F68" i="149"/>
  <c r="H68" i="149" s="1"/>
  <c r="I68" i="149" s="1"/>
  <c r="F67" i="149"/>
  <c r="L67" i="149" s="1"/>
  <c r="M67" i="149" s="1"/>
  <c r="F66" i="149"/>
  <c r="N66" i="149" s="1"/>
  <c r="O66" i="149" s="1"/>
  <c r="F65" i="149"/>
  <c r="L65" i="149" s="1"/>
  <c r="M65" i="149" s="1"/>
  <c r="F64" i="149"/>
  <c r="J64" i="149" s="1"/>
  <c r="K64" i="149" s="1"/>
  <c r="F63" i="149"/>
  <c r="H63" i="149" s="1"/>
  <c r="I63" i="149" s="1"/>
  <c r="F62" i="149"/>
  <c r="N62" i="149" s="1"/>
  <c r="O62" i="149" s="1"/>
  <c r="F61" i="149"/>
  <c r="L61" i="149" s="1"/>
  <c r="M61" i="149" s="1"/>
  <c r="F60" i="149"/>
  <c r="N60" i="149" s="1"/>
  <c r="O60" i="149" s="1"/>
  <c r="F59" i="149"/>
  <c r="L59" i="149" s="1"/>
  <c r="M59" i="149" s="1"/>
  <c r="F58" i="149"/>
  <c r="J58" i="149" s="1"/>
  <c r="K58" i="149" s="1"/>
  <c r="F57" i="149"/>
  <c r="H57" i="149" s="1"/>
  <c r="I57" i="149" s="1"/>
  <c r="F56" i="149"/>
  <c r="L56" i="149" s="1"/>
  <c r="M56" i="149" s="1"/>
  <c r="F55" i="149"/>
  <c r="L55" i="149" s="1"/>
  <c r="M55" i="149" s="1"/>
  <c r="F54" i="149"/>
  <c r="N54" i="149" s="1"/>
  <c r="O54" i="149" s="1"/>
  <c r="F53" i="149"/>
  <c r="L53" i="149" s="1"/>
  <c r="M53" i="149" s="1"/>
  <c r="F51" i="149"/>
  <c r="H51" i="149" s="1"/>
  <c r="I51" i="149" s="1"/>
  <c r="F50" i="149"/>
  <c r="N50" i="149" s="1"/>
  <c r="O50" i="149" s="1"/>
  <c r="F49" i="149"/>
  <c r="L49" i="149" s="1"/>
  <c r="M49" i="149" s="1"/>
  <c r="F48" i="149"/>
  <c r="N48" i="149" s="1"/>
  <c r="O48" i="149" s="1"/>
  <c r="F47" i="149"/>
  <c r="L47" i="149" s="1"/>
  <c r="M47" i="149" s="1"/>
  <c r="F43" i="149"/>
  <c r="J43" i="149" s="1"/>
  <c r="K43" i="149" s="1"/>
  <c r="N39" i="149"/>
  <c r="O39" i="149" s="1"/>
  <c r="L39" i="149"/>
  <c r="M39" i="149" s="1"/>
  <c r="H39" i="149"/>
  <c r="I39" i="149" s="1"/>
  <c r="F72" i="148"/>
  <c r="F71" i="148"/>
  <c r="J71" i="148" s="1"/>
  <c r="K71" i="148" s="1"/>
  <c r="F70" i="148"/>
  <c r="L70" i="148" s="1"/>
  <c r="M70" i="148" s="1"/>
  <c r="F69" i="148"/>
  <c r="J69" i="148" s="1"/>
  <c r="K69" i="148" s="1"/>
  <c r="N68" i="148"/>
  <c r="O68" i="148" s="1"/>
  <c r="F68" i="148"/>
  <c r="L68" i="148" s="1"/>
  <c r="M68" i="148" s="1"/>
  <c r="F67" i="148"/>
  <c r="N67" i="148" s="1"/>
  <c r="O67" i="148" s="1"/>
  <c r="F66" i="148"/>
  <c r="F65" i="148"/>
  <c r="G65" i="148" s="1"/>
  <c r="F64" i="148"/>
  <c r="G64" i="148" s="1"/>
  <c r="F63" i="148"/>
  <c r="J63" i="148" s="1"/>
  <c r="K63" i="148" s="1"/>
  <c r="F62" i="148"/>
  <c r="N62" i="148" s="1"/>
  <c r="O62" i="148" s="1"/>
  <c r="F61" i="148"/>
  <c r="H61" i="148" s="1"/>
  <c r="I61" i="148" s="1"/>
  <c r="F60" i="148"/>
  <c r="F59" i="148"/>
  <c r="J59" i="148" s="1"/>
  <c r="K59" i="148" s="1"/>
  <c r="F58" i="148"/>
  <c r="G58" i="148" s="1"/>
  <c r="F57" i="148"/>
  <c r="G57" i="148" s="1"/>
  <c r="F56" i="148"/>
  <c r="J56" i="148" s="1"/>
  <c r="K56" i="148" s="1"/>
  <c r="F55" i="148"/>
  <c r="H55" i="148" s="1"/>
  <c r="I55" i="148" s="1"/>
  <c r="F54" i="148"/>
  <c r="F53" i="148"/>
  <c r="H53" i="148" s="1"/>
  <c r="I53" i="148" s="1"/>
  <c r="F52" i="148"/>
  <c r="J52" i="148" s="1"/>
  <c r="K52" i="148" s="1"/>
  <c r="F51" i="148"/>
  <c r="L51" i="148" s="1"/>
  <c r="M51" i="148" s="1"/>
  <c r="L50" i="148"/>
  <c r="M50" i="148" s="1"/>
  <c r="J50" i="148"/>
  <c r="K50" i="148" s="1"/>
  <c r="H50" i="148"/>
  <c r="I50" i="148" s="1"/>
  <c r="G50" i="148"/>
  <c r="F50" i="148"/>
  <c r="N50" i="148" s="1"/>
  <c r="O50" i="148" s="1"/>
  <c r="F49" i="148"/>
  <c r="G49" i="148" s="1"/>
  <c r="F48" i="148"/>
  <c r="H48" i="148" s="1"/>
  <c r="I48" i="148" s="1"/>
  <c r="F47" i="148"/>
  <c r="H47" i="148" s="1"/>
  <c r="I47" i="148" s="1"/>
  <c r="G43" i="148"/>
  <c r="N39" i="148"/>
  <c r="O39" i="148" s="1"/>
  <c r="L39" i="148"/>
  <c r="M39" i="148" s="1"/>
  <c r="J39" i="148"/>
  <c r="K39" i="148" s="1"/>
  <c r="H39" i="148"/>
  <c r="I39" i="148" s="1"/>
  <c r="G39" i="148"/>
  <c r="J62" i="148" l="1"/>
  <c r="K62" i="148" s="1"/>
  <c r="J55" i="148"/>
  <c r="K55" i="148" s="1"/>
  <c r="H62" i="148"/>
  <c r="I62" i="148" s="1"/>
  <c r="G62" i="148"/>
  <c r="L55" i="148"/>
  <c r="M55" i="148" s="1"/>
  <c r="L69" i="148"/>
  <c r="M69" i="148" s="1"/>
  <c r="N55" i="148"/>
  <c r="O55" i="148" s="1"/>
  <c r="L62" i="148"/>
  <c r="M62" i="148" s="1"/>
  <c r="L57" i="148"/>
  <c r="M57" i="148" s="1"/>
  <c r="N51" i="148"/>
  <c r="O51" i="148" s="1"/>
  <c r="N57" i="148"/>
  <c r="O57" i="148" s="1"/>
  <c r="L52" i="148"/>
  <c r="M52" i="148" s="1"/>
  <c r="N58" i="148"/>
  <c r="O58" i="148" s="1"/>
  <c r="G67" i="148"/>
  <c r="H67" i="148"/>
  <c r="I67" i="148" s="1"/>
  <c r="N69" i="148"/>
  <c r="O69" i="148" s="1"/>
  <c r="H56" i="148"/>
  <c r="I56" i="148" s="1"/>
  <c r="G61" i="148"/>
  <c r="N70" i="148"/>
  <c r="O70" i="148" s="1"/>
  <c r="G55" i="148"/>
  <c r="N61" i="148"/>
  <c r="O61" i="148" s="1"/>
  <c r="N64" i="148"/>
  <c r="O64" i="148" s="1"/>
  <c r="N47" i="148"/>
  <c r="O47" i="148" s="1"/>
  <c r="G51" i="148"/>
  <c r="L56" i="148"/>
  <c r="M56" i="148" s="1"/>
  <c r="J61" i="148"/>
  <c r="K61" i="148" s="1"/>
  <c r="N63" i="148"/>
  <c r="O63" i="148" s="1"/>
  <c r="G68" i="148"/>
  <c r="H51" i="148"/>
  <c r="I51" i="148" s="1"/>
  <c r="N56" i="148"/>
  <c r="O56" i="148" s="1"/>
  <c r="L61" i="148"/>
  <c r="M61" i="148" s="1"/>
  <c r="H68" i="148"/>
  <c r="I68" i="148" s="1"/>
  <c r="J51" i="148"/>
  <c r="K51" i="148" s="1"/>
  <c r="J68" i="148"/>
  <c r="K68" i="148" s="1"/>
  <c r="N52" i="148"/>
  <c r="O52" i="148" s="1"/>
  <c r="G56" i="148"/>
  <c r="J67" i="148"/>
  <c r="K67" i="148" s="1"/>
  <c r="L67" i="148"/>
  <c r="M67" i="148" s="1"/>
  <c r="L63" i="148"/>
  <c r="M63" i="148" s="1"/>
  <c r="J50" i="149"/>
  <c r="K50" i="149" s="1"/>
  <c r="J68" i="149"/>
  <c r="K68" i="149" s="1"/>
  <c r="H50" i="149"/>
  <c r="I50" i="149" s="1"/>
  <c r="J57" i="149"/>
  <c r="K57" i="149" s="1"/>
  <c r="J62" i="149"/>
  <c r="K62" i="149" s="1"/>
  <c r="H56" i="149"/>
  <c r="I56" i="149" s="1"/>
  <c r="N57" i="149"/>
  <c r="O57" i="149" s="1"/>
  <c r="N68" i="149"/>
  <c r="O68" i="149" s="1"/>
  <c r="G55" i="149"/>
  <c r="G50" i="149"/>
  <c r="H55" i="149"/>
  <c r="I55" i="149" s="1"/>
  <c r="G62" i="149"/>
  <c r="N58" i="149"/>
  <c r="O58" i="149" s="1"/>
  <c r="L64" i="149"/>
  <c r="M64" i="149" s="1"/>
  <c r="G49" i="149"/>
  <c r="N64" i="149"/>
  <c r="O64" i="149" s="1"/>
  <c r="H49" i="149"/>
  <c r="I49" i="149" s="1"/>
  <c r="H62" i="149"/>
  <c r="I62" i="149" s="1"/>
  <c r="N51" i="149"/>
  <c r="O51" i="149" s="1"/>
  <c r="L62" i="149"/>
  <c r="M62" i="149" s="1"/>
  <c r="G56" i="149"/>
  <c r="L58" i="149"/>
  <c r="M58" i="149" s="1"/>
  <c r="L68" i="149"/>
  <c r="M68" i="149" s="1"/>
  <c r="L50" i="149"/>
  <c r="M50" i="149" s="1"/>
  <c r="N53" i="149"/>
  <c r="O53" i="149" s="1"/>
  <c r="N56" i="149"/>
  <c r="O56" i="149" s="1"/>
  <c r="G67" i="149"/>
  <c r="L69" i="149"/>
  <c r="M69" i="149" s="1"/>
  <c r="N47" i="149"/>
  <c r="O47" i="149" s="1"/>
  <c r="J63" i="149"/>
  <c r="K63" i="149" s="1"/>
  <c r="H67" i="149"/>
  <c r="I67" i="149" s="1"/>
  <c r="N69" i="149"/>
  <c r="O69" i="149" s="1"/>
  <c r="J56" i="149"/>
  <c r="K56" i="149" s="1"/>
  <c r="J69" i="149"/>
  <c r="K69" i="149" s="1"/>
  <c r="N59" i="149"/>
  <c r="O59" i="149" s="1"/>
  <c r="J51" i="149"/>
  <c r="K51" i="149" s="1"/>
  <c r="G61" i="149"/>
  <c r="L63" i="149"/>
  <c r="M63" i="149" s="1"/>
  <c r="G68" i="149"/>
  <c r="L70" i="149"/>
  <c r="M70" i="149" s="1"/>
  <c r="L57" i="149"/>
  <c r="M57" i="149" s="1"/>
  <c r="H61" i="149"/>
  <c r="I61" i="149" s="1"/>
  <c r="N63" i="149"/>
  <c r="O63" i="149" s="1"/>
  <c r="L51" i="149"/>
  <c r="M51" i="149" s="1"/>
  <c r="N70" i="149"/>
  <c r="O70" i="149" s="1"/>
  <c r="L43" i="149"/>
  <c r="M43" i="149" s="1"/>
  <c r="N43" i="149"/>
  <c r="O43" i="149" s="1"/>
  <c r="J39" i="149"/>
  <c r="K39" i="149" s="1"/>
  <c r="N43" i="148"/>
  <c r="O43" i="148" s="1"/>
  <c r="L43" i="148"/>
  <c r="M43" i="148" s="1"/>
  <c r="H46" i="151"/>
  <c r="I46" i="151" s="1"/>
  <c r="N63" i="163"/>
  <c r="O63" i="163" s="1"/>
  <c r="L63" i="163"/>
  <c r="M63" i="163" s="1"/>
  <c r="J63" i="163"/>
  <c r="K63" i="163" s="1"/>
  <c r="H63" i="163"/>
  <c r="I63" i="163" s="1"/>
  <c r="G63" i="163"/>
  <c r="N76" i="163"/>
  <c r="O76" i="163" s="1"/>
  <c r="L76" i="163"/>
  <c r="M76" i="163" s="1"/>
  <c r="H76" i="163"/>
  <c r="I76" i="163" s="1"/>
  <c r="J76" i="163"/>
  <c r="K76" i="163" s="1"/>
  <c r="G76" i="163"/>
  <c r="L61" i="163"/>
  <c r="M61" i="163" s="1"/>
  <c r="J61" i="163"/>
  <c r="K61" i="163" s="1"/>
  <c r="H61" i="163"/>
  <c r="I61" i="163" s="1"/>
  <c r="G61" i="163"/>
  <c r="N61" i="163"/>
  <c r="O61" i="163" s="1"/>
  <c r="N82" i="163"/>
  <c r="O82" i="163" s="1"/>
  <c r="L82" i="163"/>
  <c r="M82" i="163" s="1"/>
  <c r="H82" i="163"/>
  <c r="I82" i="163" s="1"/>
  <c r="J82" i="163"/>
  <c r="K82" i="163" s="1"/>
  <c r="N56" i="163"/>
  <c r="O56" i="163" s="1"/>
  <c r="L56" i="163"/>
  <c r="M56" i="163" s="1"/>
  <c r="H56" i="163"/>
  <c r="I56" i="163" s="1"/>
  <c r="J56" i="163"/>
  <c r="K56" i="163" s="1"/>
  <c r="G56" i="163"/>
  <c r="L62" i="163"/>
  <c r="M62" i="163" s="1"/>
  <c r="J62" i="163"/>
  <c r="K62" i="163" s="1"/>
  <c r="G62" i="163"/>
  <c r="H62" i="163"/>
  <c r="I62" i="163" s="1"/>
  <c r="N62" i="163"/>
  <c r="O62" i="163" s="1"/>
  <c r="G82" i="163"/>
  <c r="N88" i="163"/>
  <c r="O88" i="163" s="1"/>
  <c r="L88" i="163"/>
  <c r="M88" i="163" s="1"/>
  <c r="J88" i="163"/>
  <c r="K88" i="163" s="1"/>
  <c r="H88" i="163"/>
  <c r="I88" i="163" s="1"/>
  <c r="N50" i="163"/>
  <c r="O50" i="163" s="1"/>
  <c r="L50" i="163"/>
  <c r="M50" i="163" s="1"/>
  <c r="M94" i="163" s="1" a="1"/>
  <c r="M94" i="163" s="1"/>
  <c r="H50" i="163"/>
  <c r="I50" i="163" s="1"/>
  <c r="J50" i="163"/>
  <c r="K50" i="163" s="1"/>
  <c r="G88" i="163"/>
  <c r="G50" i="163"/>
  <c r="N64" i="163"/>
  <c r="O64" i="163" s="1"/>
  <c r="L64" i="163"/>
  <c r="M64" i="163" s="1"/>
  <c r="H64" i="163"/>
  <c r="I64" i="163" s="1"/>
  <c r="J64" i="163"/>
  <c r="K64" i="163" s="1"/>
  <c r="N70" i="163"/>
  <c r="O70" i="163" s="1"/>
  <c r="L70" i="163"/>
  <c r="M70" i="163" s="1"/>
  <c r="H70" i="163"/>
  <c r="I70" i="163" s="1"/>
  <c r="J70" i="163"/>
  <c r="K70" i="163" s="1"/>
  <c r="G87" i="163"/>
  <c r="N49" i="163"/>
  <c r="O49" i="163" s="1"/>
  <c r="N55" i="163"/>
  <c r="O55" i="163" s="1"/>
  <c r="N69" i="163"/>
  <c r="O69" i="163" s="1"/>
  <c r="N75" i="163"/>
  <c r="O75" i="163" s="1"/>
  <c r="N81" i="163"/>
  <c r="O81" i="163" s="1"/>
  <c r="N87" i="163"/>
  <c r="O87" i="163" s="1"/>
  <c r="N93" i="163"/>
  <c r="O93" i="163" s="1"/>
  <c r="G93" i="163"/>
  <c r="H49" i="163"/>
  <c r="I49" i="163" s="1"/>
  <c r="L51" i="163"/>
  <c r="M51" i="163" s="1"/>
  <c r="N52" i="163"/>
  <c r="O52" i="163" s="1"/>
  <c r="H55" i="163"/>
  <c r="I55" i="163" s="1"/>
  <c r="L57" i="163"/>
  <c r="M57" i="163" s="1"/>
  <c r="N58" i="163"/>
  <c r="O58" i="163" s="1"/>
  <c r="L65" i="163"/>
  <c r="M65" i="163" s="1"/>
  <c r="N66" i="163"/>
  <c r="O66" i="163" s="1"/>
  <c r="H69" i="163"/>
  <c r="I69" i="163" s="1"/>
  <c r="L71" i="163"/>
  <c r="M71" i="163" s="1"/>
  <c r="N72" i="163"/>
  <c r="O72" i="163" s="1"/>
  <c r="H75" i="163"/>
  <c r="I75" i="163" s="1"/>
  <c r="L77" i="163"/>
  <c r="M77" i="163" s="1"/>
  <c r="N78" i="163"/>
  <c r="O78" i="163" s="1"/>
  <c r="H81" i="163"/>
  <c r="I81" i="163" s="1"/>
  <c r="L83" i="163"/>
  <c r="M83" i="163" s="1"/>
  <c r="N84" i="163"/>
  <c r="O84" i="163" s="1"/>
  <c r="H87" i="163"/>
  <c r="I87" i="163" s="1"/>
  <c r="L89" i="163"/>
  <c r="M89" i="163" s="1"/>
  <c r="N90" i="163"/>
  <c r="O90" i="163" s="1"/>
  <c r="H93" i="163"/>
  <c r="I93" i="163" s="1"/>
  <c r="G49" i="163"/>
  <c r="G55" i="163"/>
  <c r="G69" i="163"/>
  <c r="G75" i="163"/>
  <c r="G81" i="163"/>
  <c r="G46" i="163"/>
  <c r="G54" i="163"/>
  <c r="G60" i="163"/>
  <c r="G68" i="163"/>
  <c r="G74" i="163"/>
  <c r="G80" i="163"/>
  <c r="G86" i="163"/>
  <c r="G92" i="163"/>
  <c r="J49" i="163"/>
  <c r="K49" i="163" s="1"/>
  <c r="J55" i="163"/>
  <c r="K55" i="163" s="1"/>
  <c r="J69" i="163"/>
  <c r="K69" i="163" s="1"/>
  <c r="J75" i="163"/>
  <c r="K75" i="163" s="1"/>
  <c r="J81" i="163"/>
  <c r="K81" i="163" s="1"/>
  <c r="J87" i="163"/>
  <c r="K87" i="163" s="1"/>
  <c r="J93" i="163"/>
  <c r="K93" i="163" s="1"/>
  <c r="N59" i="162"/>
  <c r="O59" i="162" s="1"/>
  <c r="L59" i="162"/>
  <c r="M59" i="162" s="1"/>
  <c r="J59" i="162"/>
  <c r="K59" i="162" s="1"/>
  <c r="H59" i="162"/>
  <c r="I59" i="162" s="1"/>
  <c r="G59" i="162"/>
  <c r="N61" i="162"/>
  <c r="O61" i="162" s="1"/>
  <c r="L61" i="162"/>
  <c r="M61" i="162" s="1"/>
  <c r="J61" i="162"/>
  <c r="K61" i="162" s="1"/>
  <c r="H61" i="162"/>
  <c r="I61" i="162" s="1"/>
  <c r="G61" i="162"/>
  <c r="N62" i="162"/>
  <c r="O62" i="162" s="1"/>
  <c r="L62" i="162"/>
  <c r="M62" i="162" s="1"/>
  <c r="J62" i="162"/>
  <c r="K62" i="162" s="1"/>
  <c r="H62" i="162"/>
  <c r="I62" i="162" s="1"/>
  <c r="G62" i="162"/>
  <c r="O91" i="162" a="1"/>
  <c r="O91" i="162" s="1"/>
  <c r="G46" i="162"/>
  <c r="G54" i="162"/>
  <c r="G68" i="162"/>
  <c r="G74" i="162"/>
  <c r="G80" i="162"/>
  <c r="G86" i="162"/>
  <c r="G43" i="162"/>
  <c r="G73" i="162"/>
  <c r="G79" i="162"/>
  <c r="H43" i="162"/>
  <c r="I43" i="162" s="1"/>
  <c r="J46" i="162"/>
  <c r="K46" i="162" s="1"/>
  <c r="H53" i="162"/>
  <c r="I53" i="162" s="1"/>
  <c r="J54" i="162"/>
  <c r="K54" i="162" s="1"/>
  <c r="H60" i="162"/>
  <c r="I60" i="162" s="1"/>
  <c r="H67" i="162"/>
  <c r="I67" i="162" s="1"/>
  <c r="J68" i="162"/>
  <c r="K68" i="162" s="1"/>
  <c r="H73" i="162"/>
  <c r="I73" i="162" s="1"/>
  <c r="J74" i="162"/>
  <c r="K74" i="162" s="1"/>
  <c r="H79" i="162"/>
  <c r="I79" i="162" s="1"/>
  <c r="J80" i="162"/>
  <c r="K80" i="162" s="1"/>
  <c r="H85" i="162"/>
  <c r="I85" i="162" s="1"/>
  <c r="J86" i="162"/>
  <c r="K86" i="162" s="1"/>
  <c r="G40" i="162"/>
  <c r="G52" i="162"/>
  <c r="G58" i="162"/>
  <c r="G66" i="162"/>
  <c r="G72" i="162"/>
  <c r="G78" i="162"/>
  <c r="G84" i="162"/>
  <c r="G90" i="162"/>
  <c r="H40" i="162"/>
  <c r="I40" i="162" s="1"/>
  <c r="J43" i="162"/>
  <c r="K43" i="162" s="1"/>
  <c r="L46" i="162"/>
  <c r="M46" i="162" s="1"/>
  <c r="H52" i="162"/>
  <c r="I52" i="162" s="1"/>
  <c r="J53" i="162"/>
  <c r="K53" i="162" s="1"/>
  <c r="L54" i="162"/>
  <c r="M54" i="162" s="1"/>
  <c r="H58" i="162"/>
  <c r="I58" i="162" s="1"/>
  <c r="J60" i="162"/>
  <c r="K60" i="162" s="1"/>
  <c r="H66" i="162"/>
  <c r="I66" i="162" s="1"/>
  <c r="J67" i="162"/>
  <c r="K67" i="162" s="1"/>
  <c r="L68" i="162"/>
  <c r="M68" i="162" s="1"/>
  <c r="H72" i="162"/>
  <c r="I72" i="162" s="1"/>
  <c r="J73" i="162"/>
  <c r="K73" i="162" s="1"/>
  <c r="L74" i="162"/>
  <c r="M74" i="162" s="1"/>
  <c r="H78" i="162"/>
  <c r="I78" i="162" s="1"/>
  <c r="J79" i="162"/>
  <c r="K79" i="162" s="1"/>
  <c r="L80" i="162"/>
  <c r="M80" i="162" s="1"/>
  <c r="H84" i="162"/>
  <c r="I84" i="162" s="1"/>
  <c r="J85" i="162"/>
  <c r="K85" i="162" s="1"/>
  <c r="L86" i="162"/>
  <c r="M86" i="162" s="1"/>
  <c r="H90" i="162"/>
  <c r="I90" i="162" s="1"/>
  <c r="G53" i="162"/>
  <c r="G60" i="162"/>
  <c r="G67" i="162"/>
  <c r="G51" i="162"/>
  <c r="G57" i="162"/>
  <c r="G65" i="162"/>
  <c r="G71" i="162"/>
  <c r="G77" i="162"/>
  <c r="G85" i="162"/>
  <c r="J40" i="162"/>
  <c r="K40" i="162" s="1"/>
  <c r="L43" i="162"/>
  <c r="M43" i="162" s="1"/>
  <c r="H51" i="162"/>
  <c r="I51" i="162" s="1"/>
  <c r="I91" i="162" s="1" a="1"/>
  <c r="I91" i="162" s="1"/>
  <c r="J52" i="162"/>
  <c r="K52" i="162" s="1"/>
  <c r="K91" i="162" s="1" a="1"/>
  <c r="K91" i="162" s="1"/>
  <c r="L53" i="162"/>
  <c r="M53" i="162" s="1"/>
  <c r="M91" i="162" s="1" a="1"/>
  <c r="M91" i="162" s="1"/>
  <c r="H57" i="162"/>
  <c r="I57" i="162" s="1"/>
  <c r="J58" i="162"/>
  <c r="K58" i="162" s="1"/>
  <c r="L60" i="162"/>
  <c r="M60" i="162" s="1"/>
  <c r="H65" i="162"/>
  <c r="I65" i="162" s="1"/>
  <c r="J66" i="162"/>
  <c r="K66" i="162" s="1"/>
  <c r="L67" i="162"/>
  <c r="M67" i="162" s="1"/>
  <c r="H71" i="162"/>
  <c r="I71" i="162" s="1"/>
  <c r="J72" i="162"/>
  <c r="K72" i="162" s="1"/>
  <c r="L73" i="162"/>
  <c r="M73" i="162" s="1"/>
  <c r="H77" i="162"/>
  <c r="I77" i="162" s="1"/>
  <c r="J78" i="162"/>
  <c r="K78" i="162" s="1"/>
  <c r="L79" i="162"/>
  <c r="M79" i="162" s="1"/>
  <c r="H83" i="162"/>
  <c r="I83" i="162" s="1"/>
  <c r="J84" i="162"/>
  <c r="K84" i="162" s="1"/>
  <c r="L85" i="162"/>
  <c r="M85" i="162" s="1"/>
  <c r="H89" i="162"/>
  <c r="I89" i="162" s="1"/>
  <c r="J90" i="162"/>
  <c r="K90" i="162" s="1"/>
  <c r="G50" i="162"/>
  <c r="G56" i="162"/>
  <c r="G64" i="162"/>
  <c r="G70" i="162"/>
  <c r="G76" i="162"/>
  <c r="G82" i="162"/>
  <c r="G88" i="162"/>
  <c r="N55" i="161"/>
  <c r="O55" i="161" s="1"/>
  <c r="O103" i="161" s="1" a="1"/>
  <c r="O103" i="161" s="1"/>
  <c r="L55" i="161"/>
  <c r="M55" i="161" s="1"/>
  <c r="H55" i="161"/>
  <c r="I55" i="161" s="1"/>
  <c r="J55" i="161"/>
  <c r="K55" i="161" s="1"/>
  <c r="N73" i="161"/>
  <c r="O73" i="161" s="1"/>
  <c r="L73" i="161"/>
  <c r="M73" i="161" s="1"/>
  <c r="H73" i="161"/>
  <c r="I73" i="161" s="1"/>
  <c r="J73" i="161"/>
  <c r="K73" i="161" s="1"/>
  <c r="L85" i="161"/>
  <c r="M85" i="161" s="1"/>
  <c r="N85" i="161"/>
  <c r="O85" i="161" s="1"/>
  <c r="H85" i="161"/>
  <c r="I85" i="161" s="1"/>
  <c r="G85" i="161"/>
  <c r="J85" i="161"/>
  <c r="K85" i="161" s="1"/>
  <c r="N92" i="161"/>
  <c r="O92" i="161" s="1"/>
  <c r="J92" i="161"/>
  <c r="K92" i="161" s="1"/>
  <c r="L92" i="161"/>
  <c r="M92" i="161" s="1"/>
  <c r="G55" i="161"/>
  <c r="G73" i="161"/>
  <c r="N79" i="161"/>
  <c r="O79" i="161" s="1"/>
  <c r="L79" i="161"/>
  <c r="M79" i="161" s="1"/>
  <c r="H79" i="161"/>
  <c r="I79" i="161" s="1"/>
  <c r="G79" i="161"/>
  <c r="J79" i="161"/>
  <c r="K79" i="161" s="1"/>
  <c r="N86" i="161"/>
  <c r="O86" i="161" s="1"/>
  <c r="J86" i="161"/>
  <c r="K86" i="161" s="1"/>
  <c r="L86" i="161"/>
  <c r="M86" i="161" s="1"/>
  <c r="G92" i="161"/>
  <c r="N56" i="161"/>
  <c r="O56" i="161" s="1"/>
  <c r="J56" i="161"/>
  <c r="K56" i="161" s="1"/>
  <c r="K103" i="161" s="1" a="1"/>
  <c r="K103" i="161" s="1"/>
  <c r="L56" i="161"/>
  <c r="M56" i="161" s="1"/>
  <c r="N74" i="161"/>
  <c r="O74" i="161" s="1"/>
  <c r="J74" i="161"/>
  <c r="K74" i="161" s="1"/>
  <c r="L74" i="161"/>
  <c r="M74" i="161" s="1"/>
  <c r="N80" i="161"/>
  <c r="O80" i="161" s="1"/>
  <c r="J80" i="161"/>
  <c r="K80" i="161" s="1"/>
  <c r="L80" i="161"/>
  <c r="M80" i="161" s="1"/>
  <c r="G86" i="161"/>
  <c r="H92" i="161"/>
  <c r="I92" i="161" s="1"/>
  <c r="G56" i="161"/>
  <c r="G74" i="161"/>
  <c r="G80" i="161"/>
  <c r="H86" i="161"/>
  <c r="I86" i="161" s="1"/>
  <c r="H56" i="161"/>
  <c r="I56" i="161" s="1"/>
  <c r="L61" i="161"/>
  <c r="M61" i="161" s="1"/>
  <c r="M103" i="161" s="1" a="1"/>
  <c r="M103" i="161" s="1"/>
  <c r="N61" i="161"/>
  <c r="O61" i="161" s="1"/>
  <c r="H61" i="161"/>
  <c r="I61" i="161" s="1"/>
  <c r="J61" i="161"/>
  <c r="K61" i="161" s="1"/>
  <c r="H74" i="161"/>
  <c r="I74" i="161" s="1"/>
  <c r="H80" i="161"/>
  <c r="I80" i="161" s="1"/>
  <c r="G61" i="161"/>
  <c r="N62" i="161"/>
  <c r="O62" i="161" s="1"/>
  <c r="J62" i="161"/>
  <c r="K62" i="161" s="1"/>
  <c r="L62" i="161"/>
  <c r="M62" i="161" s="1"/>
  <c r="N43" i="161"/>
  <c r="O43" i="161" s="1"/>
  <c r="L43" i="161"/>
  <c r="M43" i="161" s="1"/>
  <c r="H43" i="161"/>
  <c r="I43" i="161" s="1"/>
  <c r="J43" i="161"/>
  <c r="K43" i="161" s="1"/>
  <c r="N67" i="161"/>
  <c r="O67" i="161" s="1"/>
  <c r="L67" i="161"/>
  <c r="M67" i="161" s="1"/>
  <c r="H67" i="161"/>
  <c r="I67" i="161" s="1"/>
  <c r="J67" i="161"/>
  <c r="K67" i="161" s="1"/>
  <c r="G43" i="161"/>
  <c r="G67" i="161"/>
  <c r="N47" i="161"/>
  <c r="O47" i="161" s="1"/>
  <c r="L47" i="161"/>
  <c r="M47" i="161" s="1"/>
  <c r="J47" i="161"/>
  <c r="K47" i="161" s="1"/>
  <c r="N68" i="161"/>
  <c r="O68" i="161" s="1"/>
  <c r="J68" i="161"/>
  <c r="K68" i="161" s="1"/>
  <c r="L68" i="161"/>
  <c r="M68" i="161" s="1"/>
  <c r="N97" i="161"/>
  <c r="O97" i="161" s="1"/>
  <c r="L97" i="161"/>
  <c r="M97" i="161" s="1"/>
  <c r="H97" i="161"/>
  <c r="I97" i="161" s="1"/>
  <c r="G97" i="161"/>
  <c r="J97" i="161"/>
  <c r="K97" i="161" s="1"/>
  <c r="G47" i="161"/>
  <c r="G68" i="161"/>
  <c r="L91" i="161"/>
  <c r="M91" i="161" s="1"/>
  <c r="N91" i="161"/>
  <c r="O91" i="161" s="1"/>
  <c r="H91" i="161"/>
  <c r="I91" i="161" s="1"/>
  <c r="G91" i="161"/>
  <c r="J91" i="161"/>
  <c r="K91" i="161" s="1"/>
  <c r="N98" i="161"/>
  <c r="O98" i="161" s="1"/>
  <c r="J98" i="161"/>
  <c r="K98" i="161" s="1"/>
  <c r="L98" i="161"/>
  <c r="M98" i="161" s="1"/>
  <c r="G39" i="161"/>
  <c r="G54" i="161"/>
  <c r="G60" i="161"/>
  <c r="G66" i="161"/>
  <c r="G72" i="161"/>
  <c r="G78" i="161"/>
  <c r="G84" i="161"/>
  <c r="G90" i="161"/>
  <c r="G96" i="161"/>
  <c r="G102" i="161"/>
  <c r="H39" i="161"/>
  <c r="I39" i="161" s="1"/>
  <c r="H54" i="161"/>
  <c r="I54" i="161" s="1"/>
  <c r="I103" i="161" s="1" a="1"/>
  <c r="I103" i="161" s="1"/>
  <c r="H60" i="161"/>
  <c r="I60" i="161" s="1"/>
  <c r="H66" i="161"/>
  <c r="I66" i="161" s="1"/>
  <c r="H72" i="161"/>
  <c r="I72" i="161" s="1"/>
  <c r="H78" i="161"/>
  <c r="I78" i="161" s="1"/>
  <c r="H84" i="161"/>
  <c r="I84" i="161" s="1"/>
  <c r="H90" i="161"/>
  <c r="I90" i="161" s="1"/>
  <c r="H96" i="161"/>
  <c r="I96" i="161" s="1"/>
  <c r="H102" i="161"/>
  <c r="I102" i="161" s="1"/>
  <c r="G53" i="161"/>
  <c r="G59" i="161"/>
  <c r="G65" i="161"/>
  <c r="G71" i="161"/>
  <c r="G77" i="161"/>
  <c r="G83" i="161"/>
  <c r="G89" i="161"/>
  <c r="G95" i="161"/>
  <c r="G101" i="161"/>
  <c r="J60" i="161"/>
  <c r="K60" i="161" s="1"/>
  <c r="J66" i="161"/>
  <c r="K66" i="161" s="1"/>
  <c r="G52" i="161"/>
  <c r="G103" i="161" s="1" a="1"/>
  <c r="G103" i="161" s="1"/>
  <c r="G58" i="161"/>
  <c r="G64" i="161"/>
  <c r="G70" i="161"/>
  <c r="G76" i="161"/>
  <c r="G82" i="161"/>
  <c r="G88" i="161"/>
  <c r="G94" i="161"/>
  <c r="G100" i="161"/>
  <c r="J39" i="161"/>
  <c r="K39" i="161" s="1"/>
  <c r="J72" i="161"/>
  <c r="K72" i="161" s="1"/>
  <c r="J78" i="161"/>
  <c r="K78" i="161" s="1"/>
  <c r="J84" i="161"/>
  <c r="K84" i="161" s="1"/>
  <c r="J90" i="161"/>
  <c r="K90" i="161" s="1"/>
  <c r="J96" i="161"/>
  <c r="K96" i="161" s="1"/>
  <c r="J102" i="161"/>
  <c r="K102" i="161" s="1"/>
  <c r="L54" i="161"/>
  <c r="M54" i="161" s="1"/>
  <c r="J109" i="160"/>
  <c r="K109" i="160" s="1"/>
  <c r="N70" i="160"/>
  <c r="O70" i="160" s="1"/>
  <c r="J70" i="160"/>
  <c r="K70" i="160" s="1"/>
  <c r="N88" i="160"/>
  <c r="O88" i="160" s="1"/>
  <c r="J88" i="160"/>
  <c r="K88" i="160" s="1"/>
  <c r="G55" i="160"/>
  <c r="G70" i="160"/>
  <c r="L75" i="160"/>
  <c r="M75" i="160" s="1"/>
  <c r="H75" i="160"/>
  <c r="I75" i="160" s="1"/>
  <c r="G88" i="160"/>
  <c r="L105" i="160"/>
  <c r="M105" i="160" s="1"/>
  <c r="G105" i="160"/>
  <c r="H105" i="160"/>
  <c r="I105" i="160" s="1"/>
  <c r="G109" i="160"/>
  <c r="J55" i="160"/>
  <c r="K55" i="160" s="1"/>
  <c r="H70" i="160"/>
  <c r="I70" i="160" s="1"/>
  <c r="G75" i="160"/>
  <c r="G77" i="160"/>
  <c r="H88" i="160"/>
  <c r="I88" i="160" s="1"/>
  <c r="N94" i="160"/>
  <c r="O94" i="160" s="1"/>
  <c r="J94" i="160"/>
  <c r="K94" i="160" s="1"/>
  <c r="J105" i="160"/>
  <c r="K105" i="160" s="1"/>
  <c r="L111" i="160"/>
  <c r="M111" i="160" s="1"/>
  <c r="G111" i="160"/>
  <c r="H111" i="160"/>
  <c r="I111" i="160" s="1"/>
  <c r="G41" i="160"/>
  <c r="N52" i="160"/>
  <c r="O52" i="160" s="1"/>
  <c r="J52" i="160"/>
  <c r="K52" i="160" s="1"/>
  <c r="G67" i="160"/>
  <c r="J75" i="160"/>
  <c r="K75" i="160" s="1"/>
  <c r="H77" i="160"/>
  <c r="I77" i="160" s="1"/>
  <c r="G79" i="160"/>
  <c r="L88" i="160"/>
  <c r="M88" i="160" s="1"/>
  <c r="G94" i="160"/>
  <c r="J111" i="160"/>
  <c r="K111" i="160" s="1"/>
  <c r="H41" i="160"/>
  <c r="I41" i="160" s="1"/>
  <c r="G52" i="160"/>
  <c r="L55" i="160"/>
  <c r="M55" i="160" s="1"/>
  <c r="L57" i="160"/>
  <c r="M57" i="160" s="1"/>
  <c r="H57" i="160"/>
  <c r="I57" i="160" s="1"/>
  <c r="J67" i="160"/>
  <c r="K67" i="160" s="1"/>
  <c r="L70" i="160"/>
  <c r="M70" i="160" s="1"/>
  <c r="J79" i="160"/>
  <c r="K79" i="160" s="1"/>
  <c r="G83" i="160"/>
  <c r="H94" i="160"/>
  <c r="I94" i="160" s="1"/>
  <c r="N100" i="160"/>
  <c r="O100" i="160" s="1"/>
  <c r="J100" i="160"/>
  <c r="K100" i="160" s="1"/>
  <c r="L109" i="160"/>
  <c r="M109" i="160" s="1"/>
  <c r="H52" i="160"/>
  <c r="I52" i="160" s="1"/>
  <c r="G57" i="160"/>
  <c r="G59" i="160"/>
  <c r="N64" i="160"/>
  <c r="O64" i="160" s="1"/>
  <c r="J64" i="160"/>
  <c r="K64" i="160" s="1"/>
  <c r="N75" i="160"/>
  <c r="O75" i="160" s="1"/>
  <c r="J77" i="160"/>
  <c r="K77" i="160" s="1"/>
  <c r="L81" i="160"/>
  <c r="M81" i="160" s="1"/>
  <c r="G81" i="160"/>
  <c r="H81" i="160"/>
  <c r="I81" i="160" s="1"/>
  <c r="H83" i="160"/>
  <c r="I83" i="160" s="1"/>
  <c r="G85" i="160"/>
  <c r="L94" i="160"/>
  <c r="M94" i="160" s="1"/>
  <c r="G100" i="160"/>
  <c r="N111" i="160"/>
  <c r="O111" i="160" s="1"/>
  <c r="J41" i="160"/>
  <c r="K41" i="160" s="1"/>
  <c r="G49" i="160"/>
  <c r="N55" i="160"/>
  <c r="O55" i="160" s="1"/>
  <c r="J57" i="160"/>
  <c r="K57" i="160" s="1"/>
  <c r="H59" i="160"/>
  <c r="I59" i="160" s="1"/>
  <c r="G64" i="160"/>
  <c r="L67" i="160"/>
  <c r="M67" i="160" s="1"/>
  <c r="L69" i="160"/>
  <c r="M69" i="160" s="1"/>
  <c r="H69" i="160"/>
  <c r="I69" i="160" s="1"/>
  <c r="I112" i="160" s="1" a="1"/>
  <c r="I112" i="160" s="1"/>
  <c r="N77" i="160"/>
  <c r="O77" i="160" s="1"/>
  <c r="L79" i="160"/>
  <c r="M79" i="160" s="1"/>
  <c r="J81" i="160"/>
  <c r="K81" i="160" s="1"/>
  <c r="J85" i="160"/>
  <c r="K85" i="160" s="1"/>
  <c r="G89" i="160"/>
  <c r="H100" i="160"/>
  <c r="I100" i="160" s="1"/>
  <c r="N106" i="160"/>
  <c r="O106" i="160" s="1"/>
  <c r="J106" i="160"/>
  <c r="K106" i="160" s="1"/>
  <c r="N109" i="160"/>
  <c r="O109" i="160" s="1"/>
  <c r="G37" i="160"/>
  <c r="J49" i="160"/>
  <c r="K49" i="160" s="1"/>
  <c r="L52" i="160"/>
  <c r="M52" i="160" s="1"/>
  <c r="H64" i="160"/>
  <c r="I64" i="160" s="1"/>
  <c r="G69" i="160"/>
  <c r="G71" i="160"/>
  <c r="N76" i="160"/>
  <c r="O76" i="160" s="1"/>
  <c r="J76" i="160"/>
  <c r="K76" i="160" s="1"/>
  <c r="J83" i="160"/>
  <c r="K83" i="160" s="1"/>
  <c r="L87" i="160"/>
  <c r="M87" i="160" s="1"/>
  <c r="G87" i="160"/>
  <c r="H87" i="160"/>
  <c r="I87" i="160" s="1"/>
  <c r="H89" i="160"/>
  <c r="I89" i="160" s="1"/>
  <c r="G91" i="160"/>
  <c r="L100" i="160"/>
  <c r="M100" i="160" s="1"/>
  <c r="G106" i="160"/>
  <c r="N41" i="160"/>
  <c r="O41" i="160" s="1"/>
  <c r="N57" i="160"/>
  <c r="O57" i="160" s="1"/>
  <c r="N67" i="160"/>
  <c r="O67" i="160" s="1"/>
  <c r="N81" i="160"/>
  <c r="O81" i="160" s="1"/>
  <c r="N83" i="160"/>
  <c r="O83" i="160" s="1"/>
  <c r="L49" i="160"/>
  <c r="M49" i="160" s="1"/>
  <c r="L51" i="160"/>
  <c r="M51" i="160" s="1"/>
  <c r="H51" i="160"/>
  <c r="I51" i="160" s="1"/>
  <c r="L64" i="160"/>
  <c r="M64" i="160" s="1"/>
  <c r="J89" i="160"/>
  <c r="K89" i="160" s="1"/>
  <c r="L93" i="160"/>
  <c r="M93" i="160" s="1"/>
  <c r="G93" i="160"/>
  <c r="H93" i="160"/>
  <c r="I93" i="160" s="1"/>
  <c r="G97" i="160"/>
  <c r="L106" i="160"/>
  <c r="M106" i="160" s="1"/>
  <c r="N105" i="160"/>
  <c r="O105" i="160" s="1"/>
  <c r="J59" i="160"/>
  <c r="K59" i="160" s="1"/>
  <c r="N79" i="160"/>
  <c r="O79" i="160" s="1"/>
  <c r="L85" i="160"/>
  <c r="M85" i="160" s="1"/>
  <c r="J37" i="160"/>
  <c r="K37" i="160" s="1"/>
  <c r="G51" i="160"/>
  <c r="G53" i="160"/>
  <c r="N58" i="160"/>
  <c r="O58" i="160" s="1"/>
  <c r="J58" i="160"/>
  <c r="K58" i="160" s="1"/>
  <c r="N59" i="160"/>
  <c r="O59" i="160" s="1"/>
  <c r="N69" i="160"/>
  <c r="O69" i="160" s="1"/>
  <c r="J71" i="160"/>
  <c r="K71" i="160" s="1"/>
  <c r="G73" i="160"/>
  <c r="N82" i="160"/>
  <c r="O82" i="160" s="1"/>
  <c r="J82" i="160"/>
  <c r="K82" i="160" s="1"/>
  <c r="N85" i="160"/>
  <c r="O85" i="160" s="1"/>
  <c r="N89" i="160"/>
  <c r="O89" i="160" s="1"/>
  <c r="L91" i="160"/>
  <c r="M91" i="160" s="1"/>
  <c r="J93" i="160"/>
  <c r="K93" i="160" s="1"/>
  <c r="J97" i="160"/>
  <c r="K97" i="160" s="1"/>
  <c r="G101" i="160"/>
  <c r="N49" i="160"/>
  <c r="O49" i="160" s="1"/>
  <c r="L63" i="160"/>
  <c r="M63" i="160" s="1"/>
  <c r="H63" i="160"/>
  <c r="I63" i="160" s="1"/>
  <c r="L99" i="160"/>
  <c r="M99" i="160" s="1"/>
  <c r="G99" i="160"/>
  <c r="H99" i="160"/>
  <c r="I99" i="160" s="1"/>
  <c r="N45" i="160"/>
  <c r="O45" i="160" s="1"/>
  <c r="N54" i="160"/>
  <c r="O54" i="160" s="1"/>
  <c r="N60" i="160"/>
  <c r="O60" i="160" s="1"/>
  <c r="N66" i="160"/>
  <c r="O66" i="160" s="1"/>
  <c r="N72" i="160"/>
  <c r="O72" i="160" s="1"/>
  <c r="N78" i="160"/>
  <c r="O78" i="160" s="1"/>
  <c r="N84" i="160"/>
  <c r="O84" i="160" s="1"/>
  <c r="N90" i="160"/>
  <c r="O90" i="160" s="1"/>
  <c r="N96" i="160"/>
  <c r="O96" i="160" s="1"/>
  <c r="N102" i="160"/>
  <c r="O102" i="160" s="1"/>
  <c r="N108" i="160"/>
  <c r="O108" i="160" s="1"/>
  <c r="G110" i="160"/>
  <c r="L103" i="159"/>
  <c r="M103" i="159" s="1"/>
  <c r="H84" i="159"/>
  <c r="I84" i="159" s="1"/>
  <c r="G81" i="159"/>
  <c r="H81" i="159"/>
  <c r="I81" i="159" s="1"/>
  <c r="L79" i="159"/>
  <c r="M79" i="159" s="1"/>
  <c r="N71" i="159"/>
  <c r="O71" i="159" s="1"/>
  <c r="G41" i="159"/>
  <c r="H41" i="159"/>
  <c r="I41" i="159" s="1"/>
  <c r="L41" i="159"/>
  <c r="M41" i="159" s="1"/>
  <c r="H109" i="159"/>
  <c r="I109" i="159" s="1"/>
  <c r="N107" i="159"/>
  <c r="O107" i="159" s="1"/>
  <c r="J103" i="159"/>
  <c r="K103" i="159" s="1"/>
  <c r="L100" i="159"/>
  <c r="M100" i="159" s="1"/>
  <c r="H99" i="159"/>
  <c r="I99" i="159" s="1"/>
  <c r="H96" i="159"/>
  <c r="I96" i="159" s="1"/>
  <c r="N88" i="159"/>
  <c r="O88" i="159" s="1"/>
  <c r="G84" i="159"/>
  <c r="L82" i="159"/>
  <c r="M82" i="159" s="1"/>
  <c r="J79" i="159"/>
  <c r="K79" i="159" s="1"/>
  <c r="H76" i="159"/>
  <c r="I76" i="159" s="1"/>
  <c r="H73" i="159"/>
  <c r="I73" i="159" s="1"/>
  <c r="G57" i="159"/>
  <c r="H57" i="159"/>
  <c r="I57" i="159" s="1"/>
  <c r="J55" i="159"/>
  <c r="K55" i="159" s="1"/>
  <c r="N53" i="159"/>
  <c r="O53" i="159" s="1"/>
  <c r="O112" i="159" s="1" a="1"/>
  <c r="O112" i="159" s="1"/>
  <c r="G87" i="159"/>
  <c r="H87" i="159"/>
  <c r="I87" i="159" s="1"/>
  <c r="J71" i="159"/>
  <c r="K71" i="159" s="1"/>
  <c r="H103" i="159"/>
  <c r="I103" i="159" s="1"/>
  <c r="J100" i="159"/>
  <c r="K100" i="159" s="1"/>
  <c r="H82" i="159"/>
  <c r="I82" i="159" s="1"/>
  <c r="H79" i="159"/>
  <c r="I79" i="159" s="1"/>
  <c r="G65" i="159"/>
  <c r="L65" i="159"/>
  <c r="M65" i="159" s="1"/>
  <c r="H55" i="159"/>
  <c r="I55" i="159" s="1"/>
  <c r="J107" i="159"/>
  <c r="K107" i="159" s="1"/>
  <c r="G103" i="159"/>
  <c r="H100" i="159"/>
  <c r="I100" i="159" s="1"/>
  <c r="G82" i="159"/>
  <c r="G79" i="159"/>
  <c r="J60" i="159"/>
  <c r="K60" i="159" s="1"/>
  <c r="N60" i="159"/>
  <c r="O60" i="159" s="1"/>
  <c r="G55" i="159"/>
  <c r="J45" i="159"/>
  <c r="K45" i="159" s="1"/>
  <c r="N45" i="159"/>
  <c r="O45" i="159" s="1"/>
  <c r="G77" i="159"/>
  <c r="L77" i="159"/>
  <c r="M77" i="159" s="1"/>
  <c r="N109" i="159"/>
  <c r="O109" i="159" s="1"/>
  <c r="L102" i="159"/>
  <c r="M102" i="159" s="1"/>
  <c r="H101" i="159"/>
  <c r="I101" i="159" s="1"/>
  <c r="N87" i="159"/>
  <c r="O87" i="159" s="1"/>
  <c r="L81" i="159"/>
  <c r="M81" i="159" s="1"/>
  <c r="N73" i="159"/>
  <c r="O73" i="159" s="1"/>
  <c r="G69" i="159"/>
  <c r="H69" i="159"/>
  <c r="I69" i="159" s="1"/>
  <c r="L67" i="159"/>
  <c r="M67" i="159" s="1"/>
  <c r="G51" i="159"/>
  <c r="H51" i="159"/>
  <c r="I51" i="159" s="1"/>
  <c r="J49" i="159"/>
  <c r="K49" i="159" s="1"/>
  <c r="N41" i="159"/>
  <c r="O41" i="159" s="1"/>
  <c r="N106" i="159"/>
  <c r="O106" i="159" s="1"/>
  <c r="J105" i="159"/>
  <c r="K105" i="159" s="1"/>
  <c r="L99" i="159"/>
  <c r="M99" i="159" s="1"/>
  <c r="N96" i="159"/>
  <c r="O96" i="159" s="1"/>
  <c r="N93" i="159"/>
  <c r="O93" i="159" s="1"/>
  <c r="J92" i="159"/>
  <c r="K92" i="159" s="1"/>
  <c r="L84" i="159"/>
  <c r="M84" i="159" s="1"/>
  <c r="G83" i="159"/>
  <c r="L83" i="159"/>
  <c r="M83" i="159" s="1"/>
  <c r="J78" i="159"/>
  <c r="K78" i="159" s="1"/>
  <c r="N76" i="159"/>
  <c r="O76" i="159" s="1"/>
  <c r="L70" i="159"/>
  <c r="M70" i="159" s="1"/>
  <c r="J67" i="159"/>
  <c r="K67" i="159" s="1"/>
  <c r="L57" i="159"/>
  <c r="M57" i="159" s="1"/>
  <c r="L109" i="159"/>
  <c r="M109" i="159" s="1"/>
  <c r="J102" i="159"/>
  <c r="K102" i="159" s="1"/>
  <c r="L87" i="159"/>
  <c r="M87" i="159" s="1"/>
  <c r="J81" i="159"/>
  <c r="K81" i="159" s="1"/>
  <c r="H78" i="159"/>
  <c r="I78" i="159" s="1"/>
  <c r="G75" i="159"/>
  <c r="H75" i="159"/>
  <c r="I75" i="159" s="1"/>
  <c r="L73" i="159"/>
  <c r="M73" i="159" s="1"/>
  <c r="N65" i="159"/>
  <c r="O65" i="159" s="1"/>
  <c r="G59" i="159"/>
  <c r="H59" i="159"/>
  <c r="I59" i="159" s="1"/>
  <c r="L59" i="159"/>
  <c r="M59" i="159" s="1"/>
  <c r="H49" i="159"/>
  <c r="I49" i="159" s="1"/>
  <c r="J41" i="159"/>
  <c r="K41" i="159" s="1"/>
  <c r="G71" i="159"/>
  <c r="L71" i="159"/>
  <c r="M71" i="159" s="1"/>
  <c r="G53" i="159"/>
  <c r="H53" i="159"/>
  <c r="I53" i="159" s="1"/>
  <c r="L53" i="159"/>
  <c r="M53" i="159" s="1"/>
  <c r="M112" i="159" s="1" a="1"/>
  <c r="M112" i="159" s="1"/>
  <c r="N81" i="159"/>
  <c r="O81" i="159" s="1"/>
  <c r="G63" i="159"/>
  <c r="H63" i="159"/>
  <c r="I63" i="159" s="1"/>
  <c r="L105" i="159"/>
  <c r="M105" i="159" s="1"/>
  <c r="N99" i="159"/>
  <c r="O99" i="159" s="1"/>
  <c r="L78" i="159"/>
  <c r="M78" i="159" s="1"/>
  <c r="H105" i="159"/>
  <c r="I105" i="159" s="1"/>
  <c r="J99" i="159"/>
  <c r="K99" i="159" s="1"/>
  <c r="L93" i="159"/>
  <c r="M93" i="159" s="1"/>
  <c r="L90" i="159"/>
  <c r="M90" i="159" s="1"/>
  <c r="G89" i="159"/>
  <c r="L89" i="159"/>
  <c r="M89" i="159" s="1"/>
  <c r="J84" i="159"/>
  <c r="K84" i="159" s="1"/>
  <c r="N82" i="159"/>
  <c r="O82" i="159" s="1"/>
  <c r="G78" i="159"/>
  <c r="L76" i="159"/>
  <c r="M76" i="159" s="1"/>
  <c r="H70" i="159"/>
  <c r="I70" i="159" s="1"/>
  <c r="J57" i="159"/>
  <c r="K57" i="159" s="1"/>
  <c r="N55" i="159"/>
  <c r="O55" i="159" s="1"/>
  <c r="J54" i="159"/>
  <c r="K54" i="159" s="1"/>
  <c r="N54" i="159"/>
  <c r="O54" i="159" s="1"/>
  <c r="G49" i="159"/>
  <c r="J41" i="158"/>
  <c r="K41" i="158" s="1"/>
  <c r="N41" i="158"/>
  <c r="O41" i="158" s="1"/>
  <c r="L41" i="158"/>
  <c r="M41" i="158" s="1"/>
  <c r="N59" i="158"/>
  <c r="O59" i="158" s="1"/>
  <c r="J59" i="158"/>
  <c r="K59" i="158" s="1"/>
  <c r="L59" i="158"/>
  <c r="M59" i="158" s="1"/>
  <c r="N71" i="158"/>
  <c r="O71" i="158" s="1"/>
  <c r="L71" i="158"/>
  <c r="M71" i="158" s="1"/>
  <c r="J71" i="158"/>
  <c r="K71" i="158" s="1"/>
  <c r="N83" i="158"/>
  <c r="O83" i="158" s="1"/>
  <c r="L83" i="158"/>
  <c r="M83" i="158" s="1"/>
  <c r="J83" i="158"/>
  <c r="K83" i="158" s="1"/>
  <c r="G41" i="158"/>
  <c r="G59" i="158"/>
  <c r="G71" i="158"/>
  <c r="G83" i="158"/>
  <c r="N88" i="158"/>
  <c r="O88" i="158" s="1"/>
  <c r="H88" i="158"/>
  <c r="I88" i="158" s="1"/>
  <c r="L88" i="158"/>
  <c r="M88" i="158" s="1"/>
  <c r="J88" i="158"/>
  <c r="K88" i="158" s="1"/>
  <c r="G88" i="158"/>
  <c r="H41" i="158"/>
  <c r="I41" i="158" s="1"/>
  <c r="H59" i="158"/>
  <c r="I59" i="158" s="1"/>
  <c r="H71" i="158"/>
  <c r="I71" i="158" s="1"/>
  <c r="H83" i="158"/>
  <c r="I83" i="158" s="1"/>
  <c r="N89" i="158"/>
  <c r="O89" i="158" s="1"/>
  <c r="L89" i="158"/>
  <c r="M89" i="158" s="1"/>
  <c r="J89" i="158"/>
  <c r="K89" i="158" s="1"/>
  <c r="N94" i="158"/>
  <c r="O94" i="158" s="1"/>
  <c r="L94" i="158"/>
  <c r="M94" i="158" s="1"/>
  <c r="J94" i="158"/>
  <c r="K94" i="158" s="1"/>
  <c r="H94" i="158"/>
  <c r="I94" i="158" s="1"/>
  <c r="G94" i="158"/>
  <c r="G89" i="158"/>
  <c r="N95" i="158"/>
  <c r="O95" i="158" s="1"/>
  <c r="L95" i="158"/>
  <c r="M95" i="158" s="1"/>
  <c r="J95" i="158"/>
  <c r="K95" i="158" s="1"/>
  <c r="N52" i="158"/>
  <c r="O52" i="158" s="1"/>
  <c r="L52" i="158"/>
  <c r="M52" i="158" s="1"/>
  <c r="M112" i="158" s="1" a="1"/>
  <c r="J52" i="158"/>
  <c r="K52" i="158" s="1"/>
  <c r="H52" i="158"/>
  <c r="I52" i="158" s="1"/>
  <c r="N64" i="158"/>
  <c r="O64" i="158" s="1"/>
  <c r="L64" i="158"/>
  <c r="M64" i="158" s="1"/>
  <c r="J64" i="158"/>
  <c r="K64" i="158" s="1"/>
  <c r="H64" i="158"/>
  <c r="I64" i="158" s="1"/>
  <c r="N76" i="158"/>
  <c r="O76" i="158" s="1"/>
  <c r="L76" i="158"/>
  <c r="M76" i="158" s="1"/>
  <c r="J76" i="158"/>
  <c r="K76" i="158" s="1"/>
  <c r="H76" i="158"/>
  <c r="I76" i="158" s="1"/>
  <c r="H89" i="158"/>
  <c r="I89" i="158" s="1"/>
  <c r="G95" i="158"/>
  <c r="G64" i="158"/>
  <c r="G76" i="158"/>
  <c r="H95" i="158"/>
  <c r="I95" i="158" s="1"/>
  <c r="G101" i="158"/>
  <c r="J53" i="158"/>
  <c r="K53" i="158" s="1"/>
  <c r="N53" i="158"/>
  <c r="O53" i="158" s="1"/>
  <c r="O112" i="158" s="1" a="1"/>
  <c r="L53" i="158"/>
  <c r="M53" i="158" s="1"/>
  <c r="N65" i="158"/>
  <c r="O65" i="158" s="1"/>
  <c r="L65" i="158"/>
  <c r="M65" i="158" s="1"/>
  <c r="J65" i="158"/>
  <c r="K65" i="158" s="1"/>
  <c r="J77" i="158"/>
  <c r="K77" i="158" s="1"/>
  <c r="N77" i="158"/>
  <c r="O77" i="158" s="1"/>
  <c r="L77" i="158"/>
  <c r="M77" i="158" s="1"/>
  <c r="G53" i="158"/>
  <c r="G65" i="158"/>
  <c r="G77" i="158"/>
  <c r="J107" i="158"/>
  <c r="K107" i="158" s="1"/>
  <c r="N107" i="158"/>
  <c r="O107" i="158" s="1"/>
  <c r="L107" i="158"/>
  <c r="M107" i="158" s="1"/>
  <c r="N100" i="158"/>
  <c r="O100" i="158" s="1"/>
  <c r="L100" i="158"/>
  <c r="M100" i="158" s="1"/>
  <c r="J100" i="158"/>
  <c r="K100" i="158" s="1"/>
  <c r="H100" i="158"/>
  <c r="I100" i="158" s="1"/>
  <c r="G100" i="158"/>
  <c r="N101" i="158"/>
  <c r="O101" i="158" s="1"/>
  <c r="L101" i="158"/>
  <c r="M101" i="158" s="1"/>
  <c r="J101" i="158"/>
  <c r="K101" i="158" s="1"/>
  <c r="H53" i="158"/>
  <c r="I53" i="158" s="1"/>
  <c r="H77" i="158"/>
  <c r="I77" i="158" s="1"/>
  <c r="H107" i="158"/>
  <c r="I107" i="158" s="1"/>
  <c r="G52" i="158"/>
  <c r="N106" i="158"/>
  <c r="O106" i="158" s="1"/>
  <c r="H106" i="158"/>
  <c r="I106" i="158" s="1"/>
  <c r="L106" i="158"/>
  <c r="M106" i="158" s="1"/>
  <c r="J106" i="158"/>
  <c r="K106" i="158" s="1"/>
  <c r="H65" i="158"/>
  <c r="I65" i="158" s="1"/>
  <c r="N37" i="158"/>
  <c r="O37" i="158" s="1"/>
  <c r="L37" i="158"/>
  <c r="M37" i="158" s="1"/>
  <c r="H37" i="158"/>
  <c r="I37" i="158" s="1"/>
  <c r="J37" i="158"/>
  <c r="K37" i="158" s="1"/>
  <c r="N58" i="158"/>
  <c r="O58" i="158" s="1"/>
  <c r="L58" i="158"/>
  <c r="M58" i="158" s="1"/>
  <c r="H58" i="158"/>
  <c r="I58" i="158" s="1"/>
  <c r="J58" i="158"/>
  <c r="K58" i="158" s="1"/>
  <c r="H70" i="158"/>
  <c r="I70" i="158" s="1"/>
  <c r="N70" i="158"/>
  <c r="O70" i="158" s="1"/>
  <c r="L70" i="158"/>
  <c r="M70" i="158" s="1"/>
  <c r="J70" i="158"/>
  <c r="K70" i="158" s="1"/>
  <c r="N82" i="158"/>
  <c r="O82" i="158" s="1"/>
  <c r="L82" i="158"/>
  <c r="M82" i="158" s="1"/>
  <c r="H82" i="158"/>
  <c r="I82" i="158" s="1"/>
  <c r="J82" i="158"/>
  <c r="K82" i="158" s="1"/>
  <c r="G37" i="158"/>
  <c r="G58" i="158"/>
  <c r="G70" i="158"/>
  <c r="G82" i="158"/>
  <c r="G51" i="158"/>
  <c r="G57" i="158"/>
  <c r="G63" i="158"/>
  <c r="G69" i="158"/>
  <c r="G75" i="158"/>
  <c r="G81" i="158"/>
  <c r="G87" i="158"/>
  <c r="G93" i="158"/>
  <c r="G99" i="158"/>
  <c r="G105" i="158"/>
  <c r="G111" i="158"/>
  <c r="N45" i="158"/>
  <c r="O45" i="158" s="1"/>
  <c r="H51" i="158"/>
  <c r="I51" i="158" s="1"/>
  <c r="I112" i="158" s="1" a="1"/>
  <c r="N54" i="158"/>
  <c r="O54" i="158" s="1"/>
  <c r="H57" i="158"/>
  <c r="I57" i="158" s="1"/>
  <c r="N60" i="158"/>
  <c r="O60" i="158" s="1"/>
  <c r="H63" i="158"/>
  <c r="I63" i="158" s="1"/>
  <c r="N66" i="158"/>
  <c r="O66" i="158" s="1"/>
  <c r="H69" i="158"/>
  <c r="I69" i="158" s="1"/>
  <c r="N72" i="158"/>
  <c r="O72" i="158" s="1"/>
  <c r="H75" i="158"/>
  <c r="I75" i="158" s="1"/>
  <c r="N78" i="158"/>
  <c r="O78" i="158" s="1"/>
  <c r="H81" i="158"/>
  <c r="I81" i="158" s="1"/>
  <c r="N84" i="158"/>
  <c r="O84" i="158" s="1"/>
  <c r="H87" i="158"/>
  <c r="I87" i="158" s="1"/>
  <c r="N90" i="158"/>
  <c r="O90" i="158" s="1"/>
  <c r="H93" i="158"/>
  <c r="I93" i="158" s="1"/>
  <c r="N96" i="158"/>
  <c r="O96" i="158" s="1"/>
  <c r="H99" i="158"/>
  <c r="I99" i="158" s="1"/>
  <c r="N102" i="158"/>
  <c r="O102" i="158" s="1"/>
  <c r="H105" i="158"/>
  <c r="I105" i="158" s="1"/>
  <c r="N108" i="158"/>
  <c r="O108" i="158" s="1"/>
  <c r="H111" i="158"/>
  <c r="I111" i="158" s="1"/>
  <c r="J51" i="158"/>
  <c r="K51" i="158" s="1"/>
  <c r="K112" i="158" s="1" a="1"/>
  <c r="K112" i="158" s="1"/>
  <c r="J57" i="158"/>
  <c r="K57" i="158" s="1"/>
  <c r="J63" i="158"/>
  <c r="K63" i="158" s="1"/>
  <c r="J69" i="158"/>
  <c r="K69" i="158" s="1"/>
  <c r="J75" i="158"/>
  <c r="K75" i="158" s="1"/>
  <c r="J81" i="158"/>
  <c r="K81" i="158" s="1"/>
  <c r="J87" i="158"/>
  <c r="K87" i="158" s="1"/>
  <c r="J93" i="158"/>
  <c r="K93" i="158" s="1"/>
  <c r="J99" i="158"/>
  <c r="K99" i="158" s="1"/>
  <c r="J105" i="158"/>
  <c r="K105" i="158" s="1"/>
  <c r="J111" i="158"/>
  <c r="K111" i="158" s="1"/>
  <c r="G48" i="157"/>
  <c r="G54" i="157"/>
  <c r="G60" i="157"/>
  <c r="G66" i="157"/>
  <c r="G72" i="157"/>
  <c r="G78" i="157"/>
  <c r="G84" i="157"/>
  <c r="G90" i="157"/>
  <c r="G96" i="157"/>
  <c r="H48" i="157"/>
  <c r="I48" i="157" s="1"/>
  <c r="H54" i="157"/>
  <c r="I54" i="157" s="1"/>
  <c r="H60" i="157"/>
  <c r="I60" i="157" s="1"/>
  <c r="H66" i="157"/>
  <c r="I66" i="157" s="1"/>
  <c r="H72" i="157"/>
  <c r="I72" i="157" s="1"/>
  <c r="H78" i="157"/>
  <c r="I78" i="157" s="1"/>
  <c r="H84" i="157"/>
  <c r="I84" i="157" s="1"/>
  <c r="H90" i="157"/>
  <c r="I90" i="157" s="1"/>
  <c r="H96" i="157"/>
  <c r="I96" i="157" s="1"/>
  <c r="G40" i="157"/>
  <c r="G52" i="157"/>
  <c r="G58" i="157"/>
  <c r="G64" i="157"/>
  <c r="G70" i="157"/>
  <c r="G76" i="157"/>
  <c r="G82" i="157"/>
  <c r="G88" i="157"/>
  <c r="G94" i="157"/>
  <c r="G100" i="157"/>
  <c r="H40" i="157"/>
  <c r="I40" i="157" s="1"/>
  <c r="J44" i="157"/>
  <c r="K44" i="157" s="1"/>
  <c r="L48" i="157"/>
  <c r="M48" i="157" s="1"/>
  <c r="N49" i="157"/>
  <c r="O49" i="157" s="1"/>
  <c r="O101" i="157" s="1" a="1"/>
  <c r="O101" i="157" s="1"/>
  <c r="H52" i="157"/>
  <c r="I52" i="157" s="1"/>
  <c r="J53" i="157"/>
  <c r="K53" i="157" s="1"/>
  <c r="L54" i="157"/>
  <c r="M54" i="157" s="1"/>
  <c r="N55" i="157"/>
  <c r="O55" i="157" s="1"/>
  <c r="H58" i="157"/>
  <c r="I58" i="157" s="1"/>
  <c r="J59" i="157"/>
  <c r="K59" i="157" s="1"/>
  <c r="L60" i="157"/>
  <c r="M60" i="157" s="1"/>
  <c r="N61" i="157"/>
  <c r="O61" i="157" s="1"/>
  <c r="H64" i="157"/>
  <c r="I64" i="157" s="1"/>
  <c r="J65" i="157"/>
  <c r="K65" i="157" s="1"/>
  <c r="L66" i="157"/>
  <c r="M66" i="157" s="1"/>
  <c r="N67" i="157"/>
  <c r="O67" i="157" s="1"/>
  <c r="H70" i="157"/>
  <c r="I70" i="157" s="1"/>
  <c r="J71" i="157"/>
  <c r="K71" i="157" s="1"/>
  <c r="L72" i="157"/>
  <c r="M72" i="157" s="1"/>
  <c r="N73" i="157"/>
  <c r="O73" i="157" s="1"/>
  <c r="H76" i="157"/>
  <c r="I76" i="157" s="1"/>
  <c r="J77" i="157"/>
  <c r="K77" i="157" s="1"/>
  <c r="L78" i="157"/>
  <c r="M78" i="157" s="1"/>
  <c r="N79" i="157"/>
  <c r="O79" i="157" s="1"/>
  <c r="H82" i="157"/>
  <c r="I82" i="157" s="1"/>
  <c r="J83" i="157"/>
  <c r="K83" i="157" s="1"/>
  <c r="L84" i="157"/>
  <c r="M84" i="157" s="1"/>
  <c r="N85" i="157"/>
  <c r="O85" i="157" s="1"/>
  <c r="H88" i="157"/>
  <c r="I88" i="157" s="1"/>
  <c r="J89" i="157"/>
  <c r="K89" i="157" s="1"/>
  <c r="L90" i="157"/>
  <c r="M90" i="157" s="1"/>
  <c r="N91" i="157"/>
  <c r="O91" i="157" s="1"/>
  <c r="H94" i="157"/>
  <c r="I94" i="157" s="1"/>
  <c r="J95" i="157"/>
  <c r="K95" i="157" s="1"/>
  <c r="L96" i="157"/>
  <c r="M96" i="157" s="1"/>
  <c r="N97" i="157"/>
  <c r="O97" i="157" s="1"/>
  <c r="H100" i="157"/>
  <c r="I100" i="157" s="1"/>
  <c r="J48" i="157"/>
  <c r="K48" i="157" s="1"/>
  <c r="J66" i="157"/>
  <c r="K66" i="157" s="1"/>
  <c r="J84" i="157"/>
  <c r="K84" i="157" s="1"/>
  <c r="G36" i="157"/>
  <c r="G51" i="157"/>
  <c r="G57" i="157"/>
  <c r="G63" i="157"/>
  <c r="G99" i="157"/>
  <c r="J78" i="157"/>
  <c r="K78" i="157" s="1"/>
  <c r="J40" i="157"/>
  <c r="K40" i="157" s="1"/>
  <c r="L44" i="157"/>
  <c r="M44" i="157" s="1"/>
  <c r="J52" i="157"/>
  <c r="K52" i="157" s="1"/>
  <c r="L53" i="157"/>
  <c r="M53" i="157" s="1"/>
  <c r="N54" i="157"/>
  <c r="O54" i="157" s="1"/>
  <c r="J58" i="157"/>
  <c r="K58" i="157" s="1"/>
  <c r="L59" i="157"/>
  <c r="M59" i="157" s="1"/>
  <c r="N60" i="157"/>
  <c r="O60" i="157" s="1"/>
  <c r="J64" i="157"/>
  <c r="K64" i="157" s="1"/>
  <c r="L65" i="157"/>
  <c r="M65" i="157" s="1"/>
  <c r="J70" i="157"/>
  <c r="K70" i="157" s="1"/>
  <c r="L71" i="157"/>
  <c r="M71" i="157" s="1"/>
  <c r="N72" i="157"/>
  <c r="O72" i="157" s="1"/>
  <c r="J76" i="157"/>
  <c r="K76" i="157" s="1"/>
  <c r="L77" i="157"/>
  <c r="M77" i="157" s="1"/>
  <c r="J82" i="157"/>
  <c r="K82" i="157" s="1"/>
  <c r="L83" i="157"/>
  <c r="M83" i="157" s="1"/>
  <c r="J88" i="157"/>
  <c r="K88" i="157" s="1"/>
  <c r="L89" i="157"/>
  <c r="M89" i="157" s="1"/>
  <c r="N90" i="157"/>
  <c r="O90" i="157" s="1"/>
  <c r="J94" i="157"/>
  <c r="K94" i="157" s="1"/>
  <c r="L95" i="157"/>
  <c r="M95" i="157" s="1"/>
  <c r="N96" i="157"/>
  <c r="O96" i="157" s="1"/>
  <c r="J100" i="157"/>
  <c r="K100" i="157" s="1"/>
  <c r="N49" i="155"/>
  <c r="O49" i="155" s="1"/>
  <c r="J49" i="155"/>
  <c r="K49" i="155" s="1"/>
  <c r="L72" i="155"/>
  <c r="M72" i="155" s="1"/>
  <c r="J72" i="155"/>
  <c r="K72" i="155" s="1"/>
  <c r="H72" i="155"/>
  <c r="I72" i="155" s="1"/>
  <c r="N97" i="155"/>
  <c r="O97" i="155" s="1"/>
  <c r="L97" i="155"/>
  <c r="M97" i="155" s="1"/>
  <c r="J97" i="155"/>
  <c r="K97" i="155" s="1"/>
  <c r="G49" i="155"/>
  <c r="L66" i="155"/>
  <c r="M66" i="155" s="1"/>
  <c r="J66" i="155"/>
  <c r="K66" i="155" s="1"/>
  <c r="H66" i="155"/>
  <c r="I66" i="155" s="1"/>
  <c r="G72" i="155"/>
  <c r="N91" i="155"/>
  <c r="O91" i="155" s="1"/>
  <c r="L91" i="155"/>
  <c r="M91" i="155" s="1"/>
  <c r="J91" i="155"/>
  <c r="K91" i="155" s="1"/>
  <c r="G97" i="155"/>
  <c r="H49" i="155"/>
  <c r="I49" i="155" s="1"/>
  <c r="N55" i="155"/>
  <c r="O55" i="155" s="1"/>
  <c r="J55" i="155"/>
  <c r="K55" i="155" s="1"/>
  <c r="G66" i="155"/>
  <c r="N72" i="155"/>
  <c r="O72" i="155" s="1"/>
  <c r="N85" i="155"/>
  <c r="O85" i="155" s="1"/>
  <c r="L85" i="155"/>
  <c r="M85" i="155" s="1"/>
  <c r="J85" i="155"/>
  <c r="K85" i="155" s="1"/>
  <c r="G91" i="155"/>
  <c r="H97" i="155"/>
  <c r="I97" i="155" s="1"/>
  <c r="G55" i="155"/>
  <c r="N66" i="155"/>
  <c r="O66" i="155" s="1"/>
  <c r="L79" i="155"/>
  <c r="M79" i="155" s="1"/>
  <c r="N79" i="155"/>
  <c r="O79" i="155" s="1"/>
  <c r="J79" i="155"/>
  <c r="K79" i="155" s="1"/>
  <c r="G85" i="155"/>
  <c r="H91" i="155"/>
  <c r="I91" i="155" s="1"/>
  <c r="G38" i="155"/>
  <c r="L49" i="155"/>
  <c r="M49" i="155" s="1"/>
  <c r="H55" i="155"/>
  <c r="I55" i="155" s="1"/>
  <c r="N61" i="155"/>
  <c r="O61" i="155" s="1"/>
  <c r="J61" i="155"/>
  <c r="K61" i="155" s="1"/>
  <c r="N73" i="155"/>
  <c r="O73" i="155" s="1"/>
  <c r="L73" i="155"/>
  <c r="M73" i="155" s="1"/>
  <c r="J73" i="155"/>
  <c r="K73" i="155" s="1"/>
  <c r="G79" i="155"/>
  <c r="H85" i="155"/>
  <c r="I85" i="155" s="1"/>
  <c r="H38" i="155"/>
  <c r="I38" i="155" s="1"/>
  <c r="G61" i="155"/>
  <c r="N67" i="155"/>
  <c r="O67" i="155" s="1"/>
  <c r="L67" i="155"/>
  <c r="M67" i="155" s="1"/>
  <c r="J67" i="155"/>
  <c r="K67" i="155" s="1"/>
  <c r="G73" i="155"/>
  <c r="H79" i="155"/>
  <c r="I79" i="155" s="1"/>
  <c r="N92" i="155"/>
  <c r="O92" i="155" s="1"/>
  <c r="L92" i="155"/>
  <c r="M92" i="155" s="1"/>
  <c r="G98" i="155"/>
  <c r="H46" i="155"/>
  <c r="I46" i="155" s="1"/>
  <c r="G46" i="155"/>
  <c r="G50" i="155"/>
  <c r="L55" i="155"/>
  <c r="M55" i="155" s="1"/>
  <c r="H61" i="155"/>
  <c r="I61" i="155" s="1"/>
  <c r="G67" i="155"/>
  <c r="H73" i="155"/>
  <c r="I73" i="155" s="1"/>
  <c r="N86" i="155"/>
  <c r="O86" i="155" s="1"/>
  <c r="L86" i="155"/>
  <c r="M86" i="155" s="1"/>
  <c r="G92" i="155"/>
  <c r="L102" i="155"/>
  <c r="M102" i="155" s="1"/>
  <c r="J102" i="155"/>
  <c r="K102" i="155" s="1"/>
  <c r="H102" i="155"/>
  <c r="I102" i="155" s="1"/>
  <c r="G102" i="155"/>
  <c r="J38" i="155"/>
  <c r="K38" i="155" s="1"/>
  <c r="J46" i="155"/>
  <c r="K46" i="155" s="1"/>
  <c r="L48" i="155"/>
  <c r="M48" i="155" s="1"/>
  <c r="H48" i="155"/>
  <c r="I48" i="155" s="1"/>
  <c r="H50" i="155"/>
  <c r="I50" i="155" s="1"/>
  <c r="H67" i="155"/>
  <c r="I67" i="155" s="1"/>
  <c r="N80" i="155"/>
  <c r="O80" i="155" s="1"/>
  <c r="L80" i="155"/>
  <c r="M80" i="155" s="1"/>
  <c r="G86" i="155"/>
  <c r="H92" i="155"/>
  <c r="I92" i="155" s="1"/>
  <c r="N102" i="155"/>
  <c r="O102" i="155" s="1"/>
  <c r="N98" i="155"/>
  <c r="O98" i="155" s="1"/>
  <c r="L98" i="155"/>
  <c r="M98" i="155" s="1"/>
  <c r="H52" i="155"/>
  <c r="I52" i="155" s="1"/>
  <c r="G52" i="155"/>
  <c r="L61" i="155"/>
  <c r="M61" i="155" s="1"/>
  <c r="N74" i="155"/>
  <c r="O74" i="155" s="1"/>
  <c r="L74" i="155"/>
  <c r="M74" i="155" s="1"/>
  <c r="L96" i="155"/>
  <c r="M96" i="155" s="1"/>
  <c r="J96" i="155"/>
  <c r="K96" i="155" s="1"/>
  <c r="H96" i="155"/>
  <c r="I96" i="155" s="1"/>
  <c r="J98" i="155"/>
  <c r="K98" i="155" s="1"/>
  <c r="N38" i="155"/>
  <c r="O38" i="155" s="1"/>
  <c r="L46" i="155"/>
  <c r="M46" i="155" s="1"/>
  <c r="J48" i="155"/>
  <c r="K48" i="155" s="1"/>
  <c r="J50" i="155"/>
  <c r="K50" i="155" s="1"/>
  <c r="J52" i="155"/>
  <c r="K52" i="155" s="1"/>
  <c r="L54" i="155"/>
  <c r="M54" i="155" s="1"/>
  <c r="H54" i="155"/>
  <c r="I54" i="155" s="1"/>
  <c r="H56" i="155"/>
  <c r="I56" i="155" s="1"/>
  <c r="N68" i="155"/>
  <c r="O68" i="155" s="1"/>
  <c r="L68" i="155"/>
  <c r="M68" i="155" s="1"/>
  <c r="G74" i="155"/>
  <c r="H80" i="155"/>
  <c r="I80" i="155" s="1"/>
  <c r="L90" i="155"/>
  <c r="M90" i="155" s="1"/>
  <c r="J90" i="155"/>
  <c r="K90" i="155" s="1"/>
  <c r="H90" i="155"/>
  <c r="I90" i="155" s="1"/>
  <c r="J92" i="155"/>
  <c r="K92" i="155" s="1"/>
  <c r="G96" i="155"/>
  <c r="N34" i="155"/>
  <c r="O34" i="155" s="1"/>
  <c r="J34" i="155"/>
  <c r="K34" i="155" s="1"/>
  <c r="N48" i="155"/>
  <c r="O48" i="155" s="1"/>
  <c r="G54" i="155"/>
  <c r="H58" i="155"/>
  <c r="I58" i="155" s="1"/>
  <c r="G58" i="155"/>
  <c r="G62" i="155"/>
  <c r="G68" i="155"/>
  <c r="H74" i="155"/>
  <c r="I74" i="155" s="1"/>
  <c r="L84" i="155"/>
  <c r="M84" i="155" s="1"/>
  <c r="J84" i="155"/>
  <c r="K84" i="155" s="1"/>
  <c r="H84" i="155"/>
  <c r="I84" i="155" s="1"/>
  <c r="J86" i="155"/>
  <c r="K86" i="155" s="1"/>
  <c r="G90" i="155"/>
  <c r="N96" i="155"/>
  <c r="O96" i="155" s="1"/>
  <c r="G34" i="155"/>
  <c r="N46" i="155"/>
  <c r="O46" i="155" s="1"/>
  <c r="N50" i="155"/>
  <c r="O50" i="155" s="1"/>
  <c r="L52" i="155"/>
  <c r="M52" i="155" s="1"/>
  <c r="J54" i="155"/>
  <c r="K54" i="155" s="1"/>
  <c r="J56" i="155"/>
  <c r="K56" i="155" s="1"/>
  <c r="J58" i="155"/>
  <c r="K58" i="155" s="1"/>
  <c r="L60" i="155"/>
  <c r="M60" i="155" s="1"/>
  <c r="H60" i="155"/>
  <c r="I60" i="155" s="1"/>
  <c r="H62" i="155"/>
  <c r="I62" i="155" s="1"/>
  <c r="H68" i="155"/>
  <c r="I68" i="155" s="1"/>
  <c r="L78" i="155"/>
  <c r="M78" i="155" s="1"/>
  <c r="J78" i="155"/>
  <c r="K78" i="155" s="1"/>
  <c r="H78" i="155"/>
  <c r="I78" i="155" s="1"/>
  <c r="J80" i="155"/>
  <c r="K80" i="155" s="1"/>
  <c r="G84" i="155"/>
  <c r="N90" i="155"/>
  <c r="O90" i="155" s="1"/>
  <c r="G47" i="155"/>
  <c r="G53" i="155"/>
  <c r="G59" i="155"/>
  <c r="G65" i="155"/>
  <c r="G71" i="155"/>
  <c r="G77" i="155"/>
  <c r="G83" i="155"/>
  <c r="G89" i="155"/>
  <c r="G95" i="155"/>
  <c r="G101" i="155"/>
  <c r="G64" i="155"/>
  <c r="G70" i="155"/>
  <c r="G76" i="155"/>
  <c r="G82" i="155"/>
  <c r="G88" i="155"/>
  <c r="G94" i="155"/>
  <c r="G100" i="155"/>
  <c r="N61" i="154"/>
  <c r="O61" i="154" s="1"/>
  <c r="L61" i="154"/>
  <c r="M61" i="154" s="1"/>
  <c r="J61" i="154"/>
  <c r="K61" i="154" s="1"/>
  <c r="G61" i="154"/>
  <c r="L66" i="154"/>
  <c r="M66" i="154" s="1"/>
  <c r="N66" i="154"/>
  <c r="O66" i="154" s="1"/>
  <c r="H66" i="154"/>
  <c r="I66" i="154" s="1"/>
  <c r="J66" i="154"/>
  <c r="K66" i="154" s="1"/>
  <c r="H45" i="154"/>
  <c r="I45" i="154" s="1"/>
  <c r="N45" i="154"/>
  <c r="O45" i="154" s="1"/>
  <c r="L45" i="154"/>
  <c r="M45" i="154" s="1"/>
  <c r="J45" i="154"/>
  <c r="K45" i="154" s="1"/>
  <c r="H61" i="154"/>
  <c r="I61" i="154" s="1"/>
  <c r="G66" i="154"/>
  <c r="N73" i="154"/>
  <c r="O73" i="154" s="1"/>
  <c r="L73" i="154"/>
  <c r="M73" i="154" s="1"/>
  <c r="J73" i="154"/>
  <c r="K73" i="154" s="1"/>
  <c r="N79" i="154"/>
  <c r="O79" i="154" s="1"/>
  <c r="J79" i="154"/>
  <c r="K79" i="154" s="1"/>
  <c r="L79" i="154"/>
  <c r="M79" i="154" s="1"/>
  <c r="N55" i="154"/>
  <c r="O55" i="154" s="1"/>
  <c r="J55" i="154"/>
  <c r="K55" i="154" s="1"/>
  <c r="L55" i="154"/>
  <c r="M55" i="154" s="1"/>
  <c r="G73" i="154"/>
  <c r="G79" i="154"/>
  <c r="G55" i="154"/>
  <c r="H73" i="154"/>
  <c r="I73" i="154" s="1"/>
  <c r="H79" i="154"/>
  <c r="I79" i="154" s="1"/>
  <c r="H55" i="154"/>
  <c r="I55" i="154" s="1"/>
  <c r="L60" i="154"/>
  <c r="M60" i="154" s="1"/>
  <c r="N60" i="154"/>
  <c r="O60" i="154" s="1"/>
  <c r="H60" i="154"/>
  <c r="I60" i="154" s="1"/>
  <c r="J60" i="154"/>
  <c r="K60" i="154" s="1"/>
  <c r="G60" i="154"/>
  <c r="N67" i="154"/>
  <c r="O67" i="154" s="1"/>
  <c r="J67" i="154"/>
  <c r="K67" i="154" s="1"/>
  <c r="L67" i="154"/>
  <c r="M67" i="154" s="1"/>
  <c r="N96" i="154"/>
  <c r="O96" i="154" s="1"/>
  <c r="L96" i="154"/>
  <c r="M96" i="154" s="1"/>
  <c r="H96" i="154"/>
  <c r="I96" i="154" s="1"/>
  <c r="G96" i="154"/>
  <c r="J96" i="154"/>
  <c r="K96" i="154" s="1"/>
  <c r="N49" i="154"/>
  <c r="O49" i="154" s="1"/>
  <c r="J49" i="154"/>
  <c r="K49" i="154" s="1"/>
  <c r="L49" i="154"/>
  <c r="M49" i="154" s="1"/>
  <c r="G67" i="154"/>
  <c r="N90" i="154"/>
  <c r="O90" i="154" s="1"/>
  <c r="L90" i="154"/>
  <c r="M90" i="154" s="1"/>
  <c r="H90" i="154"/>
  <c r="I90" i="154" s="1"/>
  <c r="G90" i="154"/>
  <c r="J90" i="154"/>
  <c r="K90" i="154" s="1"/>
  <c r="N97" i="154"/>
  <c r="O97" i="154" s="1"/>
  <c r="J97" i="154"/>
  <c r="K97" i="154" s="1"/>
  <c r="L97" i="154"/>
  <c r="M97" i="154" s="1"/>
  <c r="G49" i="154"/>
  <c r="H67" i="154"/>
  <c r="I67" i="154" s="1"/>
  <c r="N72" i="154"/>
  <c r="O72" i="154" s="1"/>
  <c r="L72" i="154"/>
  <c r="M72" i="154" s="1"/>
  <c r="H72" i="154"/>
  <c r="I72" i="154" s="1"/>
  <c r="J72" i="154"/>
  <c r="K72" i="154" s="1"/>
  <c r="L84" i="154"/>
  <c r="M84" i="154" s="1"/>
  <c r="N84" i="154"/>
  <c r="O84" i="154" s="1"/>
  <c r="H84" i="154"/>
  <c r="I84" i="154" s="1"/>
  <c r="G84" i="154"/>
  <c r="J84" i="154"/>
  <c r="K84" i="154" s="1"/>
  <c r="N91" i="154"/>
  <c r="O91" i="154" s="1"/>
  <c r="J91" i="154"/>
  <c r="K91" i="154" s="1"/>
  <c r="L91" i="154"/>
  <c r="M91" i="154" s="1"/>
  <c r="G97" i="154"/>
  <c r="H49" i="154"/>
  <c r="I49" i="154" s="1"/>
  <c r="L54" i="154"/>
  <c r="M54" i="154" s="1"/>
  <c r="N54" i="154"/>
  <c r="O54" i="154" s="1"/>
  <c r="H54" i="154"/>
  <c r="I54" i="154" s="1"/>
  <c r="J54" i="154"/>
  <c r="K54" i="154" s="1"/>
  <c r="G72" i="154"/>
  <c r="L78" i="154"/>
  <c r="M78" i="154" s="1"/>
  <c r="H78" i="154"/>
  <c r="I78" i="154" s="1"/>
  <c r="N78" i="154"/>
  <c r="O78" i="154" s="1"/>
  <c r="G78" i="154"/>
  <c r="J78" i="154"/>
  <c r="K78" i="154" s="1"/>
  <c r="N85" i="154"/>
  <c r="O85" i="154" s="1"/>
  <c r="J85" i="154"/>
  <c r="K85" i="154" s="1"/>
  <c r="L85" i="154"/>
  <c r="M85" i="154" s="1"/>
  <c r="G91" i="154"/>
  <c r="H97" i="154"/>
  <c r="I97" i="154" s="1"/>
  <c r="G53" i="154"/>
  <c r="G65" i="154"/>
  <c r="G77" i="154"/>
  <c r="G95" i="154"/>
  <c r="H41" i="154"/>
  <c r="I41" i="154" s="1"/>
  <c r="N50" i="154"/>
  <c r="O50" i="154" s="1"/>
  <c r="H53" i="154"/>
  <c r="I53" i="154" s="1"/>
  <c r="N56" i="154"/>
  <c r="O56" i="154" s="1"/>
  <c r="H59" i="154"/>
  <c r="I59" i="154" s="1"/>
  <c r="N62" i="154"/>
  <c r="O62" i="154" s="1"/>
  <c r="H65" i="154"/>
  <c r="I65" i="154" s="1"/>
  <c r="H71" i="154"/>
  <c r="I71" i="154" s="1"/>
  <c r="H77" i="154"/>
  <c r="I77" i="154" s="1"/>
  <c r="H83" i="154"/>
  <c r="I83" i="154" s="1"/>
  <c r="H89" i="154"/>
  <c r="I89" i="154" s="1"/>
  <c r="H95" i="154"/>
  <c r="I95" i="154" s="1"/>
  <c r="H101" i="154"/>
  <c r="I101" i="154" s="1"/>
  <c r="G41" i="154"/>
  <c r="G59" i="154"/>
  <c r="G71" i="154"/>
  <c r="G83" i="154"/>
  <c r="G89" i="154"/>
  <c r="G101" i="154"/>
  <c r="G64" i="154"/>
  <c r="G70" i="154"/>
  <c r="G76" i="154"/>
  <c r="G82" i="154"/>
  <c r="G88" i="154"/>
  <c r="G94" i="154"/>
  <c r="G100" i="154"/>
  <c r="J95" i="154"/>
  <c r="K95" i="154" s="1"/>
  <c r="G51" i="154"/>
  <c r="G57" i="154"/>
  <c r="G63" i="154"/>
  <c r="G69" i="154"/>
  <c r="G75" i="154"/>
  <c r="G81" i="154"/>
  <c r="G87" i="154"/>
  <c r="G93" i="154"/>
  <c r="G99" i="154"/>
  <c r="J53" i="154"/>
  <c r="K53" i="154" s="1"/>
  <c r="J59" i="154"/>
  <c r="K59" i="154" s="1"/>
  <c r="J65" i="154"/>
  <c r="K65" i="154" s="1"/>
  <c r="J71" i="154"/>
  <c r="K71" i="154" s="1"/>
  <c r="J77" i="154"/>
  <c r="K77" i="154" s="1"/>
  <c r="J83" i="154"/>
  <c r="K83" i="154" s="1"/>
  <c r="J101" i="154"/>
  <c r="K101" i="154" s="1"/>
  <c r="L41" i="154"/>
  <c r="M41" i="154" s="1"/>
  <c r="L89" i="154"/>
  <c r="M89" i="154" s="1"/>
  <c r="G100" i="153" a="1"/>
  <c r="G100" i="153" s="1"/>
  <c r="N99" i="153"/>
  <c r="O99" i="153" s="1"/>
  <c r="L98" i="153"/>
  <c r="M98" i="153" s="1"/>
  <c r="N93" i="153"/>
  <c r="O93" i="153" s="1"/>
  <c r="L92" i="153"/>
  <c r="M92" i="153" s="1"/>
  <c r="N87" i="153"/>
  <c r="O87" i="153" s="1"/>
  <c r="L86" i="153"/>
  <c r="M86" i="153" s="1"/>
  <c r="N81" i="153"/>
  <c r="O81" i="153" s="1"/>
  <c r="L80" i="153"/>
  <c r="M80" i="153" s="1"/>
  <c r="N75" i="153"/>
  <c r="O75" i="153" s="1"/>
  <c r="L74" i="153"/>
  <c r="M74" i="153" s="1"/>
  <c r="N69" i="153"/>
  <c r="O69" i="153" s="1"/>
  <c r="L68" i="153"/>
  <c r="M68" i="153" s="1"/>
  <c r="N63" i="153"/>
  <c r="O63" i="153" s="1"/>
  <c r="L62" i="153"/>
  <c r="M62" i="153" s="1"/>
  <c r="N57" i="153"/>
  <c r="O57" i="153" s="1"/>
  <c r="L56" i="153"/>
  <c r="M56" i="153" s="1"/>
  <c r="M100" i="153" s="1" a="1"/>
  <c r="M100" i="153" s="1"/>
  <c r="N48" i="153"/>
  <c r="O48" i="153" s="1"/>
  <c r="L44" i="153"/>
  <c r="M44" i="153" s="1"/>
  <c r="N98" i="153"/>
  <c r="O98" i="153" s="1"/>
  <c r="N92" i="153"/>
  <c r="O92" i="153" s="1"/>
  <c r="N86" i="153"/>
  <c r="O86" i="153" s="1"/>
  <c r="N80" i="153"/>
  <c r="O80" i="153" s="1"/>
  <c r="N74" i="153"/>
  <c r="O74" i="153" s="1"/>
  <c r="N68" i="153"/>
  <c r="O68" i="153" s="1"/>
  <c r="N62" i="153"/>
  <c r="O62" i="153" s="1"/>
  <c r="N56" i="153"/>
  <c r="O56" i="153" s="1"/>
  <c r="N44" i="153"/>
  <c r="O44" i="153" s="1"/>
  <c r="L99" i="153"/>
  <c r="M99" i="153" s="1"/>
  <c r="J98" i="153"/>
  <c r="K98" i="153" s="1"/>
  <c r="H97" i="153"/>
  <c r="I97" i="153" s="1"/>
  <c r="N94" i="153"/>
  <c r="O94" i="153" s="1"/>
  <c r="L93" i="153"/>
  <c r="M93" i="153" s="1"/>
  <c r="J92" i="153"/>
  <c r="K92" i="153" s="1"/>
  <c r="H91" i="153"/>
  <c r="I91" i="153" s="1"/>
  <c r="N88" i="153"/>
  <c r="O88" i="153" s="1"/>
  <c r="L87" i="153"/>
  <c r="M87" i="153" s="1"/>
  <c r="J86" i="153"/>
  <c r="K86" i="153" s="1"/>
  <c r="H85" i="153"/>
  <c r="I85" i="153" s="1"/>
  <c r="N82" i="153"/>
  <c r="O82" i="153" s="1"/>
  <c r="L81" i="153"/>
  <c r="M81" i="153" s="1"/>
  <c r="J80" i="153"/>
  <c r="K80" i="153" s="1"/>
  <c r="H79" i="153"/>
  <c r="I79" i="153" s="1"/>
  <c r="N76" i="153"/>
  <c r="O76" i="153" s="1"/>
  <c r="L75" i="153"/>
  <c r="M75" i="153" s="1"/>
  <c r="J74" i="153"/>
  <c r="K74" i="153" s="1"/>
  <c r="H73" i="153"/>
  <c r="I73" i="153" s="1"/>
  <c r="N70" i="153"/>
  <c r="O70" i="153" s="1"/>
  <c r="L69" i="153"/>
  <c r="M69" i="153" s="1"/>
  <c r="J68" i="153"/>
  <c r="K68" i="153" s="1"/>
  <c r="H67" i="153"/>
  <c r="I67" i="153" s="1"/>
  <c r="N64" i="153"/>
  <c r="O64" i="153" s="1"/>
  <c r="L63" i="153"/>
  <c r="M63" i="153" s="1"/>
  <c r="J62" i="153"/>
  <c r="K62" i="153" s="1"/>
  <c r="H61" i="153"/>
  <c r="I61" i="153" s="1"/>
  <c r="N58" i="153"/>
  <c r="O58" i="153" s="1"/>
  <c r="L57" i="153"/>
  <c r="M57" i="153" s="1"/>
  <c r="J56" i="153"/>
  <c r="K56" i="153" s="1"/>
  <c r="K100" i="153" s="1" a="1"/>
  <c r="K100" i="153" s="1"/>
  <c r="H55" i="153"/>
  <c r="I55" i="153" s="1"/>
  <c r="I100" i="153" s="1" a="1"/>
  <c r="I100" i="153" s="1"/>
  <c r="N52" i="153"/>
  <c r="O52" i="153" s="1"/>
  <c r="L48" i="153"/>
  <c r="M48" i="153" s="1"/>
  <c r="J44" i="153"/>
  <c r="K44" i="153" s="1"/>
  <c r="H40" i="153"/>
  <c r="I40" i="153" s="1"/>
  <c r="L57" i="152"/>
  <c r="M57" i="152" s="1"/>
  <c r="J57" i="152"/>
  <c r="K57" i="152" s="1"/>
  <c r="H57" i="152"/>
  <c r="I57" i="152" s="1"/>
  <c r="G57" i="152"/>
  <c r="L69" i="152"/>
  <c r="M69" i="152" s="1"/>
  <c r="J69" i="152"/>
  <c r="K69" i="152" s="1"/>
  <c r="H69" i="152"/>
  <c r="I69" i="152" s="1"/>
  <c r="G69" i="152"/>
  <c r="N69" i="152"/>
  <c r="O69" i="152" s="1"/>
  <c r="N83" i="152"/>
  <c r="O83" i="152" s="1"/>
  <c r="L83" i="152"/>
  <c r="M83" i="152" s="1"/>
  <c r="J83" i="152"/>
  <c r="K83" i="152" s="1"/>
  <c r="N57" i="152"/>
  <c r="O57" i="152" s="1"/>
  <c r="G83" i="152"/>
  <c r="H83" i="152"/>
  <c r="I83" i="152" s="1"/>
  <c r="N58" i="152"/>
  <c r="O58" i="152" s="1"/>
  <c r="L58" i="152"/>
  <c r="M58" i="152" s="1"/>
  <c r="J58" i="152"/>
  <c r="K58" i="152" s="1"/>
  <c r="H58" i="152"/>
  <c r="I58" i="152" s="1"/>
  <c r="G58" i="152"/>
  <c r="N71" i="152"/>
  <c r="O71" i="152" s="1"/>
  <c r="L71" i="152"/>
  <c r="M71" i="152" s="1"/>
  <c r="N94" i="152"/>
  <c r="O94" i="152" s="1"/>
  <c r="L94" i="152"/>
  <c r="M94" i="152" s="1"/>
  <c r="J94" i="152"/>
  <c r="K94" i="152" s="1"/>
  <c r="H94" i="152"/>
  <c r="I94" i="152" s="1"/>
  <c r="L51" i="152"/>
  <c r="M51" i="152" s="1"/>
  <c r="M106" i="152" s="1" a="1"/>
  <c r="M106" i="152" s="1"/>
  <c r="J51" i="152"/>
  <c r="K51" i="152" s="1"/>
  <c r="K106" i="152" s="1" a="1"/>
  <c r="K106" i="152" s="1"/>
  <c r="H51" i="152"/>
  <c r="I51" i="152" s="1"/>
  <c r="G51" i="152"/>
  <c r="G106" i="152" s="1" a="1"/>
  <c r="G106" i="152" s="1"/>
  <c r="G71" i="152"/>
  <c r="N89" i="152"/>
  <c r="O89" i="152" s="1"/>
  <c r="L89" i="152"/>
  <c r="M89" i="152" s="1"/>
  <c r="J89" i="152"/>
  <c r="K89" i="152" s="1"/>
  <c r="G94" i="152"/>
  <c r="H71" i="152"/>
  <c r="I71" i="152" s="1"/>
  <c r="L75" i="152"/>
  <c r="M75" i="152" s="1"/>
  <c r="J75" i="152"/>
  <c r="K75" i="152" s="1"/>
  <c r="H75" i="152"/>
  <c r="I75" i="152" s="1"/>
  <c r="G75" i="152"/>
  <c r="N75" i="152"/>
  <c r="O75" i="152" s="1"/>
  <c r="G89" i="152"/>
  <c r="G95" i="152"/>
  <c r="N52" i="152"/>
  <c r="O52" i="152" s="1"/>
  <c r="O106" i="152" s="1" a="1"/>
  <c r="O106" i="152" s="1"/>
  <c r="L52" i="152"/>
  <c r="M52" i="152" s="1"/>
  <c r="J52" i="152"/>
  <c r="K52" i="152" s="1"/>
  <c r="H52" i="152"/>
  <c r="I52" i="152" s="1"/>
  <c r="N77" i="152"/>
  <c r="O77" i="152" s="1"/>
  <c r="L77" i="152"/>
  <c r="M77" i="152" s="1"/>
  <c r="L63" i="152"/>
  <c r="M63" i="152" s="1"/>
  <c r="J63" i="152"/>
  <c r="K63" i="152" s="1"/>
  <c r="H63" i="152"/>
  <c r="I63" i="152" s="1"/>
  <c r="G63" i="152"/>
  <c r="N95" i="152"/>
  <c r="O95" i="152" s="1"/>
  <c r="L95" i="152"/>
  <c r="M95" i="152" s="1"/>
  <c r="J95" i="152"/>
  <c r="K95" i="152" s="1"/>
  <c r="J71" i="152"/>
  <c r="K71" i="152" s="1"/>
  <c r="G52" i="152"/>
  <c r="G77" i="152"/>
  <c r="N101" i="152"/>
  <c r="O101" i="152" s="1"/>
  <c r="L101" i="152"/>
  <c r="M101" i="152" s="1"/>
  <c r="J101" i="152"/>
  <c r="K101" i="152" s="1"/>
  <c r="L81" i="152"/>
  <c r="M81" i="152" s="1"/>
  <c r="J81" i="152"/>
  <c r="K81" i="152" s="1"/>
  <c r="H81" i="152"/>
  <c r="I81" i="152" s="1"/>
  <c r="G81" i="152"/>
  <c r="N64" i="152"/>
  <c r="O64" i="152" s="1"/>
  <c r="L64" i="152"/>
  <c r="M64" i="152" s="1"/>
  <c r="J64" i="152"/>
  <c r="K64" i="152" s="1"/>
  <c r="L87" i="152"/>
  <c r="M87" i="152" s="1"/>
  <c r="J87" i="152"/>
  <c r="K87" i="152" s="1"/>
  <c r="H87" i="152"/>
  <c r="I87" i="152" s="1"/>
  <c r="G87" i="152"/>
  <c r="G64" i="152"/>
  <c r="N70" i="152"/>
  <c r="O70" i="152" s="1"/>
  <c r="L70" i="152"/>
  <c r="M70" i="152" s="1"/>
  <c r="J70" i="152"/>
  <c r="K70" i="152" s="1"/>
  <c r="N81" i="152"/>
  <c r="O81" i="152" s="1"/>
  <c r="L93" i="152"/>
  <c r="M93" i="152" s="1"/>
  <c r="J93" i="152"/>
  <c r="K93" i="152" s="1"/>
  <c r="H93" i="152"/>
  <c r="I93" i="152" s="1"/>
  <c r="G93" i="152"/>
  <c r="G38" i="152"/>
  <c r="N53" i="152"/>
  <c r="O53" i="152" s="1"/>
  <c r="L53" i="152"/>
  <c r="M53" i="152" s="1"/>
  <c r="H64" i="152"/>
  <c r="I64" i="152" s="1"/>
  <c r="G70" i="152"/>
  <c r="N76" i="152"/>
  <c r="O76" i="152" s="1"/>
  <c r="L76" i="152"/>
  <c r="M76" i="152" s="1"/>
  <c r="J76" i="152"/>
  <c r="K76" i="152" s="1"/>
  <c r="N87" i="152"/>
  <c r="O87" i="152" s="1"/>
  <c r="H38" i="152"/>
  <c r="I38" i="152" s="1"/>
  <c r="G53" i="152"/>
  <c r="N59" i="152"/>
  <c r="O59" i="152" s="1"/>
  <c r="L59" i="152"/>
  <c r="M59" i="152" s="1"/>
  <c r="H70" i="152"/>
  <c r="I70" i="152" s="1"/>
  <c r="G76" i="152"/>
  <c r="N82" i="152"/>
  <c r="O82" i="152" s="1"/>
  <c r="L82" i="152"/>
  <c r="M82" i="152" s="1"/>
  <c r="J82" i="152"/>
  <c r="K82" i="152" s="1"/>
  <c r="N93" i="152"/>
  <c r="O93" i="152" s="1"/>
  <c r="H53" i="152"/>
  <c r="I53" i="152" s="1"/>
  <c r="G59" i="152"/>
  <c r="N65" i="152"/>
  <c r="O65" i="152" s="1"/>
  <c r="L65" i="152"/>
  <c r="M65" i="152" s="1"/>
  <c r="H76" i="152"/>
  <c r="I76" i="152" s="1"/>
  <c r="G82" i="152"/>
  <c r="N88" i="152"/>
  <c r="O88" i="152" s="1"/>
  <c r="L88" i="152"/>
  <c r="M88" i="152" s="1"/>
  <c r="J88" i="152"/>
  <c r="K88" i="152" s="1"/>
  <c r="N100" i="152"/>
  <c r="O100" i="152" s="1"/>
  <c r="L100" i="152"/>
  <c r="M100" i="152" s="1"/>
  <c r="J100" i="152"/>
  <c r="K100" i="152" s="1"/>
  <c r="H100" i="152"/>
  <c r="I100" i="152" s="1"/>
  <c r="G99" i="152"/>
  <c r="G105" i="152"/>
  <c r="H99" i="152"/>
  <c r="I99" i="152" s="1"/>
  <c r="H105" i="152"/>
  <c r="I105" i="152" s="1"/>
  <c r="J99" i="152"/>
  <c r="K99" i="152" s="1"/>
  <c r="J105" i="152"/>
  <c r="K105" i="152" s="1"/>
  <c r="G46" i="152"/>
  <c r="H42" i="151"/>
  <c r="I42" i="151" s="1"/>
  <c r="J42" i="151"/>
  <c r="K42" i="151" s="1"/>
  <c r="N42" i="151"/>
  <c r="O42" i="151" s="1"/>
  <c r="L42" i="151"/>
  <c r="M42" i="151" s="1"/>
  <c r="G42" i="151"/>
  <c r="H60" i="151"/>
  <c r="I60" i="151" s="1"/>
  <c r="J60" i="151"/>
  <c r="K60" i="151" s="1"/>
  <c r="L60" i="151"/>
  <c r="M60" i="151" s="1"/>
  <c r="N60" i="151"/>
  <c r="O60" i="151" s="1"/>
  <c r="G60" i="151"/>
  <c r="G106" i="151" s="1" a="1"/>
  <c r="G106" i="151" s="1"/>
  <c r="J96" i="151"/>
  <c r="K96" i="151" s="1"/>
  <c r="L96" i="151"/>
  <c r="M96" i="151" s="1"/>
  <c r="N96" i="151"/>
  <c r="O96" i="151" s="1"/>
  <c r="G96" i="151"/>
  <c r="H96" i="151"/>
  <c r="I96" i="151" s="1"/>
  <c r="H54" i="151"/>
  <c r="I54" i="151" s="1"/>
  <c r="J54" i="151"/>
  <c r="K54" i="151" s="1"/>
  <c r="L54" i="151"/>
  <c r="M54" i="151" s="1"/>
  <c r="M106" i="151" s="1" a="1"/>
  <c r="M106" i="151" s="1"/>
  <c r="N54" i="151"/>
  <c r="O54" i="151" s="1"/>
  <c r="G54" i="151"/>
  <c r="J103" i="151"/>
  <c r="K103" i="151" s="1"/>
  <c r="L103" i="151"/>
  <c r="M103" i="151" s="1"/>
  <c r="N103" i="151"/>
  <c r="O103" i="151" s="1"/>
  <c r="J67" i="151"/>
  <c r="K67" i="151" s="1"/>
  <c r="L67" i="151"/>
  <c r="M67" i="151" s="1"/>
  <c r="N67" i="151"/>
  <c r="O67" i="151" s="1"/>
  <c r="L91" i="151"/>
  <c r="M91" i="151" s="1"/>
  <c r="N91" i="151"/>
  <c r="O91" i="151" s="1"/>
  <c r="J91" i="151"/>
  <c r="K91" i="151" s="1"/>
  <c r="H66" i="151"/>
  <c r="I66" i="151" s="1"/>
  <c r="J66" i="151"/>
  <c r="K66" i="151" s="1"/>
  <c r="L66" i="151"/>
  <c r="M66" i="151" s="1"/>
  <c r="N66" i="151"/>
  <c r="O66" i="151" s="1"/>
  <c r="G66" i="151"/>
  <c r="J102" i="151"/>
  <c r="K102" i="151" s="1"/>
  <c r="L102" i="151"/>
  <c r="M102" i="151" s="1"/>
  <c r="N102" i="151"/>
  <c r="O102" i="151" s="1"/>
  <c r="G102" i="151"/>
  <c r="H102" i="151"/>
  <c r="I102" i="151" s="1"/>
  <c r="J90" i="151"/>
  <c r="K90" i="151" s="1"/>
  <c r="L90" i="151"/>
  <c r="M90" i="151" s="1"/>
  <c r="N90" i="151"/>
  <c r="O90" i="151" s="1"/>
  <c r="G90" i="151"/>
  <c r="H90" i="151"/>
  <c r="I90" i="151" s="1"/>
  <c r="J79" i="151"/>
  <c r="K79" i="151" s="1"/>
  <c r="L79" i="151"/>
  <c r="M79" i="151" s="1"/>
  <c r="N79" i="151"/>
  <c r="O79" i="151" s="1"/>
  <c r="J46" i="151"/>
  <c r="K46" i="151" s="1"/>
  <c r="L46" i="151"/>
  <c r="M46" i="151" s="1"/>
  <c r="N46" i="151"/>
  <c r="O46" i="151" s="1"/>
  <c r="H78" i="151"/>
  <c r="I78" i="151" s="1"/>
  <c r="J78" i="151"/>
  <c r="K78" i="151" s="1"/>
  <c r="L78" i="151"/>
  <c r="M78" i="151" s="1"/>
  <c r="N78" i="151"/>
  <c r="O78" i="151" s="1"/>
  <c r="G78" i="151"/>
  <c r="J61" i="151"/>
  <c r="K61" i="151" s="1"/>
  <c r="L61" i="151"/>
  <c r="M61" i="151" s="1"/>
  <c r="N61" i="151"/>
  <c r="O61" i="151" s="1"/>
  <c r="L85" i="151"/>
  <c r="M85" i="151" s="1"/>
  <c r="N85" i="151"/>
  <c r="O85" i="151" s="1"/>
  <c r="J85" i="151"/>
  <c r="K85" i="151" s="1"/>
  <c r="J73" i="151"/>
  <c r="K73" i="151" s="1"/>
  <c r="L73" i="151"/>
  <c r="M73" i="151" s="1"/>
  <c r="N73" i="151"/>
  <c r="O73" i="151" s="1"/>
  <c r="L97" i="151"/>
  <c r="M97" i="151" s="1"/>
  <c r="N97" i="151"/>
  <c r="O97" i="151" s="1"/>
  <c r="J97" i="151"/>
  <c r="K97" i="151" s="1"/>
  <c r="H84" i="151"/>
  <c r="I84" i="151" s="1"/>
  <c r="J84" i="151"/>
  <c r="K84" i="151" s="1"/>
  <c r="L84" i="151"/>
  <c r="M84" i="151" s="1"/>
  <c r="N84" i="151"/>
  <c r="O84" i="151" s="1"/>
  <c r="G84" i="151"/>
  <c r="H72" i="151"/>
  <c r="I72" i="151" s="1"/>
  <c r="J72" i="151"/>
  <c r="K72" i="151" s="1"/>
  <c r="L72" i="151"/>
  <c r="M72" i="151" s="1"/>
  <c r="N72" i="151"/>
  <c r="O72" i="151" s="1"/>
  <c r="G72" i="151"/>
  <c r="J55" i="151"/>
  <c r="K55" i="151" s="1"/>
  <c r="L55" i="151"/>
  <c r="M55" i="151" s="1"/>
  <c r="N55" i="151"/>
  <c r="O55" i="151" s="1"/>
  <c r="L80" i="151"/>
  <c r="M80" i="151" s="1"/>
  <c r="L74" i="151"/>
  <c r="M74" i="151" s="1"/>
  <c r="L68" i="151"/>
  <c r="M68" i="151" s="1"/>
  <c r="L62" i="151"/>
  <c r="M62" i="151" s="1"/>
  <c r="L56" i="151"/>
  <c r="M56" i="151" s="1"/>
  <c r="L101" i="151"/>
  <c r="M101" i="151" s="1"/>
  <c r="L95" i="151"/>
  <c r="M95" i="151" s="1"/>
  <c r="L89" i="151"/>
  <c r="M89" i="151" s="1"/>
  <c r="J101" i="151"/>
  <c r="K101" i="151" s="1"/>
  <c r="H100" i="151"/>
  <c r="I100" i="151" s="1"/>
  <c r="J95" i="151"/>
  <c r="K95" i="151" s="1"/>
  <c r="H94" i="151"/>
  <c r="I94" i="151" s="1"/>
  <c r="J89" i="151"/>
  <c r="K89" i="151" s="1"/>
  <c r="J83" i="151"/>
  <c r="K83" i="151" s="1"/>
  <c r="J77" i="151"/>
  <c r="K77" i="151" s="1"/>
  <c r="J71" i="151"/>
  <c r="K71" i="151" s="1"/>
  <c r="J65" i="151"/>
  <c r="K65" i="151" s="1"/>
  <c r="H64" i="151"/>
  <c r="I64" i="151" s="1"/>
  <c r="J59" i="151"/>
  <c r="K59" i="151" s="1"/>
  <c r="H58" i="151"/>
  <c r="I58" i="151" s="1"/>
  <c r="J53" i="151"/>
  <c r="K53" i="151" s="1"/>
  <c r="K106" i="151" s="1" a="1"/>
  <c r="K106" i="151" s="1"/>
  <c r="J38" i="151"/>
  <c r="K38" i="151" s="1"/>
  <c r="N92" i="151"/>
  <c r="O92" i="151" s="1"/>
  <c r="N86" i="151"/>
  <c r="O86" i="151" s="1"/>
  <c r="H77" i="151"/>
  <c r="I77" i="151" s="1"/>
  <c r="H71" i="151"/>
  <c r="I71" i="151" s="1"/>
  <c r="H65" i="151"/>
  <c r="I65" i="151" s="1"/>
  <c r="H59" i="151"/>
  <c r="I59" i="151" s="1"/>
  <c r="H53" i="151"/>
  <c r="I53" i="151" s="1"/>
  <c r="I106" i="151" s="1" a="1"/>
  <c r="I106" i="151" s="1"/>
  <c r="N50" i="151"/>
  <c r="O50" i="151" s="1"/>
  <c r="H38" i="151"/>
  <c r="I38" i="151" s="1"/>
  <c r="N71" i="150"/>
  <c r="O71" i="150" s="1"/>
  <c r="L71" i="150"/>
  <c r="M71" i="150" s="1"/>
  <c r="J71" i="150"/>
  <c r="K71" i="150" s="1"/>
  <c r="N82" i="150"/>
  <c r="O82" i="150" s="1"/>
  <c r="L82" i="150"/>
  <c r="M82" i="150" s="1"/>
  <c r="J82" i="150"/>
  <c r="K82" i="150" s="1"/>
  <c r="H82" i="150"/>
  <c r="I82" i="150" s="1"/>
  <c r="G71" i="150"/>
  <c r="G82" i="150"/>
  <c r="H71" i="150"/>
  <c r="I71" i="150" s="1"/>
  <c r="N83" i="150"/>
  <c r="O83" i="150" s="1"/>
  <c r="L83" i="150"/>
  <c r="M83" i="150" s="1"/>
  <c r="J83" i="150"/>
  <c r="K83" i="150" s="1"/>
  <c r="H83" i="150"/>
  <c r="I83" i="150" s="1"/>
  <c r="N95" i="150"/>
  <c r="O95" i="150" s="1"/>
  <c r="L95" i="150"/>
  <c r="M95" i="150" s="1"/>
  <c r="J95" i="150"/>
  <c r="K95" i="150" s="1"/>
  <c r="G53" i="150"/>
  <c r="L57" i="150"/>
  <c r="M57" i="150" s="1"/>
  <c r="J57" i="150"/>
  <c r="K57" i="150" s="1"/>
  <c r="H57" i="150"/>
  <c r="I57" i="150" s="1"/>
  <c r="I100" i="150" s="1" a="1"/>
  <c r="G57" i="150"/>
  <c r="N65" i="150"/>
  <c r="O65" i="150" s="1"/>
  <c r="L65" i="150"/>
  <c r="M65" i="150" s="1"/>
  <c r="J65" i="150"/>
  <c r="K65" i="150" s="1"/>
  <c r="L76" i="150"/>
  <c r="M76" i="150" s="1"/>
  <c r="N76" i="150"/>
  <c r="O76" i="150" s="1"/>
  <c r="J76" i="150"/>
  <c r="K76" i="150" s="1"/>
  <c r="H76" i="150"/>
  <c r="I76" i="150" s="1"/>
  <c r="G95" i="150"/>
  <c r="N52" i="150"/>
  <c r="O52" i="150" s="1"/>
  <c r="L52" i="150"/>
  <c r="M52" i="150" s="1"/>
  <c r="J52" i="150"/>
  <c r="K52" i="150" s="1"/>
  <c r="G52" i="150"/>
  <c r="N57" i="150"/>
  <c r="O57" i="150" s="1"/>
  <c r="G65" i="150"/>
  <c r="G76" i="150"/>
  <c r="H95" i="150"/>
  <c r="I95" i="150" s="1"/>
  <c r="N53" i="150"/>
  <c r="O53" i="150" s="1"/>
  <c r="L53" i="150"/>
  <c r="M53" i="150" s="1"/>
  <c r="J53" i="150"/>
  <c r="K53" i="150" s="1"/>
  <c r="L58" i="150"/>
  <c r="M58" i="150" s="1"/>
  <c r="N58" i="150"/>
  <c r="O58" i="150" s="1"/>
  <c r="J58" i="150"/>
  <c r="K58" i="150" s="1"/>
  <c r="H58" i="150"/>
  <c r="I58" i="150" s="1"/>
  <c r="N94" i="150"/>
  <c r="O94" i="150" s="1"/>
  <c r="L94" i="150"/>
  <c r="M94" i="150" s="1"/>
  <c r="J94" i="150"/>
  <c r="K94" i="150" s="1"/>
  <c r="H94" i="150"/>
  <c r="I94" i="150" s="1"/>
  <c r="G83" i="150"/>
  <c r="N77" i="150"/>
  <c r="O77" i="150" s="1"/>
  <c r="L77" i="150"/>
  <c r="M77" i="150" s="1"/>
  <c r="J77" i="150"/>
  <c r="K77" i="150" s="1"/>
  <c r="N88" i="150"/>
  <c r="O88" i="150" s="1"/>
  <c r="L88" i="150"/>
  <c r="M88" i="150" s="1"/>
  <c r="J88" i="150"/>
  <c r="K88" i="150" s="1"/>
  <c r="H88" i="150"/>
  <c r="I88" i="150" s="1"/>
  <c r="G58" i="150"/>
  <c r="H77" i="150"/>
  <c r="I77" i="150" s="1"/>
  <c r="N89" i="150"/>
  <c r="O89" i="150" s="1"/>
  <c r="L89" i="150"/>
  <c r="M89" i="150" s="1"/>
  <c r="J89" i="150"/>
  <c r="K89" i="150" s="1"/>
  <c r="L64" i="150"/>
  <c r="M64" i="150" s="1"/>
  <c r="N64" i="150"/>
  <c r="O64" i="150" s="1"/>
  <c r="J64" i="150"/>
  <c r="K64" i="150" s="1"/>
  <c r="H64" i="150"/>
  <c r="I64" i="150" s="1"/>
  <c r="J48" i="150"/>
  <c r="K48" i="150" s="1"/>
  <c r="L48" i="150"/>
  <c r="M48" i="150" s="1"/>
  <c r="H48" i="150"/>
  <c r="I48" i="150" s="1"/>
  <c r="G48" i="150"/>
  <c r="N59" i="150"/>
  <c r="O59" i="150" s="1"/>
  <c r="L59" i="150"/>
  <c r="M59" i="150" s="1"/>
  <c r="J59" i="150"/>
  <c r="K59" i="150" s="1"/>
  <c r="L70" i="150"/>
  <c r="M70" i="150" s="1"/>
  <c r="N70" i="150"/>
  <c r="O70" i="150" s="1"/>
  <c r="J70" i="150"/>
  <c r="K70" i="150" s="1"/>
  <c r="H70" i="150"/>
  <c r="I70" i="150" s="1"/>
  <c r="G89" i="150"/>
  <c r="G63" i="150"/>
  <c r="G69" i="150"/>
  <c r="G75" i="150"/>
  <c r="G81" i="150"/>
  <c r="G87" i="150"/>
  <c r="G93" i="150"/>
  <c r="G99" i="150"/>
  <c r="H63" i="150"/>
  <c r="I63" i="150" s="1"/>
  <c r="H69" i="150"/>
  <c r="I69" i="150" s="1"/>
  <c r="H75" i="150"/>
  <c r="I75" i="150" s="1"/>
  <c r="H81" i="150"/>
  <c r="I81" i="150" s="1"/>
  <c r="H87" i="150"/>
  <c r="I87" i="150" s="1"/>
  <c r="H93" i="150"/>
  <c r="I93" i="150" s="1"/>
  <c r="H99" i="150"/>
  <c r="I99" i="150" s="1"/>
  <c r="J87" i="150"/>
  <c r="K87" i="150" s="1"/>
  <c r="G40" i="150"/>
  <c r="G55" i="150"/>
  <c r="G61" i="150"/>
  <c r="G67" i="150"/>
  <c r="G73" i="150"/>
  <c r="G79" i="150"/>
  <c r="G85" i="150"/>
  <c r="G91" i="150"/>
  <c r="G97" i="150"/>
  <c r="J69" i="150"/>
  <c r="K69" i="150" s="1"/>
  <c r="J75" i="150"/>
  <c r="K75" i="150" s="1"/>
  <c r="J81" i="150"/>
  <c r="K81" i="150" s="1"/>
  <c r="J99" i="150"/>
  <c r="K99" i="150" s="1"/>
  <c r="L63" i="150"/>
  <c r="M63" i="150" s="1"/>
  <c r="L93" i="150"/>
  <c r="M93" i="150" s="1"/>
  <c r="N65" i="149"/>
  <c r="O65" i="149" s="1"/>
  <c r="N71" i="149"/>
  <c r="O71" i="149" s="1"/>
  <c r="G48" i="149"/>
  <c r="G54" i="149"/>
  <c r="G66" i="149"/>
  <c r="J49" i="149"/>
  <c r="K49" i="149" s="1"/>
  <c r="G47" i="149"/>
  <c r="G53" i="149"/>
  <c r="G59" i="149"/>
  <c r="G65" i="149"/>
  <c r="J66" i="149"/>
  <c r="K66" i="149" s="1"/>
  <c r="H71" i="149"/>
  <c r="I71" i="149" s="1"/>
  <c r="G43" i="149"/>
  <c r="G58" i="149"/>
  <c r="G64" i="149"/>
  <c r="G70" i="149"/>
  <c r="G60" i="149"/>
  <c r="J55" i="149"/>
  <c r="K55" i="149" s="1"/>
  <c r="H60" i="149"/>
  <c r="I60" i="149" s="1"/>
  <c r="J67" i="149"/>
  <c r="K67" i="149" s="1"/>
  <c r="J48" i="149"/>
  <c r="K48" i="149" s="1"/>
  <c r="H53" i="149"/>
  <c r="I53" i="149" s="1"/>
  <c r="H43" i="149"/>
  <c r="I43" i="149" s="1"/>
  <c r="J47" i="149"/>
  <c r="K47" i="149" s="1"/>
  <c r="L48" i="149"/>
  <c r="M48" i="149" s="1"/>
  <c r="N49" i="149"/>
  <c r="O49" i="149" s="1"/>
  <c r="J53" i="149"/>
  <c r="K53" i="149" s="1"/>
  <c r="L54" i="149"/>
  <c r="M54" i="149" s="1"/>
  <c r="N55" i="149"/>
  <c r="O55" i="149" s="1"/>
  <c r="H58" i="149"/>
  <c r="I58" i="149" s="1"/>
  <c r="J59" i="149"/>
  <c r="K59" i="149" s="1"/>
  <c r="L60" i="149"/>
  <c r="M60" i="149" s="1"/>
  <c r="N61" i="149"/>
  <c r="O61" i="149" s="1"/>
  <c r="H64" i="149"/>
  <c r="I64" i="149" s="1"/>
  <c r="J65" i="149"/>
  <c r="K65" i="149" s="1"/>
  <c r="L66" i="149"/>
  <c r="M66" i="149" s="1"/>
  <c r="N67" i="149"/>
  <c r="O67" i="149" s="1"/>
  <c r="H70" i="149"/>
  <c r="I70" i="149" s="1"/>
  <c r="J71" i="149"/>
  <c r="K71" i="149" s="1"/>
  <c r="H48" i="149"/>
  <c r="I48" i="149" s="1"/>
  <c r="J61" i="149"/>
  <c r="K61" i="149" s="1"/>
  <c r="J60" i="149"/>
  <c r="K60" i="149" s="1"/>
  <c r="G39" i="149"/>
  <c r="G51" i="149"/>
  <c r="G57" i="149"/>
  <c r="G63" i="149"/>
  <c r="G69" i="149"/>
  <c r="H54" i="149"/>
  <c r="I54" i="149" s="1"/>
  <c r="H66" i="149"/>
  <c r="I66" i="149" s="1"/>
  <c r="G71" i="149"/>
  <c r="H47" i="149"/>
  <c r="I47" i="149" s="1"/>
  <c r="J54" i="149"/>
  <c r="K54" i="149" s="1"/>
  <c r="H59" i="149"/>
  <c r="I59" i="149" s="1"/>
  <c r="H65" i="149"/>
  <c r="I65" i="149" s="1"/>
  <c r="H66" i="148"/>
  <c r="I66" i="148" s="1"/>
  <c r="L66" i="148"/>
  <c r="M66" i="148" s="1"/>
  <c r="J66" i="148"/>
  <c r="K66" i="148" s="1"/>
  <c r="N66" i="148"/>
  <c r="O66" i="148" s="1"/>
  <c r="L54" i="148"/>
  <c r="M54" i="148" s="1"/>
  <c r="N54" i="148"/>
  <c r="O54" i="148" s="1"/>
  <c r="J54" i="148"/>
  <c r="K54" i="148" s="1"/>
  <c r="H54" i="148"/>
  <c r="I54" i="148" s="1"/>
  <c r="G54" i="148"/>
  <c r="H60" i="148"/>
  <c r="I60" i="148" s="1"/>
  <c r="L60" i="148"/>
  <c r="M60" i="148" s="1"/>
  <c r="J60" i="148"/>
  <c r="K60" i="148" s="1"/>
  <c r="N60" i="148"/>
  <c r="O60" i="148" s="1"/>
  <c r="G60" i="148"/>
  <c r="L72" i="148"/>
  <c r="M72" i="148" s="1"/>
  <c r="H72" i="148"/>
  <c r="I72" i="148" s="1"/>
  <c r="N72" i="148"/>
  <c r="O72" i="148" s="1"/>
  <c r="J72" i="148"/>
  <c r="K72" i="148" s="1"/>
  <c r="G72" i="148"/>
  <c r="H49" i="148"/>
  <c r="I49" i="148" s="1"/>
  <c r="J49" i="148"/>
  <c r="K49" i="148" s="1"/>
  <c r="N49" i="148"/>
  <c r="O49" i="148" s="1"/>
  <c r="L49" i="148"/>
  <c r="M49" i="148" s="1"/>
  <c r="G66" i="148"/>
  <c r="H58" i="148"/>
  <c r="I58" i="148" s="1"/>
  <c r="J65" i="148"/>
  <c r="K65" i="148" s="1"/>
  <c r="G63" i="148"/>
  <c r="H43" i="148"/>
  <c r="I43" i="148" s="1"/>
  <c r="J47" i="148"/>
  <c r="K47" i="148" s="1"/>
  <c r="L48" i="148"/>
  <c r="M48" i="148" s="1"/>
  <c r="H52" i="148"/>
  <c r="I52" i="148" s="1"/>
  <c r="L53" i="148"/>
  <c r="M53" i="148" s="1"/>
  <c r="H57" i="148"/>
  <c r="I57" i="148" s="1"/>
  <c r="J58" i="148"/>
  <c r="K58" i="148" s="1"/>
  <c r="L59" i="148"/>
  <c r="M59" i="148" s="1"/>
  <c r="H63" i="148"/>
  <c r="I63" i="148" s="1"/>
  <c r="J64" i="148"/>
  <c r="K64" i="148" s="1"/>
  <c r="L65" i="148"/>
  <c r="M65" i="148" s="1"/>
  <c r="H69" i="148"/>
  <c r="I69" i="148" s="1"/>
  <c r="J70" i="148"/>
  <c r="K70" i="148" s="1"/>
  <c r="L71" i="148"/>
  <c r="M71" i="148" s="1"/>
  <c r="H71" i="148"/>
  <c r="I71" i="148" s="1"/>
  <c r="G47" i="148"/>
  <c r="G70" i="148"/>
  <c r="H64" i="148"/>
  <c r="I64" i="148" s="1"/>
  <c r="H70" i="148"/>
  <c r="I70" i="148" s="1"/>
  <c r="G52" i="148"/>
  <c r="G48" i="148"/>
  <c r="G71" i="148"/>
  <c r="H65" i="148"/>
  <c r="I65" i="148" s="1"/>
  <c r="J48" i="148"/>
  <c r="K48" i="148" s="1"/>
  <c r="J53" i="148"/>
  <c r="K53" i="148" s="1"/>
  <c r="G69" i="148"/>
  <c r="J43" i="148"/>
  <c r="K43" i="148" s="1"/>
  <c r="L47" i="148"/>
  <c r="M47" i="148" s="1"/>
  <c r="N48" i="148"/>
  <c r="O48" i="148" s="1"/>
  <c r="N53" i="148"/>
  <c r="O53" i="148" s="1"/>
  <c r="J57" i="148"/>
  <c r="K57" i="148" s="1"/>
  <c r="L58" i="148"/>
  <c r="M58" i="148" s="1"/>
  <c r="N59" i="148"/>
  <c r="O59" i="148" s="1"/>
  <c r="L64" i="148"/>
  <c r="M64" i="148" s="1"/>
  <c r="N65" i="148"/>
  <c r="O65" i="148" s="1"/>
  <c r="N71" i="148"/>
  <c r="O71" i="148" s="1"/>
  <c r="G53" i="148"/>
  <c r="G59" i="148"/>
  <c r="H59" i="148"/>
  <c r="I59" i="148" s="1"/>
  <c r="M72" i="149" l="1" a="1"/>
  <c r="O72" i="149" a="1"/>
  <c r="O72" i="149" s="1"/>
  <c r="M73" i="148" a="1"/>
  <c r="O73" i="148" a="1"/>
  <c r="O73" i="148" s="1"/>
  <c r="I73" i="148" a="1"/>
  <c r="I73" i="148" s="1"/>
  <c r="M72" i="149"/>
  <c r="O112" i="158"/>
  <c r="M73" i="148"/>
  <c r="M112" i="158"/>
  <c r="I112" i="158"/>
  <c r="I100" i="150"/>
  <c r="I94" i="163" a="1"/>
  <c r="I94" i="163" s="1"/>
  <c r="K94" i="163" a="1"/>
  <c r="K94" i="163" s="1"/>
  <c r="G94" i="163" a="1"/>
  <c r="G94" i="163" s="1"/>
  <c r="O94" i="163" a="1"/>
  <c r="O94" i="163" s="1"/>
  <c r="G91" i="162" a="1"/>
  <c r="G91" i="162" s="1"/>
  <c r="K112" i="160" a="1"/>
  <c r="K112" i="160" s="1"/>
  <c r="M112" i="160" a="1"/>
  <c r="M112" i="160" s="1"/>
  <c r="G112" i="160" a="1"/>
  <c r="G112" i="160" s="1"/>
  <c r="O112" i="160" a="1"/>
  <c r="O112" i="160" s="1"/>
  <c r="G112" i="159" a="1"/>
  <c r="G112" i="159" s="1"/>
  <c r="I112" i="159" a="1"/>
  <c r="I112" i="159" s="1"/>
  <c r="K112" i="159" a="1"/>
  <c r="K112" i="159" s="1"/>
  <c r="G112" i="158" a="1"/>
  <c r="G112" i="158" s="1"/>
  <c r="I101" i="157" a="1"/>
  <c r="I101" i="157" s="1"/>
  <c r="M101" i="157" a="1"/>
  <c r="M101" i="157" s="1"/>
  <c r="K101" i="157" a="1"/>
  <c r="K101" i="157" s="1"/>
  <c r="G101" i="157" a="1"/>
  <c r="G101" i="157" s="1"/>
  <c r="K103" i="155" a="1"/>
  <c r="K103" i="155" s="1"/>
  <c r="M103" i="155" a="1"/>
  <c r="M103" i="155" s="1"/>
  <c r="G103" i="155" a="1"/>
  <c r="G103" i="155" s="1"/>
  <c r="I103" i="155" a="1"/>
  <c r="I103" i="155" s="1"/>
  <c r="O103" i="155" a="1"/>
  <c r="O103" i="155" s="1"/>
  <c r="I102" i="154" a="1"/>
  <c r="I102" i="154" s="1"/>
  <c r="M102" i="154" a="1"/>
  <c r="M102" i="154" s="1"/>
  <c r="K102" i="154" a="1"/>
  <c r="K102" i="154" s="1"/>
  <c r="G102" i="154" a="1"/>
  <c r="G102" i="154" s="1"/>
  <c r="O102" i="154" a="1"/>
  <c r="O102" i="154" s="1"/>
  <c r="O100" i="153" a="1"/>
  <c r="O100" i="153" s="1"/>
  <c r="I106" i="152" a="1"/>
  <c r="I106" i="152" s="1"/>
  <c r="O106" i="151" a="1"/>
  <c r="O106" i="151" s="1"/>
  <c r="G100" i="150" a="1"/>
  <c r="G100" i="150" s="1"/>
  <c r="M100" i="150" a="1"/>
  <c r="M100" i="150" s="1"/>
  <c r="K100" i="150" a="1"/>
  <c r="K100" i="150" s="1"/>
  <c r="O100" i="150" a="1"/>
  <c r="O100" i="150" s="1"/>
  <c r="K72" i="149" a="1"/>
  <c r="K72" i="149" s="1"/>
  <c r="G72" i="149" a="1"/>
  <c r="G72" i="149" s="1"/>
  <c r="I72" i="149" a="1"/>
  <c r="I72" i="149" s="1"/>
  <c r="K73" i="148" a="1"/>
  <c r="K73" i="148" s="1"/>
  <c r="G73" i="148" a="1"/>
  <c r="G73" i="148" s="1"/>
  <c r="K32" i="106" l="1"/>
  <c r="I52" i="100"/>
  <c r="J52" i="100"/>
  <c r="I49" i="100"/>
  <c r="J49" i="100"/>
  <c r="I45" i="100"/>
  <c r="J45" i="100"/>
  <c r="I44" i="100"/>
  <c r="J44" i="100"/>
  <c r="I42" i="100"/>
  <c r="J17" i="93"/>
  <c r="I38" i="115"/>
  <c r="F111" i="59"/>
  <c r="H111" i="59"/>
  <c r="L110" i="59"/>
  <c r="M110" i="59"/>
  <c r="J110" i="59"/>
  <c r="K110" i="59"/>
  <c r="F110" i="59"/>
  <c r="G110" i="59"/>
  <c r="N109" i="59"/>
  <c r="O109" i="59"/>
  <c r="F109" i="59"/>
  <c r="H109" i="59"/>
  <c r="L108" i="59"/>
  <c r="M108" i="59"/>
  <c r="H108" i="59"/>
  <c r="I108" i="59"/>
  <c r="F108" i="59"/>
  <c r="G108" i="59"/>
  <c r="F107" i="59"/>
  <c r="H107" i="59"/>
  <c r="F106" i="59"/>
  <c r="G106" i="59"/>
  <c r="F105" i="59"/>
  <c r="H105" i="59"/>
  <c r="L104" i="59"/>
  <c r="M104" i="59"/>
  <c r="F104" i="59"/>
  <c r="G104" i="59"/>
  <c r="F103" i="59"/>
  <c r="H103" i="59"/>
  <c r="H102" i="59"/>
  <c r="I102" i="59"/>
  <c r="F102" i="59"/>
  <c r="G102" i="59"/>
  <c r="F101" i="59"/>
  <c r="H101" i="59"/>
  <c r="H100" i="59"/>
  <c r="I100" i="59"/>
  <c r="F100" i="59"/>
  <c r="G100" i="59"/>
  <c r="F99" i="59"/>
  <c r="H99" i="59"/>
  <c r="N98" i="59"/>
  <c r="O98" i="59"/>
  <c r="H98" i="59"/>
  <c r="I98" i="59"/>
  <c r="F98" i="59"/>
  <c r="G98" i="59"/>
  <c r="F97" i="59"/>
  <c r="H97" i="59"/>
  <c r="L96" i="59"/>
  <c r="M96" i="59"/>
  <c r="J96" i="59"/>
  <c r="K96" i="59"/>
  <c r="H96" i="59"/>
  <c r="I96" i="59"/>
  <c r="F96" i="59"/>
  <c r="G96" i="59"/>
  <c r="F95" i="59"/>
  <c r="H95" i="59"/>
  <c r="J94" i="59"/>
  <c r="K94" i="59"/>
  <c r="F94" i="59"/>
  <c r="L94" i="59"/>
  <c r="M94" i="59"/>
  <c r="F93" i="59"/>
  <c r="H93" i="59"/>
  <c r="F92" i="59"/>
  <c r="L92" i="59"/>
  <c r="M92" i="59"/>
  <c r="F91" i="59"/>
  <c r="H91" i="59"/>
  <c r="F90" i="59"/>
  <c r="L90" i="59"/>
  <c r="M90" i="59"/>
  <c r="F89" i="59"/>
  <c r="H89" i="59"/>
  <c r="F88" i="59"/>
  <c r="L88" i="59"/>
  <c r="M88" i="59"/>
  <c r="F87" i="59"/>
  <c r="H87" i="59"/>
  <c r="F86" i="59"/>
  <c r="L86" i="59"/>
  <c r="M86" i="59"/>
  <c r="F85" i="59"/>
  <c r="H85" i="59"/>
  <c r="F84" i="59"/>
  <c r="L84" i="59"/>
  <c r="M84" i="59"/>
  <c r="F83" i="59"/>
  <c r="H83" i="59"/>
  <c r="J82" i="59"/>
  <c r="K82" i="59"/>
  <c r="F82" i="59"/>
  <c r="L82" i="59"/>
  <c r="M82" i="59"/>
  <c r="F81" i="59"/>
  <c r="H81" i="59"/>
  <c r="J80" i="59"/>
  <c r="K80" i="59"/>
  <c r="F80" i="59"/>
  <c r="L80" i="59"/>
  <c r="M80" i="59"/>
  <c r="F79" i="59"/>
  <c r="H79" i="59"/>
  <c r="J78" i="59"/>
  <c r="K78" i="59"/>
  <c r="F78" i="59"/>
  <c r="L78" i="59"/>
  <c r="M78" i="59"/>
  <c r="F77" i="59"/>
  <c r="H77" i="59"/>
  <c r="F76" i="59"/>
  <c r="L76" i="59"/>
  <c r="M76" i="59"/>
  <c r="F75" i="59"/>
  <c r="H75" i="59"/>
  <c r="F74" i="59"/>
  <c r="L74" i="59"/>
  <c r="M74" i="59"/>
  <c r="F73" i="59"/>
  <c r="H73" i="59"/>
  <c r="F72" i="59"/>
  <c r="L72" i="59"/>
  <c r="M72" i="59"/>
  <c r="F71" i="59"/>
  <c r="H71" i="59"/>
  <c r="F164" i="41"/>
  <c r="F163" i="41"/>
  <c r="J163" i="41"/>
  <c r="K163" i="41"/>
  <c r="F136" i="41"/>
  <c r="F135" i="41"/>
  <c r="J135" i="41"/>
  <c r="K135" i="41"/>
  <c r="F129" i="41"/>
  <c r="L129" i="41"/>
  <c r="M129" i="41"/>
  <c r="F34" i="41"/>
  <c r="N165" i="41"/>
  <c r="O165" i="41"/>
  <c r="F165" i="41"/>
  <c r="L165" i="41"/>
  <c r="M165" i="41"/>
  <c r="F115" i="41"/>
  <c r="N115" i="41"/>
  <c r="O115" i="41"/>
  <c r="F128" i="41"/>
  <c r="L128" i="41"/>
  <c r="M128" i="41"/>
  <c r="F158" i="41"/>
  <c r="F33" i="41"/>
  <c r="L33" i="41"/>
  <c r="M33" i="41"/>
  <c r="J116" i="41"/>
  <c r="K116" i="41"/>
  <c r="F116" i="41"/>
  <c r="N116" i="41"/>
  <c r="O116" i="41"/>
  <c r="F133" i="41"/>
  <c r="L133" i="41"/>
  <c r="M133" i="41"/>
  <c r="F141" i="41"/>
  <c r="F151" i="41"/>
  <c r="L151" i="41"/>
  <c r="M151" i="41"/>
  <c r="F162" i="41"/>
  <c r="J162" i="41"/>
  <c r="K162" i="41"/>
  <c r="P159" i="41"/>
  <c r="Q159" i="41"/>
  <c r="N159" i="41"/>
  <c r="O159" i="41"/>
  <c r="L159" i="41"/>
  <c r="M159" i="41"/>
  <c r="H159" i="41"/>
  <c r="I159" i="41"/>
  <c r="F159" i="41"/>
  <c r="G159" i="41"/>
  <c r="F56" i="41"/>
  <c r="G56" i="41"/>
  <c r="F95" i="41"/>
  <c r="P95" i="41"/>
  <c r="Q95" i="41"/>
  <c r="F118" i="41"/>
  <c r="G118" i="41"/>
  <c r="F100" i="41"/>
  <c r="N100" i="41"/>
  <c r="O100" i="41"/>
  <c r="F150" i="41"/>
  <c r="G150" i="41"/>
  <c r="G113" i="41"/>
  <c r="F113" i="41"/>
  <c r="N113" i="41"/>
  <c r="O113" i="41"/>
  <c r="F155" i="41"/>
  <c r="L155" i="41"/>
  <c r="M155" i="41"/>
  <c r="F124" i="41"/>
  <c r="N124" i="41"/>
  <c r="O124" i="41"/>
  <c r="F32" i="41"/>
  <c r="N32" i="41"/>
  <c r="O32" i="41"/>
  <c r="L157" i="41"/>
  <c r="M157" i="41"/>
  <c r="F157" i="41"/>
  <c r="P157" i="41"/>
  <c r="Q157" i="41"/>
  <c r="F79" i="41"/>
  <c r="G79" i="41"/>
  <c r="N154" i="41"/>
  <c r="O154" i="41"/>
  <c r="F154" i="41"/>
  <c r="P154" i="41"/>
  <c r="Q154" i="41"/>
  <c r="F167" i="41"/>
  <c r="J167" i="41"/>
  <c r="K167" i="41"/>
  <c r="F149" i="41"/>
  <c r="J149" i="41"/>
  <c r="K149" i="41"/>
  <c r="F123" i="41"/>
  <c r="L123" i="41"/>
  <c r="M123" i="41"/>
  <c r="F153" i="41"/>
  <c r="N153" i="41"/>
  <c r="O153" i="41"/>
  <c r="F94" i="41"/>
  <c r="N94" i="41"/>
  <c r="O94" i="41"/>
  <c r="G134" i="41"/>
  <c r="F134" i="41"/>
  <c r="P134" i="41"/>
  <c r="Q134" i="41"/>
  <c r="L152" i="41"/>
  <c r="M152" i="41"/>
  <c r="F152" i="41"/>
  <c r="G152" i="41"/>
  <c r="J78" i="41"/>
  <c r="K78" i="41"/>
  <c r="H78" i="41"/>
  <c r="I78" i="41"/>
  <c r="G78" i="41"/>
  <c r="F78" i="41"/>
  <c r="P78" i="41"/>
  <c r="Q78" i="41"/>
  <c r="F140" i="41"/>
  <c r="J140" i="41"/>
  <c r="K140" i="41"/>
  <c r="F132" i="41"/>
  <c r="G132" i="41"/>
  <c r="F98" i="41"/>
  <c r="N98" i="41"/>
  <c r="O98" i="41"/>
  <c r="N72" i="41"/>
  <c r="O72" i="41"/>
  <c r="L72" i="41"/>
  <c r="M72" i="41"/>
  <c r="F72" i="41"/>
  <c r="H72" i="41"/>
  <c r="I72" i="41"/>
  <c r="J40" i="19"/>
  <c r="K40" i="19"/>
  <c r="K39" i="19"/>
  <c r="J39" i="19"/>
  <c r="J38" i="19"/>
  <c r="K38" i="19"/>
  <c r="K37" i="19"/>
  <c r="J37" i="19"/>
  <c r="N73" i="59"/>
  <c r="O73" i="59"/>
  <c r="J88" i="59"/>
  <c r="K88" i="59"/>
  <c r="J100" i="59"/>
  <c r="K100" i="59"/>
  <c r="H106" i="59"/>
  <c r="I106" i="59"/>
  <c r="J86" i="59"/>
  <c r="K86" i="59"/>
  <c r="L100" i="59"/>
  <c r="M100" i="59"/>
  <c r="J106" i="59"/>
  <c r="K106" i="59"/>
  <c r="J76" i="59"/>
  <c r="K76" i="59"/>
  <c r="J74" i="59"/>
  <c r="K74" i="59"/>
  <c r="J84" i="59"/>
  <c r="K84" i="59"/>
  <c r="J98" i="59"/>
  <c r="K98" i="59"/>
  <c r="P100" i="59"/>
  <c r="Q100" i="59"/>
  <c r="H104" i="59"/>
  <c r="I104" i="59"/>
  <c r="L106" i="59"/>
  <c r="M106" i="59"/>
  <c r="L102" i="59"/>
  <c r="M102" i="59"/>
  <c r="J90" i="59"/>
  <c r="K90" i="59"/>
  <c r="L98" i="59"/>
  <c r="M98" i="59"/>
  <c r="J104" i="59"/>
  <c r="K104" i="59"/>
  <c r="H110" i="59"/>
  <c r="I110" i="59"/>
  <c r="J72" i="59"/>
  <c r="K72" i="59"/>
  <c r="N76" i="59"/>
  <c r="O76" i="59"/>
  <c r="J92" i="59"/>
  <c r="K92" i="59"/>
  <c r="J102" i="59"/>
  <c r="K102" i="59"/>
  <c r="N105" i="59"/>
  <c r="O105" i="59"/>
  <c r="J108" i="59"/>
  <c r="K108" i="59"/>
  <c r="G133" i="41"/>
  <c r="J132" i="41"/>
  <c r="K132" i="41"/>
  <c r="N155" i="41"/>
  <c r="O155" i="41"/>
  <c r="P133" i="41"/>
  <c r="Q133" i="41"/>
  <c r="L135" i="41"/>
  <c r="M135" i="41"/>
  <c r="L132" i="41"/>
  <c r="M132" i="41"/>
  <c r="H152" i="41"/>
  <c r="I152" i="41"/>
  <c r="G157" i="41"/>
  <c r="P155" i="41"/>
  <c r="Q155" i="41"/>
  <c r="H56" i="41"/>
  <c r="I56" i="41"/>
  <c r="L162" i="41"/>
  <c r="M162" i="41"/>
  <c r="J115" i="41"/>
  <c r="K115" i="41"/>
  <c r="N135" i="41"/>
  <c r="O135" i="41"/>
  <c r="G128" i="41"/>
  <c r="J72" i="41"/>
  <c r="K72" i="41"/>
  <c r="N132" i="41"/>
  <c r="O132" i="41"/>
  <c r="J152" i="41"/>
  <c r="K152" i="41"/>
  <c r="J157" i="41"/>
  <c r="K157" i="41"/>
  <c r="N162" i="41"/>
  <c r="O162" i="41"/>
  <c r="G154" i="41"/>
  <c r="J159" i="41"/>
  <c r="K159" i="41"/>
  <c r="H132" i="41"/>
  <c r="I132" i="41"/>
  <c r="H79" i="41"/>
  <c r="I79" i="41"/>
  <c r="H155" i="41"/>
  <c r="I155" i="41"/>
  <c r="J133" i="41"/>
  <c r="K133" i="41"/>
  <c r="P128" i="41"/>
  <c r="Q128" i="41"/>
  <c r="I83" i="59"/>
  <c r="P83" i="59"/>
  <c r="Q83" i="59"/>
  <c r="I103" i="59"/>
  <c r="P103" i="59"/>
  <c r="Q103" i="59"/>
  <c r="I109" i="59"/>
  <c r="P109" i="59"/>
  <c r="Q109" i="59"/>
  <c r="I77" i="59"/>
  <c r="P77" i="59"/>
  <c r="Q77" i="59"/>
  <c r="I97" i="59"/>
  <c r="P97" i="59"/>
  <c r="Q97" i="59"/>
  <c r="I89" i="59"/>
  <c r="P89" i="59"/>
  <c r="Q89" i="59"/>
  <c r="I73" i="59"/>
  <c r="P73" i="59"/>
  <c r="Q73" i="59"/>
  <c r="I79" i="59"/>
  <c r="P79" i="59"/>
  <c r="Q79" i="59"/>
  <c r="I95" i="59"/>
  <c r="P95" i="59"/>
  <c r="Q95" i="59"/>
  <c r="I93" i="59"/>
  <c r="P93" i="59"/>
  <c r="Q93" i="59"/>
  <c r="I85" i="59"/>
  <c r="P85" i="59"/>
  <c r="Q85" i="59"/>
  <c r="I101" i="59"/>
  <c r="P101" i="59"/>
  <c r="Q101" i="59"/>
  <c r="I107" i="59"/>
  <c r="P107" i="59"/>
  <c r="Q107" i="59"/>
  <c r="I71" i="59"/>
  <c r="P71" i="59"/>
  <c r="Q71" i="59"/>
  <c r="I91" i="59"/>
  <c r="P91" i="59"/>
  <c r="Q91" i="59"/>
  <c r="I75" i="59"/>
  <c r="P75" i="59"/>
  <c r="Q75" i="59"/>
  <c r="I81" i="59"/>
  <c r="P81" i="59"/>
  <c r="Q81" i="59"/>
  <c r="I99" i="59"/>
  <c r="P99" i="59"/>
  <c r="Q99" i="59"/>
  <c r="I105" i="59"/>
  <c r="P105" i="59"/>
  <c r="Q105" i="59"/>
  <c r="I87" i="59"/>
  <c r="P87" i="59"/>
  <c r="Q87" i="59"/>
  <c r="I111" i="59"/>
  <c r="P111" i="59"/>
  <c r="Q111" i="59"/>
  <c r="N71" i="59"/>
  <c r="O71" i="59"/>
  <c r="N75" i="59"/>
  <c r="O75" i="59"/>
  <c r="N77" i="59"/>
  <c r="O77" i="59"/>
  <c r="N85" i="59"/>
  <c r="O85" i="59"/>
  <c r="N93" i="59"/>
  <c r="O93" i="59"/>
  <c r="N99" i="59"/>
  <c r="O99" i="59"/>
  <c r="N74" i="59"/>
  <c r="O74" i="59"/>
  <c r="J77" i="59"/>
  <c r="K77" i="59"/>
  <c r="J81" i="59"/>
  <c r="K81" i="59"/>
  <c r="N86" i="59"/>
  <c r="O86" i="59"/>
  <c r="J87" i="59"/>
  <c r="K87" i="59"/>
  <c r="N88" i="59"/>
  <c r="O88" i="59"/>
  <c r="J91" i="59"/>
  <c r="K91" i="59"/>
  <c r="N92" i="59"/>
  <c r="O92" i="59"/>
  <c r="J93" i="59"/>
  <c r="K93" i="59"/>
  <c r="N94" i="59"/>
  <c r="O94" i="59"/>
  <c r="J95" i="59"/>
  <c r="K95" i="59"/>
  <c r="N96" i="59"/>
  <c r="O96" i="59"/>
  <c r="J97" i="59"/>
  <c r="K97" i="59"/>
  <c r="J99" i="59"/>
  <c r="K99" i="59"/>
  <c r="N100" i="59"/>
  <c r="O100" i="59"/>
  <c r="J101" i="59"/>
  <c r="K101" i="59"/>
  <c r="N102" i="59"/>
  <c r="O102" i="59"/>
  <c r="J103" i="59"/>
  <c r="K103" i="59"/>
  <c r="N104" i="59"/>
  <c r="O104" i="59"/>
  <c r="J105" i="59"/>
  <c r="K105" i="59"/>
  <c r="N106" i="59"/>
  <c r="O106" i="59"/>
  <c r="J107" i="59"/>
  <c r="K107" i="59"/>
  <c r="N108" i="59"/>
  <c r="O108" i="59"/>
  <c r="J109" i="59"/>
  <c r="K109" i="59"/>
  <c r="N110" i="59"/>
  <c r="O110" i="59"/>
  <c r="J111" i="59"/>
  <c r="K111" i="59"/>
  <c r="N78" i="59"/>
  <c r="O78" i="59"/>
  <c r="J79" i="59"/>
  <c r="K79" i="59"/>
  <c r="N80" i="59"/>
  <c r="O80" i="59"/>
  <c r="N82" i="59"/>
  <c r="O82" i="59"/>
  <c r="J83" i="59"/>
  <c r="K83" i="59"/>
  <c r="N84" i="59"/>
  <c r="O84" i="59"/>
  <c r="J85" i="59"/>
  <c r="K85" i="59"/>
  <c r="J89" i="59"/>
  <c r="K89" i="59"/>
  <c r="N90" i="59"/>
  <c r="O90" i="59"/>
  <c r="G72" i="59"/>
  <c r="G74" i="59"/>
  <c r="G76" i="59"/>
  <c r="G78" i="59"/>
  <c r="G80" i="59"/>
  <c r="G82" i="59"/>
  <c r="G84" i="59"/>
  <c r="G86" i="59"/>
  <c r="G88" i="59"/>
  <c r="G90" i="59"/>
  <c r="G92" i="59"/>
  <c r="G94" i="59"/>
  <c r="N101" i="59"/>
  <c r="O101" i="59"/>
  <c r="N72" i="59"/>
  <c r="O72" i="59"/>
  <c r="J73" i="59"/>
  <c r="K73" i="59"/>
  <c r="J75" i="59"/>
  <c r="K75" i="59"/>
  <c r="L71" i="59"/>
  <c r="M71" i="59"/>
  <c r="H72" i="59"/>
  <c r="L73" i="59"/>
  <c r="M73" i="59"/>
  <c r="H74" i="59"/>
  <c r="L75" i="59"/>
  <c r="M75" i="59"/>
  <c r="H78" i="59"/>
  <c r="L79" i="59"/>
  <c r="M79" i="59"/>
  <c r="H86" i="59"/>
  <c r="L87" i="59"/>
  <c r="M87" i="59"/>
  <c r="H90" i="59"/>
  <c r="L91" i="59"/>
  <c r="M91" i="59"/>
  <c r="H92" i="59"/>
  <c r="L93" i="59"/>
  <c r="M93" i="59"/>
  <c r="H94" i="59"/>
  <c r="L95" i="59"/>
  <c r="M95" i="59"/>
  <c r="P96" i="59"/>
  <c r="Q96" i="59"/>
  <c r="L97" i="59"/>
  <c r="M97" i="59"/>
  <c r="P98" i="59"/>
  <c r="Q98" i="59"/>
  <c r="L99" i="59"/>
  <c r="M99" i="59"/>
  <c r="L101" i="59"/>
  <c r="M101" i="59"/>
  <c r="P102" i="59"/>
  <c r="Q102" i="59"/>
  <c r="L103" i="59"/>
  <c r="M103" i="59"/>
  <c r="P104" i="59"/>
  <c r="Q104" i="59"/>
  <c r="L105" i="59"/>
  <c r="M105" i="59"/>
  <c r="P106" i="59"/>
  <c r="Q106" i="59"/>
  <c r="L107" i="59"/>
  <c r="M107" i="59"/>
  <c r="P108" i="59"/>
  <c r="Q108" i="59"/>
  <c r="L109" i="59"/>
  <c r="M109" i="59"/>
  <c r="P110" i="59"/>
  <c r="Q110" i="59"/>
  <c r="L111" i="59"/>
  <c r="M111" i="59"/>
  <c r="N83" i="59"/>
  <c r="O83" i="59"/>
  <c r="N97" i="59"/>
  <c r="O97" i="59"/>
  <c r="N103" i="59"/>
  <c r="O103" i="59"/>
  <c r="J71" i="59"/>
  <c r="K71" i="59"/>
  <c r="H76" i="59"/>
  <c r="L77" i="59"/>
  <c r="M77" i="59"/>
  <c r="H80" i="59"/>
  <c r="L81" i="59"/>
  <c r="M81" i="59"/>
  <c r="H82" i="59"/>
  <c r="L83" i="59"/>
  <c r="M83" i="59"/>
  <c r="H84" i="59"/>
  <c r="L85" i="59"/>
  <c r="M85" i="59"/>
  <c r="H88" i="59"/>
  <c r="L89" i="59"/>
  <c r="M89" i="59"/>
  <c r="N79" i="59"/>
  <c r="O79" i="59"/>
  <c r="N91" i="59"/>
  <c r="O91" i="59"/>
  <c r="G75" i="59"/>
  <c r="G77" i="59"/>
  <c r="G79" i="59"/>
  <c r="G81" i="59"/>
  <c r="G83" i="59"/>
  <c r="G85" i="59"/>
  <c r="G87" i="59"/>
  <c r="G89" i="59"/>
  <c r="G91" i="59"/>
  <c r="G93" i="59"/>
  <c r="G95" i="59"/>
  <c r="G97" i="59"/>
  <c r="G99" i="59"/>
  <c r="G101" i="59"/>
  <c r="G103" i="59"/>
  <c r="G105" i="59"/>
  <c r="G107" i="59"/>
  <c r="G109" i="59"/>
  <c r="G111" i="59"/>
  <c r="N81" i="59"/>
  <c r="O81" i="59"/>
  <c r="N87" i="59"/>
  <c r="O87" i="59"/>
  <c r="N89" i="59"/>
  <c r="O89" i="59"/>
  <c r="N95" i="59"/>
  <c r="O95" i="59"/>
  <c r="N107" i="59"/>
  <c r="O107" i="59"/>
  <c r="N111" i="59"/>
  <c r="O111" i="59"/>
  <c r="G71" i="59"/>
  <c r="G73" i="59"/>
  <c r="H153" i="41"/>
  <c r="I153" i="41"/>
  <c r="H167" i="41"/>
  <c r="I167" i="41"/>
  <c r="H150" i="41"/>
  <c r="I150" i="41"/>
  <c r="J118" i="41"/>
  <c r="K118" i="41"/>
  <c r="H33" i="41"/>
  <c r="I33" i="41"/>
  <c r="J150" i="41"/>
  <c r="K150" i="41"/>
  <c r="N33" i="41"/>
  <c r="O33" i="41"/>
  <c r="P72" i="41"/>
  <c r="Q72" i="41"/>
  <c r="P132" i="41"/>
  <c r="Q132" i="41"/>
  <c r="L78" i="41"/>
  <c r="M78" i="41"/>
  <c r="H134" i="41"/>
  <c r="I134" i="41"/>
  <c r="G123" i="41"/>
  <c r="J79" i="41"/>
  <c r="K79" i="41"/>
  <c r="L150" i="41"/>
  <c r="M150" i="41"/>
  <c r="H151" i="41"/>
  <c r="I151" i="41"/>
  <c r="N78" i="41"/>
  <c r="O78" i="41"/>
  <c r="J134" i="41"/>
  <c r="K134" i="41"/>
  <c r="H123" i="41"/>
  <c r="I123" i="41"/>
  <c r="L79" i="41"/>
  <c r="M79" i="41"/>
  <c r="P150" i="41"/>
  <c r="Q150" i="41"/>
  <c r="N151" i="41"/>
  <c r="O151" i="41"/>
  <c r="L115" i="41"/>
  <c r="M115" i="41"/>
  <c r="G129" i="41"/>
  <c r="L167" i="41"/>
  <c r="M167" i="41"/>
  <c r="G72" i="41"/>
  <c r="H140" i="41"/>
  <c r="I140" i="41"/>
  <c r="N123" i="41"/>
  <c r="O123" i="41"/>
  <c r="H154" i="41"/>
  <c r="I154" i="41"/>
  <c r="H124" i="41"/>
  <c r="I124" i="41"/>
  <c r="H113" i="41"/>
  <c r="I113" i="41"/>
  <c r="P56" i="41"/>
  <c r="Q56" i="41"/>
  <c r="J129" i="41"/>
  <c r="K129" i="41"/>
  <c r="L140" i="41"/>
  <c r="M140" i="41"/>
  <c r="L134" i="41"/>
  <c r="M134" i="41"/>
  <c r="J154" i="41"/>
  <c r="K154" i="41"/>
  <c r="L113" i="41"/>
  <c r="M113" i="41"/>
  <c r="H100" i="41"/>
  <c r="I100" i="41"/>
  <c r="L116" i="41"/>
  <c r="M116" i="41"/>
  <c r="P129" i="41"/>
  <c r="Q129" i="41"/>
  <c r="L149" i="41"/>
  <c r="M149" i="41"/>
  <c r="L154" i="41"/>
  <c r="M154" i="41"/>
  <c r="H157" i="41"/>
  <c r="I157" i="41"/>
  <c r="G155" i="41"/>
  <c r="P113" i="41"/>
  <c r="Q113" i="41"/>
  <c r="P100" i="41"/>
  <c r="Q100" i="41"/>
  <c r="J128" i="41"/>
  <c r="K128" i="41"/>
  <c r="H165" i="41"/>
  <c r="I165" i="41"/>
  <c r="G98" i="41"/>
  <c r="P98" i="41"/>
  <c r="Q98" i="41"/>
  <c r="G94" i="41"/>
  <c r="P153" i="41"/>
  <c r="Q153" i="41"/>
  <c r="N149" i="41"/>
  <c r="O149" i="41"/>
  <c r="G32" i="41"/>
  <c r="P124" i="41"/>
  <c r="Q124" i="41"/>
  <c r="G95" i="41"/>
  <c r="H98" i="41"/>
  <c r="I98" i="41"/>
  <c r="N140" i="41"/>
  <c r="O140" i="41"/>
  <c r="H94" i="41"/>
  <c r="I94" i="41"/>
  <c r="G153" i="41"/>
  <c r="P123" i="41"/>
  <c r="Q123" i="41"/>
  <c r="N167" i="41"/>
  <c r="O167" i="41"/>
  <c r="H32" i="41"/>
  <c r="I32" i="41"/>
  <c r="G124" i="41"/>
  <c r="G100" i="41"/>
  <c r="H118" i="41"/>
  <c r="I118" i="41"/>
  <c r="H95" i="41"/>
  <c r="I95" i="41"/>
  <c r="J56" i="41"/>
  <c r="K56" i="41"/>
  <c r="P151" i="41"/>
  <c r="Q151" i="41"/>
  <c r="H133" i="41"/>
  <c r="I133" i="41"/>
  <c r="P33" i="41"/>
  <c r="Q33" i="41"/>
  <c r="H128" i="41"/>
  <c r="I128" i="41"/>
  <c r="P165" i="41"/>
  <c r="Q165" i="41"/>
  <c r="H129" i="41"/>
  <c r="I129" i="41"/>
  <c r="L163" i="41"/>
  <c r="M163" i="41"/>
  <c r="P163" i="41"/>
  <c r="Q163" i="41"/>
  <c r="H163" i="41"/>
  <c r="I163" i="41"/>
  <c r="G163" i="41"/>
  <c r="J94" i="41"/>
  <c r="K94" i="41"/>
  <c r="P149" i="41"/>
  <c r="Q149" i="41"/>
  <c r="J32" i="41"/>
  <c r="K32" i="41"/>
  <c r="P141" i="41"/>
  <c r="Q141" i="41"/>
  <c r="H141" i="41"/>
  <c r="I141" i="41"/>
  <c r="G141" i="41"/>
  <c r="P158" i="41"/>
  <c r="Q158" i="41"/>
  <c r="H158" i="41"/>
  <c r="I158" i="41"/>
  <c r="G158" i="41"/>
  <c r="P140" i="41"/>
  <c r="Q140" i="41"/>
  <c r="N152" i="41"/>
  <c r="O152" i="41"/>
  <c r="J153" i="41"/>
  <c r="K153" i="41"/>
  <c r="G149" i="41"/>
  <c r="J124" i="41"/>
  <c r="K124" i="41"/>
  <c r="P136" i="41"/>
  <c r="Q136" i="41"/>
  <c r="L136" i="41"/>
  <c r="M136" i="41"/>
  <c r="P94" i="41"/>
  <c r="Q94" i="41"/>
  <c r="P32" i="41"/>
  <c r="Q32" i="41"/>
  <c r="J98" i="41"/>
  <c r="K98" i="41"/>
  <c r="J95" i="41"/>
  <c r="K95" i="41"/>
  <c r="P34" i="41"/>
  <c r="Q34" i="41"/>
  <c r="H34" i="41"/>
  <c r="I34" i="41"/>
  <c r="G34" i="41"/>
  <c r="P167" i="41"/>
  <c r="Q167" i="41"/>
  <c r="N79" i="41"/>
  <c r="O79" i="41"/>
  <c r="J100" i="41"/>
  <c r="K100" i="41"/>
  <c r="L95" i="41"/>
  <c r="M95" i="41"/>
  <c r="L56" i="41"/>
  <c r="M56" i="41"/>
  <c r="J141" i="41"/>
  <c r="K141" i="41"/>
  <c r="N133" i="41"/>
  <c r="O133" i="41"/>
  <c r="J158" i="41"/>
  <c r="K158" i="41"/>
  <c r="N128" i="41"/>
  <c r="O128" i="41"/>
  <c r="J34" i="41"/>
  <c r="K34" i="41"/>
  <c r="N129" i="41"/>
  <c r="O129" i="41"/>
  <c r="L98" i="41"/>
  <c r="M98" i="41"/>
  <c r="G140" i="41"/>
  <c r="N134" i="41"/>
  <c r="O134" i="41"/>
  <c r="L94" i="41"/>
  <c r="M94" i="41"/>
  <c r="J123" i="41"/>
  <c r="K123" i="41"/>
  <c r="H149" i="41"/>
  <c r="I149" i="41"/>
  <c r="G167" i="41"/>
  <c r="N157" i="41"/>
  <c r="O157" i="41"/>
  <c r="L32" i="41"/>
  <c r="M32" i="41"/>
  <c r="J155" i="41"/>
  <c r="K155" i="41"/>
  <c r="J113" i="41"/>
  <c r="K113" i="41"/>
  <c r="L100" i="41"/>
  <c r="M100" i="41"/>
  <c r="L118" i="41"/>
  <c r="M118" i="41"/>
  <c r="N95" i="41"/>
  <c r="O95" i="41"/>
  <c r="N56" i="41"/>
  <c r="O56" i="41"/>
  <c r="G151" i="41"/>
  <c r="G33" i="41"/>
  <c r="G165" i="41"/>
  <c r="G136" i="41"/>
  <c r="N163" i="41"/>
  <c r="O163" i="41"/>
  <c r="P164" i="41"/>
  <c r="Q164" i="41"/>
  <c r="H164" i="41"/>
  <c r="I164" i="41"/>
  <c r="N164" i="41"/>
  <c r="O164" i="41"/>
  <c r="L164" i="41"/>
  <c r="M164" i="41"/>
  <c r="P152" i="41"/>
  <c r="Q152" i="41"/>
  <c r="L153" i="41"/>
  <c r="M153" i="41"/>
  <c r="P79" i="41"/>
  <c r="Q79" i="41"/>
  <c r="L124" i="41"/>
  <c r="M124" i="41"/>
  <c r="N118" i="41"/>
  <c r="O118" i="41"/>
  <c r="L141" i="41"/>
  <c r="M141" i="41"/>
  <c r="L158" i="41"/>
  <c r="M158" i="41"/>
  <c r="L34" i="41"/>
  <c r="M34" i="41"/>
  <c r="H136" i="41"/>
  <c r="I136" i="41"/>
  <c r="N150" i="41"/>
  <c r="O150" i="41"/>
  <c r="P118" i="41"/>
  <c r="Q118" i="41"/>
  <c r="P162" i="41"/>
  <c r="Q162" i="41"/>
  <c r="H162" i="41"/>
  <c r="I162" i="41"/>
  <c r="G162" i="41"/>
  <c r="J151" i="41"/>
  <c r="K151" i="41"/>
  <c r="N141" i="41"/>
  <c r="O141" i="41"/>
  <c r="P116" i="41"/>
  <c r="Q116" i="41"/>
  <c r="H116" i="41"/>
  <c r="I116" i="41"/>
  <c r="G116" i="41"/>
  <c r="J33" i="41"/>
  <c r="K33" i="41"/>
  <c r="N158" i="41"/>
  <c r="O158" i="41"/>
  <c r="P115" i="41"/>
  <c r="Q115" i="41"/>
  <c r="H115" i="41"/>
  <c r="I115" i="41"/>
  <c r="G115" i="41"/>
  <c r="J165" i="41"/>
  <c r="K165" i="41"/>
  <c r="N34" i="41"/>
  <c r="O34" i="41"/>
  <c r="P135" i="41"/>
  <c r="Q135" i="41"/>
  <c r="H135" i="41"/>
  <c r="I135" i="41"/>
  <c r="G135" i="41"/>
  <c r="J136" i="41"/>
  <c r="K136" i="41"/>
  <c r="G164" i="41"/>
  <c r="N136" i="41"/>
  <c r="O136" i="41"/>
  <c r="J164" i="41"/>
  <c r="K164" i="41"/>
  <c r="I92" i="59"/>
  <c r="P92" i="59"/>
  <c r="Q92" i="59"/>
  <c r="I74" i="59"/>
  <c r="P74" i="59"/>
  <c r="Q74" i="59"/>
  <c r="I88" i="59"/>
  <c r="P88" i="59"/>
  <c r="Q88" i="59"/>
  <c r="I76" i="59"/>
  <c r="P76" i="59"/>
  <c r="Q76" i="59"/>
  <c r="I90" i="59"/>
  <c r="P90" i="59"/>
  <c r="Q90" i="59"/>
  <c r="I72" i="59"/>
  <c r="P72" i="59"/>
  <c r="Q72" i="59"/>
  <c r="I80" i="59"/>
  <c r="P80" i="59"/>
  <c r="Q80" i="59"/>
  <c r="I84" i="59"/>
  <c r="P84" i="59"/>
  <c r="Q84" i="59"/>
  <c r="I86" i="59"/>
  <c r="P86" i="59"/>
  <c r="Q86" i="59"/>
  <c r="I82" i="59"/>
  <c r="P82" i="59"/>
  <c r="Q82" i="59"/>
  <c r="I94" i="59"/>
  <c r="P94" i="59"/>
  <c r="Q94" i="59"/>
  <c r="I78" i="59"/>
  <c r="P78" i="59"/>
  <c r="Q78" i="59"/>
  <c r="I30" i="106"/>
  <c r="N51" i="146"/>
  <c r="O51" i="146"/>
  <c r="L51" i="146"/>
  <c r="M51" i="146"/>
  <c r="K51" i="146"/>
  <c r="J51" i="146"/>
  <c r="I51" i="146"/>
  <c r="H51" i="146"/>
  <c r="G51" i="146"/>
  <c r="O50" i="146"/>
  <c r="N50" i="146"/>
  <c r="M50" i="146"/>
  <c r="L50" i="146"/>
  <c r="J50" i="146"/>
  <c r="K50" i="146"/>
  <c r="I50" i="146"/>
  <c r="H50" i="146"/>
  <c r="G50" i="146"/>
  <c r="N49" i="146"/>
  <c r="O49" i="146"/>
  <c r="M49" i="146"/>
  <c r="L49" i="146"/>
  <c r="K49" i="146"/>
  <c r="J49" i="146"/>
  <c r="H49" i="146"/>
  <c r="I49" i="146"/>
  <c r="G49" i="146"/>
  <c r="O48" i="146"/>
  <c r="N48" i="146"/>
  <c r="L48" i="146"/>
  <c r="M48" i="146"/>
  <c r="K48" i="146"/>
  <c r="J48" i="146"/>
  <c r="I48" i="146"/>
  <c r="H48" i="146"/>
  <c r="G48" i="146"/>
  <c r="O47" i="146"/>
  <c r="N47" i="146"/>
  <c r="M47" i="146"/>
  <c r="L47" i="146"/>
  <c r="J47" i="146"/>
  <c r="K47" i="146"/>
  <c r="H47" i="146"/>
  <c r="I47" i="146"/>
  <c r="G47" i="146"/>
  <c r="N46" i="146"/>
  <c r="O46" i="146"/>
  <c r="M46" i="146"/>
  <c r="L46" i="146"/>
  <c r="K46" i="146"/>
  <c r="J46" i="146"/>
  <c r="I46" i="146"/>
  <c r="H46" i="146"/>
  <c r="G46" i="146"/>
  <c r="O45" i="146"/>
  <c r="N45" i="146"/>
  <c r="L45" i="146"/>
  <c r="M45" i="146"/>
  <c r="J45" i="146"/>
  <c r="K45" i="146"/>
  <c r="I45" i="146"/>
  <c r="H45" i="146"/>
  <c r="G45" i="146"/>
  <c r="O44" i="146"/>
  <c r="N44" i="146"/>
  <c r="M44" i="146"/>
  <c r="L44" i="146"/>
  <c r="K44" i="146"/>
  <c r="J44" i="146"/>
  <c r="H44" i="146"/>
  <c r="I44" i="146"/>
  <c r="G44" i="146"/>
  <c r="N43" i="146"/>
  <c r="O43" i="146"/>
  <c r="L43" i="146"/>
  <c r="M43" i="146"/>
  <c r="J43" i="146"/>
  <c r="K43" i="146"/>
  <c r="I43" i="146"/>
  <c r="H43" i="146"/>
  <c r="G43" i="146"/>
  <c r="O42" i="146"/>
  <c r="N42" i="146"/>
  <c r="M42" i="146"/>
  <c r="L42" i="146"/>
  <c r="J42" i="146"/>
  <c r="K42" i="146"/>
  <c r="I42" i="146"/>
  <c r="H42" i="146"/>
  <c r="G42" i="146"/>
  <c r="N41" i="146"/>
  <c r="O41" i="146"/>
  <c r="L41" i="146"/>
  <c r="M41" i="146"/>
  <c r="K41" i="146"/>
  <c r="J41" i="146"/>
  <c r="H41" i="146"/>
  <c r="I41" i="146"/>
  <c r="G41" i="146"/>
  <c r="O40" i="146"/>
  <c r="N40" i="146"/>
  <c r="L40" i="146"/>
  <c r="M40" i="146"/>
  <c r="K40" i="146"/>
  <c r="J40" i="146"/>
  <c r="I40" i="146"/>
  <c r="H40" i="146"/>
  <c r="G40" i="146"/>
  <c r="N39" i="146"/>
  <c r="O39" i="146"/>
  <c r="M39" i="146"/>
  <c r="L39" i="146"/>
  <c r="J39" i="146"/>
  <c r="K39" i="146"/>
  <c r="H39" i="146"/>
  <c r="I39" i="146"/>
  <c r="G39" i="146"/>
  <c r="N38" i="146"/>
  <c r="O38" i="146"/>
  <c r="M38" i="146"/>
  <c r="L38" i="146"/>
  <c r="K38" i="146"/>
  <c r="J38" i="146"/>
  <c r="I38" i="146"/>
  <c r="H38" i="146"/>
  <c r="G38" i="146"/>
  <c r="O37" i="146"/>
  <c r="N37" i="146"/>
  <c r="L37" i="146"/>
  <c r="M37" i="146"/>
  <c r="J37" i="146"/>
  <c r="K37" i="146"/>
  <c r="H37" i="146"/>
  <c r="I37" i="146"/>
  <c r="G37" i="146"/>
  <c r="O36" i="146"/>
  <c r="N36" i="146"/>
  <c r="M36" i="146"/>
  <c r="L36" i="146"/>
  <c r="K36" i="146"/>
  <c r="J36" i="146"/>
  <c r="H36" i="146"/>
  <c r="I36" i="146"/>
  <c r="G36" i="146"/>
  <c r="F33" i="146"/>
  <c r="H33" i="146"/>
  <c r="I33" i="146"/>
  <c r="G52" i="146" a="1"/>
  <c r="G52" i="146"/>
  <c r="I52" i="146" a="1"/>
  <c r="I52" i="146"/>
  <c r="J33" i="146"/>
  <c r="K33" i="146"/>
  <c r="K52" i="146" a="1"/>
  <c r="K52" i="146"/>
  <c r="L33" i="146"/>
  <c r="M33" i="146"/>
  <c r="M52" i="146" a="1"/>
  <c r="M52" i="146"/>
  <c r="N33" i="146"/>
  <c r="O33" i="146"/>
  <c r="O52" i="146" a="1"/>
  <c r="O52" i="146"/>
  <c r="G33" i="146"/>
  <c r="F25" i="41"/>
  <c r="G25" i="41"/>
  <c r="F85" i="63"/>
  <c r="P85" i="63"/>
  <c r="Q85" i="63"/>
  <c r="F84" i="63"/>
  <c r="H84" i="63"/>
  <c r="I84" i="63"/>
  <c r="L84" i="63"/>
  <c r="M84" i="63"/>
  <c r="L85" i="63"/>
  <c r="M85" i="63"/>
  <c r="P84" i="63"/>
  <c r="Q84" i="63"/>
  <c r="J84" i="63"/>
  <c r="K84" i="63"/>
  <c r="N84" i="63"/>
  <c r="O84" i="63"/>
  <c r="J85" i="63"/>
  <c r="K85" i="63"/>
  <c r="H85" i="63"/>
  <c r="I85" i="63"/>
  <c r="F46" i="145"/>
  <c r="G46" i="145"/>
  <c r="F48" i="145"/>
  <c r="H48" i="145"/>
  <c r="I48" i="145"/>
  <c r="F47" i="145"/>
  <c r="J47" i="145"/>
  <c r="K47" i="145"/>
  <c r="F45" i="145"/>
  <c r="G45" i="145"/>
  <c r="H42" i="145"/>
  <c r="I42" i="145" s="1"/>
  <c r="J39" i="145"/>
  <c r="K39" i="145" s="1"/>
  <c r="I37" i="100"/>
  <c r="J46" i="20"/>
  <c r="K46" i="20"/>
  <c r="J45" i="20"/>
  <c r="K45" i="20" s="1"/>
  <c r="J44" i="20"/>
  <c r="K44" i="20" s="1"/>
  <c r="J43" i="20"/>
  <c r="K43" i="20" s="1"/>
  <c r="J42" i="20"/>
  <c r="K42" i="20" s="1"/>
  <c r="J41" i="20"/>
  <c r="J40" i="20"/>
  <c r="K40" i="20" s="1"/>
  <c r="J37" i="20"/>
  <c r="K37" i="20" s="1"/>
  <c r="F81" i="136"/>
  <c r="H41" i="116"/>
  <c r="I41" i="116"/>
  <c r="J23" i="109"/>
  <c r="K23" i="109"/>
  <c r="F23" i="109"/>
  <c r="P23" i="109"/>
  <c r="Q23" i="109"/>
  <c r="N41" i="104"/>
  <c r="L41" i="104"/>
  <c r="J41" i="104"/>
  <c r="H41" i="104"/>
  <c r="F102" i="83"/>
  <c r="P102" i="83"/>
  <c r="Q102" i="83"/>
  <c r="F74" i="83"/>
  <c r="G74" i="83"/>
  <c r="F71" i="83"/>
  <c r="N71" i="83"/>
  <c r="O71" i="83"/>
  <c r="F70" i="83"/>
  <c r="G70" i="83"/>
  <c r="P65" i="83"/>
  <c r="Q65" i="83"/>
  <c r="H65" i="83"/>
  <c r="I65" i="83"/>
  <c r="G65" i="83"/>
  <c r="F65" i="83"/>
  <c r="N65" i="83"/>
  <c r="O65" i="83"/>
  <c r="F61" i="83"/>
  <c r="L61" i="83"/>
  <c r="M61" i="83"/>
  <c r="F75" i="83"/>
  <c r="N75" i="83"/>
  <c r="O75" i="83"/>
  <c r="F72" i="83"/>
  <c r="J72" i="83"/>
  <c r="K72" i="83"/>
  <c r="P68" i="83"/>
  <c r="Q68" i="83"/>
  <c r="O68" i="83"/>
  <c r="J68" i="83"/>
  <c r="K68" i="83"/>
  <c r="F68" i="83"/>
  <c r="N68" i="83"/>
  <c r="F66" i="83"/>
  <c r="J66" i="83"/>
  <c r="K66" i="83"/>
  <c r="F62" i="83"/>
  <c r="N62" i="83"/>
  <c r="O62" i="83"/>
  <c r="F73" i="83"/>
  <c r="J73" i="83"/>
  <c r="K73" i="83"/>
  <c r="L69" i="83"/>
  <c r="M69" i="83"/>
  <c r="F69" i="83"/>
  <c r="N69" i="83"/>
  <c r="O69" i="83"/>
  <c r="F67" i="83"/>
  <c r="J67" i="83"/>
  <c r="K67" i="83"/>
  <c r="F64" i="83"/>
  <c r="N64" i="83"/>
  <c r="O64" i="83"/>
  <c r="L63" i="83"/>
  <c r="M63" i="83"/>
  <c r="F63" i="83"/>
  <c r="J63" i="83"/>
  <c r="K63" i="83"/>
  <c r="F52" i="83"/>
  <c r="N52" i="83"/>
  <c r="O52" i="83"/>
  <c r="F50" i="83"/>
  <c r="J50" i="83"/>
  <c r="K50" i="83"/>
  <c r="J42" i="83"/>
  <c r="K42" i="83"/>
  <c r="F42" i="83"/>
  <c r="N42" i="83"/>
  <c r="O42" i="83"/>
  <c r="F54" i="83"/>
  <c r="L54" i="83"/>
  <c r="M54" i="83"/>
  <c r="J54" i="83"/>
  <c r="K54" i="83"/>
  <c r="F53" i="83"/>
  <c r="N53" i="83"/>
  <c r="O53" i="83"/>
  <c r="F40" i="83"/>
  <c r="J40" i="83"/>
  <c r="K40" i="83"/>
  <c r="F47" i="83"/>
  <c r="N47" i="83"/>
  <c r="O47" i="83"/>
  <c r="F45" i="83"/>
  <c r="J45" i="83"/>
  <c r="K45" i="83"/>
  <c r="F43" i="83"/>
  <c r="N43" i="83"/>
  <c r="O43" i="83"/>
  <c r="F55" i="83"/>
  <c r="F48" i="83"/>
  <c r="N48" i="83"/>
  <c r="O48" i="83"/>
  <c r="F51" i="83"/>
  <c r="J51" i="83"/>
  <c r="K51" i="83"/>
  <c r="F49" i="83"/>
  <c r="N49" i="83"/>
  <c r="O49" i="83"/>
  <c r="F46" i="83"/>
  <c r="J46" i="83"/>
  <c r="K46" i="83"/>
  <c r="P44" i="83"/>
  <c r="Q44" i="83"/>
  <c r="F44" i="83"/>
  <c r="N44" i="83"/>
  <c r="O44" i="83"/>
  <c r="F41" i="83"/>
  <c r="J41" i="83"/>
  <c r="K41" i="83"/>
  <c r="N70" i="83"/>
  <c r="O70" i="83"/>
  <c r="H49" i="83"/>
  <c r="I49" i="83"/>
  <c r="L50" i="83"/>
  <c r="M50" i="83"/>
  <c r="J71" i="83"/>
  <c r="K71" i="83"/>
  <c r="L49" i="83"/>
  <c r="M49" i="83"/>
  <c r="N41" i="83"/>
  <c r="O41" i="83"/>
  <c r="H52" i="83"/>
  <c r="I52" i="83"/>
  <c r="L67" i="83"/>
  <c r="M67" i="83"/>
  <c r="H68" i="83"/>
  <c r="I68" i="83"/>
  <c r="J75" i="83"/>
  <c r="K75" i="83"/>
  <c r="N63" i="83"/>
  <c r="O63" i="83"/>
  <c r="P64" i="83"/>
  <c r="Q64" i="83"/>
  <c r="G69" i="83"/>
  <c r="P71" i="83"/>
  <c r="Q71" i="83"/>
  <c r="H43" i="83"/>
  <c r="I43" i="83"/>
  <c r="H69" i="83"/>
  <c r="I69" i="83"/>
  <c r="N66" i="83"/>
  <c r="O66" i="83"/>
  <c r="H46" i="83"/>
  <c r="I46" i="83"/>
  <c r="J44" i="83"/>
  <c r="K44" i="83"/>
  <c r="G41" i="83"/>
  <c r="N46" i="83"/>
  <c r="O46" i="83"/>
  <c r="J43" i="83"/>
  <c r="K43" i="83"/>
  <c r="G42" i="83"/>
  <c r="G50" i="83"/>
  <c r="G64" i="83"/>
  <c r="G67" i="83"/>
  <c r="J69" i="83"/>
  <c r="K69" i="83"/>
  <c r="P75" i="83"/>
  <c r="Q75" i="83"/>
  <c r="J65" i="83"/>
  <c r="K65" i="83"/>
  <c r="G71" i="83"/>
  <c r="J48" i="83"/>
  <c r="K48" i="83"/>
  <c r="G43" i="83"/>
  <c r="L46" i="83"/>
  <c r="M46" i="83"/>
  <c r="L48" i="83"/>
  <c r="M48" i="83"/>
  <c r="L41" i="83"/>
  <c r="M41" i="83"/>
  <c r="L44" i="83"/>
  <c r="M44" i="83"/>
  <c r="P48" i="83"/>
  <c r="Q48" i="83"/>
  <c r="L43" i="83"/>
  <c r="M43" i="83"/>
  <c r="H42" i="83"/>
  <c r="I42" i="83"/>
  <c r="H50" i="83"/>
  <c r="I50" i="83"/>
  <c r="H67" i="83"/>
  <c r="I67" i="83"/>
  <c r="G68" i="83"/>
  <c r="H72" i="83"/>
  <c r="I72" i="83"/>
  <c r="L65" i="83"/>
  <c r="M65" i="83"/>
  <c r="H71" i="83"/>
  <c r="I71" i="83"/>
  <c r="N74" i="83"/>
  <c r="O74" i="83"/>
  <c r="G48" i="83"/>
  <c r="P43" i="83"/>
  <c r="Q43" i="83"/>
  <c r="G75" i="83"/>
  <c r="G102" i="83"/>
  <c r="G44" i="83"/>
  <c r="G46" i="83"/>
  <c r="H48" i="83"/>
  <c r="I48" i="83"/>
  <c r="N55" i="83"/>
  <c r="O55" i="83"/>
  <c r="L42" i="83"/>
  <c r="M42" i="83"/>
  <c r="G63" i="83"/>
  <c r="N67" i="83"/>
  <c r="O67" i="83"/>
  <c r="P62" i="83"/>
  <c r="Q62" i="83"/>
  <c r="L68" i="83"/>
  <c r="M68" i="83"/>
  <c r="H75" i="83"/>
  <c r="I75" i="83"/>
  <c r="H102" i="83"/>
  <c r="I102" i="83"/>
  <c r="N73" i="83"/>
  <c r="O73" i="83"/>
  <c r="P72" i="83"/>
  <c r="Q72" i="83"/>
  <c r="G45" i="83"/>
  <c r="N40" i="83"/>
  <c r="O40" i="83"/>
  <c r="P50" i="83"/>
  <c r="Q50" i="83"/>
  <c r="G72" i="83"/>
  <c r="P73" i="83"/>
  <c r="Q73" i="83"/>
  <c r="P41" i="83"/>
  <c r="Q41" i="83"/>
  <c r="G40" i="83"/>
  <c r="P63" i="83"/>
  <c r="Q63" i="83"/>
  <c r="H73" i="83"/>
  <c r="I73" i="83"/>
  <c r="L72" i="83"/>
  <c r="M72" i="83"/>
  <c r="J70" i="83"/>
  <c r="K70" i="83"/>
  <c r="P70" i="83"/>
  <c r="Q70" i="83"/>
  <c r="H70" i="83"/>
  <c r="I70" i="83"/>
  <c r="H45" i="83"/>
  <c r="I45" i="83"/>
  <c r="P40" i="83"/>
  <c r="Q40" i="83"/>
  <c r="H40" i="83"/>
  <c r="I40" i="83"/>
  <c r="H41" i="83"/>
  <c r="I41" i="83"/>
  <c r="N45" i="83"/>
  <c r="O45" i="83"/>
  <c r="H63" i="83"/>
  <c r="I63" i="83"/>
  <c r="L73" i="83"/>
  <c r="M73" i="83"/>
  <c r="N72" i="83"/>
  <c r="O72" i="83"/>
  <c r="G73" i="83"/>
  <c r="P66" i="83"/>
  <c r="Q66" i="83"/>
  <c r="H74" i="83"/>
  <c r="I74" i="83"/>
  <c r="P46" i="83"/>
  <c r="Q46" i="83"/>
  <c r="L40" i="83"/>
  <c r="M40" i="83"/>
  <c r="N50" i="83"/>
  <c r="O50" i="83"/>
  <c r="P67" i="83"/>
  <c r="Q67" i="83"/>
  <c r="L70" i="83"/>
  <c r="M70" i="83"/>
  <c r="J102" i="83"/>
  <c r="K102" i="83"/>
  <c r="L102" i="83"/>
  <c r="M102" i="83"/>
  <c r="N102" i="83"/>
  <c r="O102" i="83"/>
  <c r="F132" i="143"/>
  <c r="P132" i="143"/>
  <c r="Q132" i="143"/>
  <c r="F139" i="143"/>
  <c r="G139" i="143"/>
  <c r="F150" i="143"/>
  <c r="P150" i="143"/>
  <c r="Q150" i="143"/>
  <c r="F161" i="143"/>
  <c r="N161" i="143"/>
  <c r="O161" i="143"/>
  <c r="F158" i="143"/>
  <c r="P158" i="143"/>
  <c r="Q158" i="143"/>
  <c r="F118" i="143"/>
  <c r="H118" i="143"/>
  <c r="I118" i="143"/>
  <c r="N118" i="143"/>
  <c r="O118" i="143"/>
  <c r="F105" i="143"/>
  <c r="P105" i="143"/>
  <c r="Q105" i="143"/>
  <c r="F149" i="143"/>
  <c r="G149" i="143"/>
  <c r="F115" i="143"/>
  <c r="G115" i="143"/>
  <c r="P115" i="143"/>
  <c r="Q115" i="143"/>
  <c r="F154" i="143"/>
  <c r="G154" i="143"/>
  <c r="F124" i="143"/>
  <c r="P124" i="143"/>
  <c r="Q124" i="143"/>
  <c r="N36" i="143"/>
  <c r="O36" i="143"/>
  <c r="F36" i="143"/>
  <c r="G36" i="143"/>
  <c r="F156" i="143"/>
  <c r="P156" i="143"/>
  <c r="Q156" i="143"/>
  <c r="F78" i="143"/>
  <c r="F153" i="143"/>
  <c r="L153" i="143"/>
  <c r="M153" i="143"/>
  <c r="P153" i="143"/>
  <c r="Q153" i="143"/>
  <c r="F109" i="143"/>
  <c r="N109" i="143"/>
  <c r="O109" i="143"/>
  <c r="F166" i="143"/>
  <c r="P166" i="143"/>
  <c r="Q166" i="143"/>
  <c r="F148" i="143"/>
  <c r="H148" i="143"/>
  <c r="I148" i="143"/>
  <c r="F123" i="143"/>
  <c r="P123" i="143"/>
  <c r="Q123" i="143"/>
  <c r="F152" i="143"/>
  <c r="N152" i="143"/>
  <c r="O152" i="143"/>
  <c r="F101" i="143"/>
  <c r="P101" i="143"/>
  <c r="Q101" i="143"/>
  <c r="F133" i="143"/>
  <c r="H133" i="143"/>
  <c r="I133" i="143"/>
  <c r="J151" i="143"/>
  <c r="K151" i="143"/>
  <c r="F151" i="143"/>
  <c r="L151" i="143"/>
  <c r="M151" i="143"/>
  <c r="P151" i="143"/>
  <c r="Q151" i="143"/>
  <c r="F77" i="143"/>
  <c r="G77" i="143"/>
  <c r="F138" i="143"/>
  <c r="P138" i="143"/>
  <c r="Q138" i="143"/>
  <c r="F131" i="143"/>
  <c r="F103" i="143"/>
  <c r="G103" i="143"/>
  <c r="P103" i="143"/>
  <c r="Q103" i="143"/>
  <c r="F102" i="143"/>
  <c r="G102" i="143"/>
  <c r="F74" i="143"/>
  <c r="P74" i="143"/>
  <c r="Q74" i="143"/>
  <c r="F71" i="143"/>
  <c r="H71" i="143"/>
  <c r="I71" i="143"/>
  <c r="N71" i="143"/>
  <c r="O71" i="143"/>
  <c r="F70" i="143"/>
  <c r="P70" i="143"/>
  <c r="Q70" i="143"/>
  <c r="N148" i="143"/>
  <c r="O148" i="143"/>
  <c r="J115" i="143"/>
  <c r="K115" i="143"/>
  <c r="J158" i="143"/>
  <c r="K158" i="143"/>
  <c r="L101" i="143"/>
  <c r="M101" i="143"/>
  <c r="J153" i="143"/>
  <c r="K153" i="143"/>
  <c r="L74" i="143"/>
  <c r="M74" i="143"/>
  <c r="N77" i="143"/>
  <c r="O77" i="143"/>
  <c r="J123" i="143"/>
  <c r="K123" i="143"/>
  <c r="L103" i="143"/>
  <c r="M103" i="143"/>
  <c r="J138" i="143"/>
  <c r="K138" i="143"/>
  <c r="L138" i="143"/>
  <c r="M138" i="143"/>
  <c r="J124" i="143"/>
  <c r="K124" i="143"/>
  <c r="J150" i="143"/>
  <c r="K150" i="143"/>
  <c r="L70" i="143"/>
  <c r="M70" i="143"/>
  <c r="L123" i="143"/>
  <c r="M123" i="143"/>
  <c r="J156" i="143"/>
  <c r="K156" i="143"/>
  <c r="L124" i="143"/>
  <c r="M124" i="143"/>
  <c r="J105" i="143"/>
  <c r="K105" i="143"/>
  <c r="J103" i="143"/>
  <c r="K103" i="143"/>
  <c r="J101" i="143"/>
  <c r="K101" i="143"/>
  <c r="L156" i="143"/>
  <c r="M156" i="143"/>
  <c r="N102" i="143"/>
  <c r="O102" i="143"/>
  <c r="J70" i="143"/>
  <c r="K70" i="143"/>
  <c r="J74" i="143"/>
  <c r="K74" i="143"/>
  <c r="G161" i="143"/>
  <c r="L133" i="143"/>
  <c r="M133" i="143"/>
  <c r="J133" i="143"/>
  <c r="K133" i="143"/>
  <c r="P133" i="143"/>
  <c r="Q133" i="143"/>
  <c r="L131" i="143"/>
  <c r="M131" i="143"/>
  <c r="J131" i="143"/>
  <c r="K131" i="143"/>
  <c r="H131" i="143"/>
  <c r="I131" i="143"/>
  <c r="G133" i="143"/>
  <c r="L109" i="143"/>
  <c r="M109" i="143"/>
  <c r="H109" i="143"/>
  <c r="I109" i="143"/>
  <c r="J109" i="143"/>
  <c r="K109" i="143"/>
  <c r="P102" i="143"/>
  <c r="Q102" i="143"/>
  <c r="G131" i="143"/>
  <c r="G109" i="143"/>
  <c r="L154" i="143"/>
  <c r="M154" i="143"/>
  <c r="H154" i="143"/>
  <c r="I154" i="143"/>
  <c r="J154" i="143"/>
  <c r="K154" i="143"/>
  <c r="P154" i="143"/>
  <c r="Q154" i="143"/>
  <c r="L139" i="143"/>
  <c r="M139" i="143"/>
  <c r="J139" i="143"/>
  <c r="K139" i="143"/>
  <c r="P139" i="143"/>
  <c r="Q139" i="143"/>
  <c r="H139" i="143"/>
  <c r="I139" i="143"/>
  <c r="N133" i="143"/>
  <c r="O133" i="143"/>
  <c r="N131" i="143"/>
  <c r="O131" i="143"/>
  <c r="L78" i="143"/>
  <c r="M78" i="143"/>
  <c r="H78" i="143"/>
  <c r="I78" i="143"/>
  <c r="J78" i="143"/>
  <c r="K78" i="143"/>
  <c r="P78" i="143"/>
  <c r="Q78" i="143"/>
  <c r="P71" i="143"/>
  <c r="Q71" i="143"/>
  <c r="L77" i="143"/>
  <c r="M77" i="143"/>
  <c r="J77" i="143"/>
  <c r="K77" i="143"/>
  <c r="H77" i="143"/>
  <c r="I77" i="143"/>
  <c r="G78" i="143"/>
  <c r="N154" i="143"/>
  <c r="O154" i="143"/>
  <c r="N139" i="143"/>
  <c r="O139" i="143"/>
  <c r="L152" i="143"/>
  <c r="M152" i="143"/>
  <c r="L102" i="143"/>
  <c r="M102" i="143"/>
  <c r="J102" i="143"/>
  <c r="K102" i="143"/>
  <c r="H102" i="143"/>
  <c r="I102" i="143"/>
  <c r="P131" i="143"/>
  <c r="Q131" i="143"/>
  <c r="L148" i="143"/>
  <c r="M148" i="143"/>
  <c r="L118" i="143"/>
  <c r="M118" i="143"/>
  <c r="N78" i="143"/>
  <c r="O78" i="143"/>
  <c r="L36" i="143"/>
  <c r="M36" i="143"/>
  <c r="H36" i="143"/>
  <c r="I36" i="143"/>
  <c r="J36" i="143"/>
  <c r="K36" i="143"/>
  <c r="P36" i="143"/>
  <c r="Q36" i="143"/>
  <c r="L71" i="143"/>
  <c r="M71" i="143"/>
  <c r="J71" i="143"/>
  <c r="K71" i="143"/>
  <c r="L161" i="143"/>
  <c r="M161" i="143"/>
  <c r="J161" i="143"/>
  <c r="K161" i="143"/>
  <c r="P161" i="143"/>
  <c r="Q161" i="143"/>
  <c r="H161" i="143"/>
  <c r="I161" i="143"/>
  <c r="J132" i="143"/>
  <c r="K132" i="143"/>
  <c r="L105" i="143"/>
  <c r="M105" i="143"/>
  <c r="L158" i="143"/>
  <c r="M158" i="143"/>
  <c r="L150" i="143"/>
  <c r="M150" i="143"/>
  <c r="L132" i="143"/>
  <c r="M132" i="143"/>
  <c r="N138" i="143"/>
  <c r="O138" i="143"/>
  <c r="N151" i="143"/>
  <c r="O151" i="143"/>
  <c r="N101" i="143"/>
  <c r="O101" i="143"/>
  <c r="N158" i="143"/>
  <c r="O158" i="143"/>
  <c r="N150" i="143"/>
  <c r="O150" i="143"/>
  <c r="N70" i="143"/>
  <c r="O70" i="143"/>
  <c r="N74" i="143"/>
  <c r="O74" i="143"/>
  <c r="N124" i="143"/>
  <c r="O124" i="143"/>
  <c r="N132" i="143"/>
  <c r="O132" i="143"/>
  <c r="G70" i="143"/>
  <c r="G74" i="143"/>
  <c r="G138" i="143"/>
  <c r="G101" i="143"/>
  <c r="G123" i="143"/>
  <c r="G153" i="143"/>
  <c r="G156" i="143"/>
  <c r="G124" i="143"/>
  <c r="G105" i="143"/>
  <c r="G158" i="143"/>
  <c r="G150" i="143"/>
  <c r="G132" i="143"/>
  <c r="N103" i="143"/>
  <c r="O103" i="143"/>
  <c r="N123" i="143"/>
  <c r="O123" i="143"/>
  <c r="N153" i="143"/>
  <c r="O153" i="143"/>
  <c r="N156" i="143"/>
  <c r="O156" i="143"/>
  <c r="N115" i="143"/>
  <c r="O115" i="143"/>
  <c r="N105" i="143"/>
  <c r="O105" i="143"/>
  <c r="H70" i="143"/>
  <c r="I70" i="143"/>
  <c r="H74" i="143"/>
  <c r="I74" i="143"/>
  <c r="H138" i="143"/>
  <c r="I138" i="143"/>
  <c r="H151" i="143"/>
  <c r="I151" i="143"/>
  <c r="H101" i="143"/>
  <c r="I101" i="143"/>
  <c r="H123" i="143"/>
  <c r="I123" i="143"/>
  <c r="H153" i="143"/>
  <c r="I153" i="143"/>
  <c r="H156" i="143"/>
  <c r="I156" i="143"/>
  <c r="H124" i="143"/>
  <c r="I124" i="143"/>
  <c r="H105" i="143"/>
  <c r="I105" i="143"/>
  <c r="H158" i="143"/>
  <c r="I158" i="143"/>
  <c r="H150" i="143"/>
  <c r="I150" i="143"/>
  <c r="H132" i="143"/>
  <c r="I132" i="143"/>
  <c r="F33" i="143"/>
  <c r="G33" i="143"/>
  <c r="F160" i="143"/>
  <c r="F113" i="143"/>
  <c r="G113" i="143"/>
  <c r="F60" i="143"/>
  <c r="L60" i="143"/>
  <c r="M60" i="143"/>
  <c r="F112" i="143"/>
  <c r="F111" i="143"/>
  <c r="J100" i="143"/>
  <c r="K100" i="143"/>
  <c r="F100" i="143"/>
  <c r="G100" i="143"/>
  <c r="N99" i="143"/>
  <c r="O99" i="143"/>
  <c r="F99" i="143"/>
  <c r="L99" i="143"/>
  <c r="M99" i="143"/>
  <c r="F96" i="143"/>
  <c r="G96" i="143"/>
  <c r="F95" i="143"/>
  <c r="F34" i="143"/>
  <c r="G34" i="143"/>
  <c r="F57" i="143"/>
  <c r="F58" i="143"/>
  <c r="G58" i="143"/>
  <c r="F83" i="143"/>
  <c r="N83" i="143"/>
  <c r="O83" i="143"/>
  <c r="F82" i="143"/>
  <c r="G82" i="143"/>
  <c r="F81" i="143"/>
  <c r="N81" i="143"/>
  <c r="O81" i="143"/>
  <c r="F80" i="143"/>
  <c r="G80" i="143"/>
  <c r="F88" i="143"/>
  <c r="N88" i="143"/>
  <c r="O88" i="143"/>
  <c r="F87" i="143"/>
  <c r="G87" i="143"/>
  <c r="F86" i="143"/>
  <c r="L86" i="143"/>
  <c r="M86" i="143"/>
  <c r="F85" i="143"/>
  <c r="G85" i="143"/>
  <c r="F94" i="143"/>
  <c r="F93" i="143"/>
  <c r="G93" i="143"/>
  <c r="F92" i="143"/>
  <c r="N92" i="143"/>
  <c r="O92" i="143"/>
  <c r="F91" i="143"/>
  <c r="G91" i="143"/>
  <c r="F90" i="143"/>
  <c r="J79" i="143"/>
  <c r="K79" i="143"/>
  <c r="F79" i="143"/>
  <c r="P79" i="143"/>
  <c r="Q79" i="143"/>
  <c r="F84" i="143"/>
  <c r="F32" i="143"/>
  <c r="L32" i="143"/>
  <c r="M32" i="143"/>
  <c r="F104" i="143"/>
  <c r="N104" i="143"/>
  <c r="O104" i="143"/>
  <c r="F97" i="143"/>
  <c r="G97" i="143"/>
  <c r="F59" i="143"/>
  <c r="L59" i="143"/>
  <c r="M59" i="143"/>
  <c r="F89" i="143"/>
  <c r="G89" i="143"/>
  <c r="F98" i="143"/>
  <c r="N98" i="143"/>
  <c r="O98" i="143"/>
  <c r="F127" i="143"/>
  <c r="G127" i="143"/>
  <c r="F126" i="143"/>
  <c r="L126" i="143"/>
  <c r="M126" i="143"/>
  <c r="F56" i="143"/>
  <c r="G56" i="143"/>
  <c r="F122" i="143"/>
  <c r="F114" i="143"/>
  <c r="G114" i="143"/>
  <c r="F121" i="143"/>
  <c r="N121" i="143"/>
  <c r="O121" i="143"/>
  <c r="F120" i="143"/>
  <c r="G120" i="143"/>
  <c r="F125" i="143"/>
  <c r="F76" i="143"/>
  <c r="G76" i="143"/>
  <c r="F137" i="143"/>
  <c r="F108" i="143"/>
  <c r="G108" i="143"/>
  <c r="F107" i="143"/>
  <c r="N107" i="143"/>
  <c r="O107" i="143"/>
  <c r="F136" i="143"/>
  <c r="N110" i="143"/>
  <c r="O110" i="143"/>
  <c r="F110" i="143"/>
  <c r="L110" i="143"/>
  <c r="M110" i="143"/>
  <c r="P106" i="143"/>
  <c r="Q106" i="143"/>
  <c r="N106" i="143"/>
  <c r="O106" i="143"/>
  <c r="L106" i="143"/>
  <c r="M106" i="143"/>
  <c r="J106" i="143"/>
  <c r="K106" i="143"/>
  <c r="H106" i="143"/>
  <c r="I106" i="143"/>
  <c r="F119" i="143"/>
  <c r="G119" i="143"/>
  <c r="F163" i="143"/>
  <c r="J163" i="143"/>
  <c r="K163" i="143"/>
  <c r="H162" i="143"/>
  <c r="I162" i="143"/>
  <c r="F162" i="143"/>
  <c r="G162" i="143"/>
  <c r="F135" i="143"/>
  <c r="F134" i="143"/>
  <c r="G134" i="143"/>
  <c r="F129" i="143"/>
  <c r="G129" i="143"/>
  <c r="F38" i="143"/>
  <c r="G38" i="143"/>
  <c r="F165" i="143"/>
  <c r="P165" i="143"/>
  <c r="Q165" i="143"/>
  <c r="F164" i="143"/>
  <c r="L164" i="143"/>
  <c r="M164" i="143"/>
  <c r="F116" i="143"/>
  <c r="P116" i="143"/>
  <c r="Q116" i="143"/>
  <c r="F128" i="143"/>
  <c r="L128" i="143"/>
  <c r="M128" i="143"/>
  <c r="F157" i="143"/>
  <c r="P157" i="143"/>
  <c r="Q157" i="143"/>
  <c r="F37" i="143"/>
  <c r="F117" i="143"/>
  <c r="P117" i="143"/>
  <c r="Q117" i="143"/>
  <c r="F65" i="143"/>
  <c r="L65" i="143"/>
  <c r="M65" i="143"/>
  <c r="F61" i="143"/>
  <c r="L61" i="143"/>
  <c r="M61" i="143"/>
  <c r="F75" i="143"/>
  <c r="L75" i="143"/>
  <c r="M75" i="143"/>
  <c r="F72" i="143"/>
  <c r="P72" i="143"/>
  <c r="Q72" i="143"/>
  <c r="F68" i="143"/>
  <c r="L68" i="143"/>
  <c r="M68" i="143"/>
  <c r="F66" i="143"/>
  <c r="P66" i="143"/>
  <c r="Q66" i="143"/>
  <c r="F62" i="143"/>
  <c r="L62" i="143"/>
  <c r="M62" i="143"/>
  <c r="F73" i="143"/>
  <c r="P73" i="143"/>
  <c r="Q73" i="143"/>
  <c r="F69" i="143"/>
  <c r="F67" i="143"/>
  <c r="P67" i="143"/>
  <c r="Q67" i="143"/>
  <c r="F64" i="143"/>
  <c r="L64" i="143"/>
  <c r="M64" i="143"/>
  <c r="F63" i="143"/>
  <c r="P63" i="143"/>
  <c r="Q63" i="143"/>
  <c r="F52" i="143"/>
  <c r="L52" i="143"/>
  <c r="M52" i="143"/>
  <c r="F50" i="143"/>
  <c r="P50" i="143"/>
  <c r="Q50" i="143"/>
  <c r="F42" i="143"/>
  <c r="L42" i="143"/>
  <c r="M42" i="143"/>
  <c r="F54" i="143"/>
  <c r="P54" i="143"/>
  <c r="Q54" i="143"/>
  <c r="F53" i="143"/>
  <c r="F40" i="143"/>
  <c r="P40" i="143"/>
  <c r="Q40" i="143"/>
  <c r="F47" i="143"/>
  <c r="L47" i="143"/>
  <c r="M47" i="143"/>
  <c r="F45" i="143"/>
  <c r="P45" i="143"/>
  <c r="Q45" i="143"/>
  <c r="F43" i="143"/>
  <c r="L43" i="143"/>
  <c r="M43" i="143"/>
  <c r="F55" i="143"/>
  <c r="P55" i="143"/>
  <c r="Q55" i="143"/>
  <c r="F48" i="143"/>
  <c r="L48" i="143"/>
  <c r="M48" i="143"/>
  <c r="F51" i="143"/>
  <c r="P51" i="143"/>
  <c r="Q51" i="143"/>
  <c r="F49" i="143"/>
  <c r="F46" i="143"/>
  <c r="P46" i="143"/>
  <c r="Q46" i="143"/>
  <c r="F44" i="143"/>
  <c r="L44" i="143"/>
  <c r="M44" i="143"/>
  <c r="F41" i="143"/>
  <c r="P41" i="143"/>
  <c r="Q41" i="143"/>
  <c r="F144" i="143"/>
  <c r="L144" i="143"/>
  <c r="M144" i="143"/>
  <c r="F145" i="143"/>
  <c r="P145" i="143"/>
  <c r="Q145" i="143"/>
  <c r="F147" i="143"/>
  <c r="L147" i="143"/>
  <c r="M147" i="143"/>
  <c r="F141" i="143"/>
  <c r="P141" i="143"/>
  <c r="Q141" i="143"/>
  <c r="F142" i="143"/>
  <c r="F143" i="143"/>
  <c r="P143" i="143"/>
  <c r="Q143" i="143"/>
  <c r="F146" i="143"/>
  <c r="F140" i="143"/>
  <c r="P140" i="143"/>
  <c r="Q140" i="143"/>
  <c r="F35" i="143"/>
  <c r="F155" i="143"/>
  <c r="P155" i="143"/>
  <c r="Q155" i="143"/>
  <c r="F159" i="143"/>
  <c r="N159" i="143"/>
  <c r="O159" i="143"/>
  <c r="F39" i="143"/>
  <c r="P39" i="143"/>
  <c r="Q39" i="143"/>
  <c r="F130" i="143"/>
  <c r="F29" i="143"/>
  <c r="P29" i="143"/>
  <c r="Q29" i="143"/>
  <c r="F32" i="142"/>
  <c r="J32" i="142"/>
  <c r="K32" i="142"/>
  <c r="P66" i="142"/>
  <c r="Q66" i="142"/>
  <c r="N66" i="142"/>
  <c r="O66" i="142"/>
  <c r="L66" i="142"/>
  <c r="M66" i="142"/>
  <c r="J66" i="142"/>
  <c r="K66" i="142"/>
  <c r="H66" i="142"/>
  <c r="I66" i="142"/>
  <c r="F39" i="142"/>
  <c r="F65" i="142"/>
  <c r="J65" i="142"/>
  <c r="K65" i="142"/>
  <c r="F58" i="142"/>
  <c r="L58" i="142"/>
  <c r="M58" i="142"/>
  <c r="F56" i="142"/>
  <c r="L56" i="142"/>
  <c r="M56" i="142"/>
  <c r="F54" i="142"/>
  <c r="G54" i="142"/>
  <c r="F53" i="142"/>
  <c r="G53" i="142"/>
  <c r="F33" i="142"/>
  <c r="H33" i="142"/>
  <c r="I33" i="142"/>
  <c r="F46" i="142"/>
  <c r="N46" i="142"/>
  <c r="O46" i="142"/>
  <c r="F45" i="142"/>
  <c r="J45" i="142"/>
  <c r="K45" i="142"/>
  <c r="F44" i="142"/>
  <c r="N44" i="142"/>
  <c r="O44" i="142"/>
  <c r="F43" i="142"/>
  <c r="J43" i="142"/>
  <c r="K43" i="142"/>
  <c r="F51" i="142"/>
  <c r="N51" i="142"/>
  <c r="O51" i="142"/>
  <c r="F50" i="142"/>
  <c r="J50" i="142"/>
  <c r="K50" i="142"/>
  <c r="F49" i="142"/>
  <c r="L49" i="142"/>
  <c r="M49" i="142"/>
  <c r="F48" i="142"/>
  <c r="J48" i="142"/>
  <c r="K48" i="142"/>
  <c r="F35" i="142"/>
  <c r="N35" i="142"/>
  <c r="O35" i="142"/>
  <c r="F42" i="142"/>
  <c r="J42" i="142"/>
  <c r="K42" i="142"/>
  <c r="F47" i="142"/>
  <c r="N47" i="142"/>
  <c r="O47" i="142"/>
  <c r="F38" i="142"/>
  <c r="J38" i="142"/>
  <c r="K38" i="142"/>
  <c r="F52" i="142"/>
  <c r="N52" i="142"/>
  <c r="O52" i="142"/>
  <c r="F57" i="142"/>
  <c r="J57" i="142"/>
  <c r="K57" i="142"/>
  <c r="J55" i="142"/>
  <c r="K55" i="142"/>
  <c r="G55" i="142"/>
  <c r="F55" i="142"/>
  <c r="N55" i="142"/>
  <c r="O55" i="142"/>
  <c r="F76" i="142"/>
  <c r="J76" i="142"/>
  <c r="K76" i="142"/>
  <c r="F75" i="142"/>
  <c r="N75" i="142"/>
  <c r="O75" i="142"/>
  <c r="F37" i="142"/>
  <c r="J37" i="142"/>
  <c r="K37" i="142"/>
  <c r="F72" i="142"/>
  <c r="N72" i="142"/>
  <c r="O72" i="142"/>
  <c r="F67" i="142"/>
  <c r="J67" i="142"/>
  <c r="K67" i="142"/>
  <c r="F71" i="142"/>
  <c r="P71" i="142"/>
  <c r="Q71" i="142"/>
  <c r="N71" i="142"/>
  <c r="O71" i="142"/>
  <c r="F70" i="142"/>
  <c r="J70" i="142"/>
  <c r="K70" i="142"/>
  <c r="F74" i="142"/>
  <c r="N74" i="142"/>
  <c r="O74" i="142"/>
  <c r="F41" i="142"/>
  <c r="G41" i="142"/>
  <c r="F81" i="142"/>
  <c r="N81" i="142"/>
  <c r="O81" i="142"/>
  <c r="F62" i="142"/>
  <c r="L62" i="142"/>
  <c r="M62" i="142"/>
  <c r="F61" i="142"/>
  <c r="J61" i="142"/>
  <c r="K61" i="142"/>
  <c r="F80" i="142"/>
  <c r="N80" i="142"/>
  <c r="O80" i="142"/>
  <c r="F64" i="142"/>
  <c r="J64" i="142"/>
  <c r="K64" i="142"/>
  <c r="F60" i="142"/>
  <c r="N60" i="142"/>
  <c r="O60" i="142"/>
  <c r="F69" i="142"/>
  <c r="J69" i="142"/>
  <c r="K69" i="142"/>
  <c r="F87" i="142"/>
  <c r="N87" i="142"/>
  <c r="O87" i="142"/>
  <c r="F79" i="142"/>
  <c r="L79" i="142"/>
  <c r="M79" i="142"/>
  <c r="J79" i="142"/>
  <c r="K79" i="142"/>
  <c r="F83" i="142"/>
  <c r="N83" i="142"/>
  <c r="O83" i="142"/>
  <c r="F63" i="142"/>
  <c r="L63" i="142"/>
  <c r="M63" i="142"/>
  <c r="J63" i="142"/>
  <c r="K63" i="142"/>
  <c r="F88" i="142"/>
  <c r="N88" i="142"/>
  <c r="O88" i="142"/>
  <c r="F73" i="142"/>
  <c r="J73" i="142"/>
  <c r="K73" i="142"/>
  <c r="P84" i="142"/>
  <c r="Q84" i="142"/>
  <c r="F84" i="142"/>
  <c r="N84" i="142"/>
  <c r="O84" i="142"/>
  <c r="F59" i="142"/>
  <c r="J59" i="142"/>
  <c r="K59" i="142"/>
  <c r="F82" i="142"/>
  <c r="J82" i="142"/>
  <c r="K82" i="142"/>
  <c r="F78" i="142"/>
  <c r="J78" i="142"/>
  <c r="K78" i="142"/>
  <c r="F34" i="142"/>
  <c r="N34" i="142"/>
  <c r="O34" i="142"/>
  <c r="F68" i="142"/>
  <c r="J68" i="142"/>
  <c r="K68" i="142"/>
  <c r="F40" i="142"/>
  <c r="N40" i="142"/>
  <c r="O40" i="142"/>
  <c r="F85" i="142"/>
  <c r="J85" i="142"/>
  <c r="K85" i="142"/>
  <c r="F86" i="142"/>
  <c r="N86" i="142"/>
  <c r="O86" i="142"/>
  <c r="F36" i="142"/>
  <c r="J36" i="142"/>
  <c r="K36" i="142"/>
  <c r="F77" i="142"/>
  <c r="H77" i="142"/>
  <c r="I77" i="142"/>
  <c r="F29" i="142"/>
  <c r="L39" i="22"/>
  <c r="L39" i="126"/>
  <c r="L39" i="125"/>
  <c r="L39" i="124"/>
  <c r="L39" i="123"/>
  <c r="L39" i="122"/>
  <c r="L39" i="61"/>
  <c r="L39" i="121"/>
  <c r="L39" i="120"/>
  <c r="L39" i="119"/>
  <c r="L39" i="34"/>
  <c r="L39" i="33"/>
  <c r="L39" i="53"/>
  <c r="L39" i="129"/>
  <c r="F44" i="118"/>
  <c r="G44" i="118"/>
  <c r="H44" i="118"/>
  <c r="I44" i="118"/>
  <c r="J44" i="118"/>
  <c r="K44" i="118"/>
  <c r="L44" i="118"/>
  <c r="M44" i="118"/>
  <c r="N44" i="118"/>
  <c r="O44" i="118"/>
  <c r="F47" i="118"/>
  <c r="G47" i="118"/>
  <c r="H47" i="118"/>
  <c r="I47" i="118"/>
  <c r="J47" i="118"/>
  <c r="K47" i="118"/>
  <c r="L47" i="118"/>
  <c r="M47" i="118"/>
  <c r="N47" i="118"/>
  <c r="O47" i="118"/>
  <c r="F50" i="118"/>
  <c r="G50" i="118"/>
  <c r="H50" i="118"/>
  <c r="I50" i="118"/>
  <c r="J50" i="118"/>
  <c r="K50" i="118"/>
  <c r="L50" i="118"/>
  <c r="M50" i="118"/>
  <c r="N50" i="118"/>
  <c r="O50" i="118"/>
  <c r="F53" i="118"/>
  <c r="G53" i="118"/>
  <c r="H53" i="118"/>
  <c r="I53" i="118"/>
  <c r="J53" i="118"/>
  <c r="K53" i="118"/>
  <c r="L53" i="118"/>
  <c r="M53" i="118"/>
  <c r="N53" i="118"/>
  <c r="O53" i="118"/>
  <c r="F54" i="118"/>
  <c r="G54" i="118"/>
  <c r="H54" i="118"/>
  <c r="I54" i="118"/>
  <c r="J54" i="118"/>
  <c r="K54" i="118"/>
  <c r="L54" i="118"/>
  <c r="M54" i="118"/>
  <c r="N54" i="118"/>
  <c r="O54" i="118"/>
  <c r="F55" i="118"/>
  <c r="G55" i="118"/>
  <c r="H55" i="118"/>
  <c r="I55" i="118"/>
  <c r="J55" i="118"/>
  <c r="K55" i="118"/>
  <c r="L55" i="118"/>
  <c r="M55" i="118"/>
  <c r="N55" i="118"/>
  <c r="O55" i="118"/>
  <c r="F56" i="118"/>
  <c r="G56" i="118"/>
  <c r="H56" i="118"/>
  <c r="I56" i="118"/>
  <c r="J56" i="118"/>
  <c r="K56" i="118"/>
  <c r="L56" i="118"/>
  <c r="M56" i="118"/>
  <c r="N56" i="118"/>
  <c r="O56" i="118"/>
  <c r="F57" i="118"/>
  <c r="G57" i="118"/>
  <c r="H57" i="118"/>
  <c r="I57" i="118"/>
  <c r="J57" i="118"/>
  <c r="K57" i="118"/>
  <c r="L57" i="118"/>
  <c r="M57" i="118"/>
  <c r="N57" i="118"/>
  <c r="O57" i="118"/>
  <c r="F58" i="118"/>
  <c r="G58" i="118"/>
  <c r="H58" i="118"/>
  <c r="I58" i="118"/>
  <c r="J58" i="118"/>
  <c r="K58" i="118"/>
  <c r="L58" i="118"/>
  <c r="M58" i="118"/>
  <c r="N58" i="118"/>
  <c r="O58" i="118"/>
  <c r="F59" i="118"/>
  <c r="G59" i="118"/>
  <c r="H59" i="118"/>
  <c r="I59" i="118"/>
  <c r="J59" i="118"/>
  <c r="K59" i="118"/>
  <c r="L59" i="118"/>
  <c r="M59" i="118"/>
  <c r="N59" i="118"/>
  <c r="O59" i="118"/>
  <c r="F60" i="118"/>
  <c r="G60" i="118"/>
  <c r="H60" i="118"/>
  <c r="I60" i="118"/>
  <c r="J60" i="118"/>
  <c r="K60" i="118"/>
  <c r="L60" i="118"/>
  <c r="M60" i="118"/>
  <c r="N60" i="118"/>
  <c r="O60" i="118"/>
  <c r="F61" i="118"/>
  <c r="G61" i="118"/>
  <c r="H61" i="118"/>
  <c r="I61" i="118"/>
  <c r="J61" i="118"/>
  <c r="K61" i="118"/>
  <c r="L61" i="118"/>
  <c r="M61" i="118"/>
  <c r="N61" i="118"/>
  <c r="O61" i="118"/>
  <c r="F62" i="118"/>
  <c r="G62" i="118"/>
  <c r="H62" i="118"/>
  <c r="I62" i="118"/>
  <c r="J62" i="118"/>
  <c r="K62" i="118"/>
  <c r="L62" i="118"/>
  <c r="M62" i="118"/>
  <c r="N62" i="118"/>
  <c r="O62" i="118"/>
  <c r="F63" i="118"/>
  <c r="G63" i="118"/>
  <c r="H63" i="118"/>
  <c r="I63" i="118"/>
  <c r="J63" i="118"/>
  <c r="K63" i="118"/>
  <c r="L63" i="118"/>
  <c r="M63" i="118"/>
  <c r="N63" i="118"/>
  <c r="O63" i="118"/>
  <c r="F64" i="118"/>
  <c r="G64" i="118"/>
  <c r="H64" i="118"/>
  <c r="I64" i="118"/>
  <c r="J64" i="118"/>
  <c r="K64" i="118"/>
  <c r="L64" i="118"/>
  <c r="M64" i="118"/>
  <c r="N64" i="118"/>
  <c r="O64" i="118"/>
  <c r="F65" i="118"/>
  <c r="G65" i="118"/>
  <c r="H65" i="118"/>
  <c r="I65" i="118"/>
  <c r="J65" i="118"/>
  <c r="K65" i="118"/>
  <c r="L65" i="118"/>
  <c r="M65" i="118"/>
  <c r="N65" i="118"/>
  <c r="O65" i="118"/>
  <c r="F66" i="118"/>
  <c r="G66" i="118"/>
  <c r="H66" i="118"/>
  <c r="I66" i="118"/>
  <c r="J66" i="118"/>
  <c r="K66" i="118"/>
  <c r="L66" i="118"/>
  <c r="M66" i="118"/>
  <c r="N66" i="118"/>
  <c r="O66" i="118"/>
  <c r="F67" i="118"/>
  <c r="G67" i="118"/>
  <c r="H67" i="118"/>
  <c r="I67" i="118"/>
  <c r="J67" i="118"/>
  <c r="K67" i="118"/>
  <c r="L67" i="118"/>
  <c r="M67" i="118"/>
  <c r="N67" i="118"/>
  <c r="O67" i="118"/>
  <c r="F68" i="118"/>
  <c r="G68" i="118"/>
  <c r="H68" i="118"/>
  <c r="I68" i="118"/>
  <c r="J68" i="118"/>
  <c r="K68" i="118"/>
  <c r="L68" i="118"/>
  <c r="M68" i="118"/>
  <c r="N68" i="118"/>
  <c r="O68" i="118"/>
  <c r="F69" i="118"/>
  <c r="G69" i="118"/>
  <c r="H69" i="118"/>
  <c r="I69" i="118"/>
  <c r="J69" i="118"/>
  <c r="K69" i="118"/>
  <c r="L69" i="118"/>
  <c r="M69" i="118"/>
  <c r="N69" i="118"/>
  <c r="O69" i="118"/>
  <c r="F70" i="118"/>
  <c r="G70" i="118"/>
  <c r="H70" i="118"/>
  <c r="I70" i="118"/>
  <c r="J70" i="118"/>
  <c r="K70" i="118"/>
  <c r="L70" i="118"/>
  <c r="M70" i="118"/>
  <c r="N70" i="118"/>
  <c r="O70" i="118"/>
  <c r="F71" i="118"/>
  <c r="G71" i="118"/>
  <c r="H71" i="118"/>
  <c r="I71" i="118"/>
  <c r="J71" i="118"/>
  <c r="K71" i="118"/>
  <c r="L71" i="118"/>
  <c r="M71" i="118"/>
  <c r="N71" i="118"/>
  <c r="O71" i="118"/>
  <c r="F72" i="118"/>
  <c r="G72" i="118"/>
  <c r="H72" i="118"/>
  <c r="I72" i="118"/>
  <c r="J72" i="118"/>
  <c r="K72" i="118"/>
  <c r="L72" i="118"/>
  <c r="M72" i="118"/>
  <c r="N72" i="118"/>
  <c r="O72" i="118"/>
  <c r="F73" i="118"/>
  <c r="G73" i="118"/>
  <c r="H73" i="118"/>
  <c r="I73" i="118"/>
  <c r="J73" i="118"/>
  <c r="K73" i="118"/>
  <c r="L73" i="118"/>
  <c r="M73" i="118"/>
  <c r="N73" i="118"/>
  <c r="O73" i="118"/>
  <c r="F74" i="118"/>
  <c r="G74" i="118"/>
  <c r="H74" i="118"/>
  <c r="I74" i="118"/>
  <c r="J74" i="118"/>
  <c r="K74" i="118"/>
  <c r="L74" i="118"/>
  <c r="M74" i="118"/>
  <c r="N74" i="118"/>
  <c r="O74" i="118"/>
  <c r="F75" i="118"/>
  <c r="G75" i="118"/>
  <c r="H75" i="118"/>
  <c r="I75" i="118"/>
  <c r="J75" i="118"/>
  <c r="K75" i="118"/>
  <c r="L75" i="118"/>
  <c r="M75" i="118"/>
  <c r="N75" i="118"/>
  <c r="O75" i="118"/>
  <c r="F76" i="118"/>
  <c r="G76" i="118"/>
  <c r="H76" i="118"/>
  <c r="I76" i="118"/>
  <c r="J76" i="118"/>
  <c r="K76" i="118"/>
  <c r="L76" i="118"/>
  <c r="M76" i="118"/>
  <c r="N76" i="118"/>
  <c r="O76" i="118"/>
  <c r="F77" i="118"/>
  <c r="G77" i="118"/>
  <c r="H77" i="118"/>
  <c r="I77" i="118"/>
  <c r="J77" i="118"/>
  <c r="K77" i="118"/>
  <c r="L77" i="118"/>
  <c r="M77" i="118"/>
  <c r="N77" i="118"/>
  <c r="O77" i="118"/>
  <c r="F78" i="118"/>
  <c r="G78" i="118"/>
  <c r="H78" i="118"/>
  <c r="I78" i="118"/>
  <c r="J78" i="118"/>
  <c r="K78" i="118"/>
  <c r="L78" i="118"/>
  <c r="M78" i="118"/>
  <c r="N78" i="118"/>
  <c r="O78" i="118"/>
  <c r="G79" i="118"/>
  <c r="G79" i="118" a="1"/>
  <c r="I79" i="118"/>
  <c r="I79" i="118" a="1"/>
  <c r="K79" i="118"/>
  <c r="K79" i="118" a="1"/>
  <c r="M79" i="118"/>
  <c r="M79" i="118" a="1"/>
  <c r="O79" i="118"/>
  <c r="O79" i="118" a="1"/>
  <c r="L39" i="50"/>
  <c r="F44" i="50"/>
  <c r="G44" i="50"/>
  <c r="H44" i="50"/>
  <c r="I44" i="50"/>
  <c r="J44" i="50"/>
  <c r="K44" i="50"/>
  <c r="L44" i="50"/>
  <c r="M44" i="50"/>
  <c r="N44" i="50"/>
  <c r="O44" i="50"/>
  <c r="F47" i="50"/>
  <c r="G47" i="50"/>
  <c r="H47" i="50"/>
  <c r="I47" i="50"/>
  <c r="J47" i="50"/>
  <c r="K47" i="50"/>
  <c r="L47" i="50"/>
  <c r="M47" i="50"/>
  <c r="N47" i="50"/>
  <c r="O47" i="50"/>
  <c r="F50" i="50"/>
  <c r="G50" i="50"/>
  <c r="H50" i="50"/>
  <c r="I50" i="50"/>
  <c r="J50" i="50"/>
  <c r="K50" i="50"/>
  <c r="L50" i="50"/>
  <c r="M50" i="50"/>
  <c r="N50" i="50"/>
  <c r="O50" i="50"/>
  <c r="F53" i="50"/>
  <c r="G53" i="50"/>
  <c r="H53" i="50"/>
  <c r="I53" i="50"/>
  <c r="J53" i="50"/>
  <c r="K53" i="50"/>
  <c r="L53" i="50"/>
  <c r="M53" i="50"/>
  <c r="N53" i="50"/>
  <c r="O53" i="50"/>
  <c r="F54" i="50"/>
  <c r="G54" i="50"/>
  <c r="H54" i="50"/>
  <c r="I54" i="50"/>
  <c r="J54" i="50"/>
  <c r="K54" i="50"/>
  <c r="L54" i="50"/>
  <c r="M54" i="50"/>
  <c r="N54" i="50"/>
  <c r="O54" i="50"/>
  <c r="F55" i="50"/>
  <c r="G55" i="50"/>
  <c r="H55" i="50"/>
  <c r="I55" i="50"/>
  <c r="J55" i="50"/>
  <c r="K55" i="50"/>
  <c r="L55" i="50"/>
  <c r="M55" i="50"/>
  <c r="N55" i="50"/>
  <c r="O55" i="50"/>
  <c r="F56" i="50"/>
  <c r="G56" i="50"/>
  <c r="H56" i="50"/>
  <c r="I56" i="50"/>
  <c r="J56" i="50"/>
  <c r="K56" i="50"/>
  <c r="L56" i="50"/>
  <c r="M56" i="50"/>
  <c r="N56" i="50"/>
  <c r="O56" i="50"/>
  <c r="F57" i="50"/>
  <c r="G57" i="50"/>
  <c r="H57" i="50"/>
  <c r="I57" i="50"/>
  <c r="J57" i="50"/>
  <c r="K57" i="50"/>
  <c r="L57" i="50"/>
  <c r="M57" i="50"/>
  <c r="N57" i="50"/>
  <c r="O57" i="50"/>
  <c r="F58" i="50"/>
  <c r="G58" i="50"/>
  <c r="H58" i="50"/>
  <c r="I58" i="50"/>
  <c r="J58" i="50"/>
  <c r="K58" i="50"/>
  <c r="L58" i="50"/>
  <c r="M58" i="50"/>
  <c r="N58" i="50"/>
  <c r="O58" i="50"/>
  <c r="F59" i="50"/>
  <c r="G59" i="50"/>
  <c r="H59" i="50"/>
  <c r="I59" i="50"/>
  <c r="J59" i="50"/>
  <c r="K59" i="50"/>
  <c r="L59" i="50"/>
  <c r="M59" i="50"/>
  <c r="N59" i="50"/>
  <c r="O59" i="50"/>
  <c r="F60" i="50"/>
  <c r="G60" i="50"/>
  <c r="H60" i="50"/>
  <c r="I60" i="50"/>
  <c r="J60" i="50"/>
  <c r="K60" i="50"/>
  <c r="L60" i="50"/>
  <c r="M60" i="50"/>
  <c r="N60" i="50"/>
  <c r="O60" i="50"/>
  <c r="F61" i="50"/>
  <c r="G61" i="50"/>
  <c r="H61" i="50"/>
  <c r="I61" i="50"/>
  <c r="J61" i="50"/>
  <c r="K61" i="50"/>
  <c r="L61" i="50"/>
  <c r="M61" i="50"/>
  <c r="N61" i="50"/>
  <c r="O61" i="50"/>
  <c r="F62" i="50"/>
  <c r="G62" i="50"/>
  <c r="H62" i="50"/>
  <c r="I62" i="50"/>
  <c r="J62" i="50"/>
  <c r="K62" i="50"/>
  <c r="L62" i="50"/>
  <c r="M62" i="50"/>
  <c r="N62" i="50"/>
  <c r="O62" i="50"/>
  <c r="F63" i="50"/>
  <c r="G63" i="50"/>
  <c r="H63" i="50"/>
  <c r="I63" i="50"/>
  <c r="J63" i="50"/>
  <c r="K63" i="50"/>
  <c r="L63" i="50"/>
  <c r="M63" i="50"/>
  <c r="N63" i="50"/>
  <c r="O63" i="50"/>
  <c r="F64" i="50"/>
  <c r="G64" i="50"/>
  <c r="H64" i="50"/>
  <c r="I64" i="50"/>
  <c r="J64" i="50"/>
  <c r="K64" i="50"/>
  <c r="L64" i="50"/>
  <c r="M64" i="50"/>
  <c r="N64" i="50"/>
  <c r="O64" i="50"/>
  <c r="F65" i="50"/>
  <c r="G65" i="50"/>
  <c r="H65" i="50"/>
  <c r="I65" i="50"/>
  <c r="J65" i="50"/>
  <c r="K65" i="50"/>
  <c r="L65" i="50"/>
  <c r="M65" i="50"/>
  <c r="N65" i="50"/>
  <c r="O65" i="50"/>
  <c r="F66" i="50"/>
  <c r="G66" i="50"/>
  <c r="H66" i="50"/>
  <c r="I66" i="50"/>
  <c r="J66" i="50"/>
  <c r="K66" i="50"/>
  <c r="L66" i="50"/>
  <c r="M66" i="50"/>
  <c r="N66" i="50"/>
  <c r="O66" i="50"/>
  <c r="F67" i="50"/>
  <c r="G67" i="50"/>
  <c r="H67" i="50"/>
  <c r="I67" i="50"/>
  <c r="J67" i="50"/>
  <c r="K67" i="50"/>
  <c r="L67" i="50"/>
  <c r="M67" i="50"/>
  <c r="N67" i="50"/>
  <c r="O67" i="50"/>
  <c r="F68" i="50"/>
  <c r="G68" i="50"/>
  <c r="H68" i="50"/>
  <c r="I68" i="50"/>
  <c r="J68" i="50"/>
  <c r="K68" i="50"/>
  <c r="L68" i="50"/>
  <c r="M68" i="50"/>
  <c r="N68" i="50"/>
  <c r="O68" i="50"/>
  <c r="G69" i="50"/>
  <c r="G69" i="50" a="1"/>
  <c r="I69" i="50"/>
  <c r="I69" i="50" a="1"/>
  <c r="K69" i="50"/>
  <c r="K69" i="50" a="1"/>
  <c r="M69" i="50"/>
  <c r="M69" i="50" a="1"/>
  <c r="O69" i="50"/>
  <c r="O69" i="50" a="1"/>
  <c r="F41" i="117"/>
  <c r="G41" i="117"/>
  <c r="H41" i="117"/>
  <c r="I41" i="117"/>
  <c r="J41" i="117"/>
  <c r="K41" i="117"/>
  <c r="L41" i="117"/>
  <c r="M41" i="117"/>
  <c r="N41" i="117"/>
  <c r="O41" i="117"/>
  <c r="F44" i="117"/>
  <c r="G44" i="117"/>
  <c r="H44" i="117"/>
  <c r="I44" i="117"/>
  <c r="J44" i="117"/>
  <c r="K44" i="117"/>
  <c r="L44" i="117"/>
  <c r="M44" i="117"/>
  <c r="N44" i="117"/>
  <c r="O44" i="117"/>
  <c r="F47" i="117"/>
  <c r="G47" i="117"/>
  <c r="H47" i="117"/>
  <c r="I47" i="117"/>
  <c r="J47" i="117"/>
  <c r="K47" i="117"/>
  <c r="L47" i="117"/>
  <c r="M47" i="117"/>
  <c r="N47" i="117"/>
  <c r="O47" i="117"/>
  <c r="F48" i="117"/>
  <c r="G48" i="117"/>
  <c r="H48" i="117"/>
  <c r="I48" i="117"/>
  <c r="J48" i="117"/>
  <c r="K48" i="117"/>
  <c r="L48" i="117"/>
  <c r="M48" i="117"/>
  <c r="N48" i="117"/>
  <c r="O48" i="117"/>
  <c r="F49" i="117"/>
  <c r="G49" i="117"/>
  <c r="H49" i="117"/>
  <c r="I49" i="117"/>
  <c r="J49" i="117"/>
  <c r="K49" i="117"/>
  <c r="L49" i="117"/>
  <c r="M49" i="117"/>
  <c r="N49" i="117"/>
  <c r="O49" i="117"/>
  <c r="F50" i="117"/>
  <c r="G50" i="117"/>
  <c r="H50" i="117"/>
  <c r="I50" i="117"/>
  <c r="J50" i="117"/>
  <c r="K50" i="117"/>
  <c r="L50" i="117"/>
  <c r="M50" i="117"/>
  <c r="N50" i="117"/>
  <c r="O50" i="117"/>
  <c r="F51" i="117"/>
  <c r="G51" i="117"/>
  <c r="H51" i="117"/>
  <c r="I51" i="117"/>
  <c r="J51" i="117"/>
  <c r="K51" i="117"/>
  <c r="L51" i="117"/>
  <c r="M51" i="117"/>
  <c r="N51" i="117"/>
  <c r="O51" i="117"/>
  <c r="F52" i="117"/>
  <c r="G52" i="117"/>
  <c r="H52" i="117"/>
  <c r="I52" i="117"/>
  <c r="J52" i="117"/>
  <c r="K52" i="117"/>
  <c r="L52" i="117"/>
  <c r="M52" i="117"/>
  <c r="N52" i="117"/>
  <c r="O52" i="117"/>
  <c r="F53" i="117"/>
  <c r="G53" i="117"/>
  <c r="H53" i="117"/>
  <c r="I53" i="117"/>
  <c r="J53" i="117"/>
  <c r="K53" i="117"/>
  <c r="L53" i="117"/>
  <c r="M53" i="117"/>
  <c r="N53" i="117"/>
  <c r="O53" i="117"/>
  <c r="F54" i="117"/>
  <c r="G54" i="117"/>
  <c r="H54" i="117"/>
  <c r="I54" i="117"/>
  <c r="J54" i="117"/>
  <c r="K54" i="117"/>
  <c r="L54" i="117"/>
  <c r="M54" i="117"/>
  <c r="N54" i="117"/>
  <c r="O54" i="117"/>
  <c r="F55" i="117"/>
  <c r="G55" i="117"/>
  <c r="H55" i="117"/>
  <c r="I55" i="117"/>
  <c r="J55" i="117"/>
  <c r="K55" i="117"/>
  <c r="L55" i="117"/>
  <c r="M55" i="117"/>
  <c r="N55" i="117"/>
  <c r="O55" i="117"/>
  <c r="F56" i="117"/>
  <c r="G56" i="117"/>
  <c r="H56" i="117"/>
  <c r="I56" i="117"/>
  <c r="J56" i="117"/>
  <c r="K56" i="117"/>
  <c r="L56" i="117"/>
  <c r="M56" i="117"/>
  <c r="N56" i="117"/>
  <c r="O56" i="117"/>
  <c r="F57" i="117"/>
  <c r="G57" i="117"/>
  <c r="H57" i="117"/>
  <c r="I57" i="117"/>
  <c r="J57" i="117"/>
  <c r="K57" i="117"/>
  <c r="L57" i="117"/>
  <c r="M57" i="117"/>
  <c r="N57" i="117"/>
  <c r="O57" i="117"/>
  <c r="F58" i="117"/>
  <c r="G58" i="117"/>
  <c r="H58" i="117"/>
  <c r="I58" i="117"/>
  <c r="J58" i="117"/>
  <c r="K58" i="117"/>
  <c r="L58" i="117"/>
  <c r="M58" i="117"/>
  <c r="N58" i="117"/>
  <c r="O58" i="117"/>
  <c r="F59" i="117"/>
  <c r="G59" i="117"/>
  <c r="H59" i="117"/>
  <c r="I59" i="117"/>
  <c r="J59" i="117"/>
  <c r="K59" i="117"/>
  <c r="L59" i="117"/>
  <c r="M59" i="117"/>
  <c r="N59" i="117"/>
  <c r="O59" i="117"/>
  <c r="F60" i="117"/>
  <c r="G60" i="117"/>
  <c r="H60" i="117"/>
  <c r="I60" i="117"/>
  <c r="J60" i="117"/>
  <c r="K60" i="117"/>
  <c r="L60" i="117"/>
  <c r="M60" i="117"/>
  <c r="N60" i="117"/>
  <c r="O60" i="117"/>
  <c r="F61" i="117"/>
  <c r="G61" i="117"/>
  <c r="H61" i="117"/>
  <c r="I61" i="117"/>
  <c r="J61" i="117"/>
  <c r="K61" i="117"/>
  <c r="L61" i="117"/>
  <c r="M61" i="117"/>
  <c r="N61" i="117"/>
  <c r="O61" i="117"/>
  <c r="F62" i="117"/>
  <c r="G62" i="117"/>
  <c r="H62" i="117"/>
  <c r="I62" i="117"/>
  <c r="J62" i="117"/>
  <c r="K62" i="117"/>
  <c r="L62" i="117"/>
  <c r="M62" i="117"/>
  <c r="N62" i="117"/>
  <c r="O62" i="117"/>
  <c r="G63" i="117"/>
  <c r="G63" i="117" a="1"/>
  <c r="I63" i="117"/>
  <c r="I63" i="117" a="1"/>
  <c r="K63" i="117"/>
  <c r="K63" i="117" a="1"/>
  <c r="M63" i="117"/>
  <c r="M63" i="117" a="1"/>
  <c r="O63" i="117"/>
  <c r="O63" i="117" a="1"/>
  <c r="F41" i="116"/>
  <c r="G41" i="116"/>
  <c r="J41" i="116"/>
  <c r="K41" i="116"/>
  <c r="N41" i="116"/>
  <c r="O41" i="116"/>
  <c r="F44" i="116"/>
  <c r="G44" i="116"/>
  <c r="H44" i="116"/>
  <c r="I44" i="116"/>
  <c r="J44" i="116"/>
  <c r="K44" i="116"/>
  <c r="L44" i="116"/>
  <c r="M44" i="116"/>
  <c r="N44" i="116"/>
  <c r="O44" i="116"/>
  <c r="F45" i="116"/>
  <c r="G45" i="116"/>
  <c r="H45" i="116"/>
  <c r="I45" i="116"/>
  <c r="J45" i="116"/>
  <c r="K45" i="116"/>
  <c r="L45" i="116"/>
  <c r="M45" i="116"/>
  <c r="N45" i="116"/>
  <c r="O45" i="116"/>
  <c r="O46" i="116"/>
  <c r="F41" i="104"/>
  <c r="G41" i="104"/>
  <c r="M41" i="104"/>
  <c r="O41" i="104"/>
  <c r="F44" i="104"/>
  <c r="G44" i="104"/>
  <c r="F47" i="104"/>
  <c r="G47" i="104"/>
  <c r="H47" i="104"/>
  <c r="I47" i="104"/>
  <c r="J47" i="104"/>
  <c r="K47" i="104"/>
  <c r="L47" i="104"/>
  <c r="M47" i="104"/>
  <c r="N47" i="104"/>
  <c r="O47" i="104"/>
  <c r="F48" i="104"/>
  <c r="G48" i="104"/>
  <c r="H48" i="104"/>
  <c r="I48" i="104"/>
  <c r="J48" i="104"/>
  <c r="K48" i="104"/>
  <c r="L48" i="104"/>
  <c r="M48" i="104"/>
  <c r="N48" i="104"/>
  <c r="O48" i="104"/>
  <c r="G49" i="104" a="1"/>
  <c r="I49" i="104" a="1"/>
  <c r="K49" i="104" a="1"/>
  <c r="M49" i="104" a="1"/>
  <c r="O49" i="104" a="1"/>
  <c r="F26" i="132"/>
  <c r="G26" i="132"/>
  <c r="H26" i="132"/>
  <c r="I26" i="132"/>
  <c r="J26" i="132"/>
  <c r="K26" i="132"/>
  <c r="L26" i="132"/>
  <c r="M26" i="132"/>
  <c r="N26" i="132"/>
  <c r="O26" i="132"/>
  <c r="F29" i="132"/>
  <c r="G29" i="132"/>
  <c r="H29" i="132"/>
  <c r="I29" i="132"/>
  <c r="J29" i="132"/>
  <c r="K29" i="132"/>
  <c r="L29" i="132"/>
  <c r="M29" i="132"/>
  <c r="N29" i="132"/>
  <c r="O29" i="132"/>
  <c r="F30" i="132"/>
  <c r="G30" i="132"/>
  <c r="H30" i="132"/>
  <c r="I30" i="132"/>
  <c r="J30" i="132"/>
  <c r="K30" i="132"/>
  <c r="L30" i="132"/>
  <c r="M30" i="132"/>
  <c r="N30" i="132"/>
  <c r="O30" i="132"/>
  <c r="F31" i="132"/>
  <c r="G31" i="132"/>
  <c r="H31" i="132"/>
  <c r="I31" i="132"/>
  <c r="J31" i="132"/>
  <c r="K31" i="132"/>
  <c r="L31" i="132"/>
  <c r="M31" i="132"/>
  <c r="N31" i="132"/>
  <c r="O31" i="132"/>
  <c r="F32" i="132"/>
  <c r="G32" i="132"/>
  <c r="H32" i="132"/>
  <c r="I32" i="132"/>
  <c r="J32" i="132"/>
  <c r="K32" i="132"/>
  <c r="L32" i="132"/>
  <c r="M32" i="132"/>
  <c r="N32" i="132"/>
  <c r="O32" i="132"/>
  <c r="F33" i="132"/>
  <c r="G33" i="132"/>
  <c r="H33" i="132"/>
  <c r="I33" i="132"/>
  <c r="J33" i="132"/>
  <c r="K33" i="132"/>
  <c r="L33" i="132"/>
  <c r="M33" i="132"/>
  <c r="N33" i="132"/>
  <c r="O33" i="132"/>
  <c r="G34" i="132"/>
  <c r="I34" i="132"/>
  <c r="K34" i="132"/>
  <c r="M34" i="132"/>
  <c r="O34" i="132"/>
  <c r="L39" i="132"/>
  <c r="F27" i="137"/>
  <c r="G27" i="137"/>
  <c r="H27" i="137"/>
  <c r="I27" i="137"/>
  <c r="J27" i="137"/>
  <c r="K27" i="137"/>
  <c r="L27" i="137"/>
  <c r="M27" i="137"/>
  <c r="N27" i="137"/>
  <c r="O27" i="137"/>
  <c r="P27" i="137"/>
  <c r="Q27" i="137"/>
  <c r="F30" i="137"/>
  <c r="G30" i="137"/>
  <c r="H30" i="137"/>
  <c r="I30" i="137"/>
  <c r="J30" i="137"/>
  <c r="K30" i="137"/>
  <c r="L30" i="137"/>
  <c r="M30" i="137"/>
  <c r="N30" i="137"/>
  <c r="O30" i="137"/>
  <c r="P30" i="137"/>
  <c r="Q30" i="137"/>
  <c r="F31" i="137"/>
  <c r="G31" i="137"/>
  <c r="H31" i="137"/>
  <c r="I31" i="137"/>
  <c r="J31" i="137"/>
  <c r="K31" i="137"/>
  <c r="L31" i="137"/>
  <c r="M31" i="137"/>
  <c r="N31" i="137"/>
  <c r="O31" i="137"/>
  <c r="P31" i="137"/>
  <c r="Q31" i="137"/>
  <c r="F32" i="137"/>
  <c r="G32" i="137"/>
  <c r="H32" i="137"/>
  <c r="I32" i="137"/>
  <c r="J32" i="137"/>
  <c r="K32" i="137"/>
  <c r="L32" i="137"/>
  <c r="M32" i="137"/>
  <c r="N32" i="137"/>
  <c r="O32" i="137"/>
  <c r="P32" i="137"/>
  <c r="Q32" i="137"/>
  <c r="F33" i="137"/>
  <c r="G33" i="137"/>
  <c r="H33" i="137"/>
  <c r="I33" i="137"/>
  <c r="J33" i="137"/>
  <c r="K33" i="137"/>
  <c r="L33" i="137"/>
  <c r="M33" i="137"/>
  <c r="N33" i="137"/>
  <c r="O33" i="137"/>
  <c r="P33" i="137"/>
  <c r="Q33" i="137"/>
  <c r="F34" i="137"/>
  <c r="G34" i="137"/>
  <c r="H34" i="137"/>
  <c r="I34" i="137"/>
  <c r="J34" i="137"/>
  <c r="K34" i="137"/>
  <c r="L34" i="137"/>
  <c r="M34" i="137"/>
  <c r="N34" i="137"/>
  <c r="O34" i="137"/>
  <c r="P34" i="137"/>
  <c r="Q34" i="137"/>
  <c r="F35" i="137"/>
  <c r="G35" i="137"/>
  <c r="H35" i="137"/>
  <c r="I35" i="137"/>
  <c r="J35" i="137"/>
  <c r="K35" i="137"/>
  <c r="L35" i="137"/>
  <c r="M35" i="137"/>
  <c r="N35" i="137"/>
  <c r="O35" i="137"/>
  <c r="P35" i="137"/>
  <c r="Q35" i="137"/>
  <c r="F36" i="137"/>
  <c r="G36" i="137"/>
  <c r="H36" i="137"/>
  <c r="I36" i="137"/>
  <c r="J36" i="137"/>
  <c r="K36" i="137"/>
  <c r="L36" i="137"/>
  <c r="M36" i="137"/>
  <c r="N36" i="137"/>
  <c r="O36" i="137"/>
  <c r="P36" i="137"/>
  <c r="Q36" i="137"/>
  <c r="F37" i="137"/>
  <c r="G37" i="137"/>
  <c r="H37" i="137"/>
  <c r="I37" i="137"/>
  <c r="J37" i="137"/>
  <c r="K37" i="137"/>
  <c r="L37" i="137"/>
  <c r="M37" i="137"/>
  <c r="N37" i="137"/>
  <c r="O37" i="137"/>
  <c r="P37" i="137"/>
  <c r="Q37" i="137"/>
  <c r="F38" i="137"/>
  <c r="G38" i="137"/>
  <c r="H38" i="137"/>
  <c r="I38" i="137"/>
  <c r="J38" i="137"/>
  <c r="K38" i="137"/>
  <c r="L38" i="137"/>
  <c r="M38" i="137"/>
  <c r="N38" i="137"/>
  <c r="O38" i="137"/>
  <c r="P38" i="137"/>
  <c r="Q38" i="137"/>
  <c r="F39" i="137"/>
  <c r="G39" i="137"/>
  <c r="H39" i="137"/>
  <c r="I39" i="137"/>
  <c r="J39" i="137"/>
  <c r="K39" i="137"/>
  <c r="L39" i="137"/>
  <c r="M39" i="137"/>
  <c r="N39" i="137"/>
  <c r="O39" i="137"/>
  <c r="P39" i="137"/>
  <c r="Q39" i="137"/>
  <c r="F40" i="137"/>
  <c r="G40" i="137"/>
  <c r="H40" i="137"/>
  <c r="I40" i="137"/>
  <c r="J40" i="137"/>
  <c r="K40" i="137"/>
  <c r="L40" i="137"/>
  <c r="M40" i="137"/>
  <c r="N40" i="137"/>
  <c r="O40" i="137"/>
  <c r="P40" i="137"/>
  <c r="Q40" i="137"/>
  <c r="F41" i="137"/>
  <c r="G41" i="137"/>
  <c r="H41" i="137"/>
  <c r="I41" i="137"/>
  <c r="J41" i="137"/>
  <c r="K41" i="137"/>
  <c r="L41" i="137"/>
  <c r="M41" i="137"/>
  <c r="N41" i="137"/>
  <c r="O41" i="137"/>
  <c r="P41" i="137"/>
  <c r="Q41" i="137"/>
  <c r="F42" i="137"/>
  <c r="G42" i="137"/>
  <c r="H42" i="137"/>
  <c r="I42" i="137"/>
  <c r="J42" i="137"/>
  <c r="K42" i="137"/>
  <c r="L42" i="137"/>
  <c r="M42" i="137"/>
  <c r="N42" i="137"/>
  <c r="O42" i="137"/>
  <c r="P42" i="137"/>
  <c r="Q42" i="137"/>
  <c r="F43" i="137"/>
  <c r="G43" i="137"/>
  <c r="H43" i="137"/>
  <c r="I43" i="137"/>
  <c r="J43" i="137"/>
  <c r="K43" i="137"/>
  <c r="L43" i="137"/>
  <c r="M43" i="137"/>
  <c r="N43" i="137"/>
  <c r="O43" i="137"/>
  <c r="P43" i="137"/>
  <c r="Q43" i="137"/>
  <c r="F44" i="137"/>
  <c r="G44" i="137"/>
  <c r="H44" i="137"/>
  <c r="I44" i="137"/>
  <c r="J44" i="137"/>
  <c r="K44" i="137"/>
  <c r="L44" i="137"/>
  <c r="M44" i="137"/>
  <c r="N44" i="137"/>
  <c r="O44" i="137"/>
  <c r="P44" i="137"/>
  <c r="Q44" i="137"/>
  <c r="F45" i="137"/>
  <c r="G45" i="137"/>
  <c r="H45" i="137"/>
  <c r="I45" i="137"/>
  <c r="J45" i="137"/>
  <c r="K45" i="137"/>
  <c r="L45" i="137"/>
  <c r="M45" i="137"/>
  <c r="N45" i="137"/>
  <c r="O45" i="137"/>
  <c r="P45" i="137"/>
  <c r="Q45" i="137"/>
  <c r="F46" i="137"/>
  <c r="G46" i="137"/>
  <c r="H46" i="137"/>
  <c r="I46" i="137"/>
  <c r="J46" i="137"/>
  <c r="K46" i="137"/>
  <c r="L46" i="137"/>
  <c r="M46" i="137"/>
  <c r="N46" i="137"/>
  <c r="O46" i="137"/>
  <c r="P46" i="137"/>
  <c r="Q46" i="137"/>
  <c r="F47" i="137"/>
  <c r="G47" i="137"/>
  <c r="H47" i="137"/>
  <c r="I47" i="137"/>
  <c r="J47" i="137"/>
  <c r="K47" i="137"/>
  <c r="L47" i="137"/>
  <c r="M47" i="137"/>
  <c r="N47" i="137"/>
  <c r="O47" i="137"/>
  <c r="P47" i="137"/>
  <c r="Q47" i="137"/>
  <c r="F48" i="137"/>
  <c r="G48" i="137"/>
  <c r="H48" i="137"/>
  <c r="I48" i="137"/>
  <c r="J48" i="137"/>
  <c r="K48" i="137"/>
  <c r="L48" i="137"/>
  <c r="M48" i="137"/>
  <c r="N48" i="137"/>
  <c r="O48" i="137"/>
  <c r="P48" i="137"/>
  <c r="Q48" i="137"/>
  <c r="F49" i="137"/>
  <c r="G49" i="137"/>
  <c r="H49" i="137"/>
  <c r="I49" i="137"/>
  <c r="J49" i="137"/>
  <c r="K49" i="137"/>
  <c r="L49" i="137"/>
  <c r="M49" i="137"/>
  <c r="N49" i="137"/>
  <c r="O49" i="137"/>
  <c r="P49" i="137"/>
  <c r="Q49" i="137"/>
  <c r="F50" i="137"/>
  <c r="G50" i="137"/>
  <c r="H50" i="137"/>
  <c r="I50" i="137"/>
  <c r="J50" i="137"/>
  <c r="K50" i="137"/>
  <c r="L50" i="137"/>
  <c r="M50" i="137"/>
  <c r="N50" i="137"/>
  <c r="O50" i="137"/>
  <c r="P50" i="137"/>
  <c r="Q50" i="137"/>
  <c r="F51" i="137"/>
  <c r="G51" i="137"/>
  <c r="H51" i="137"/>
  <c r="I51" i="137"/>
  <c r="J51" i="137"/>
  <c r="K51" i="137"/>
  <c r="L51" i="137"/>
  <c r="M51" i="137"/>
  <c r="N51" i="137"/>
  <c r="O51" i="137"/>
  <c r="P51" i="137"/>
  <c r="Q51" i="137"/>
  <c r="F52" i="137"/>
  <c r="G52" i="137"/>
  <c r="H52" i="137"/>
  <c r="I52" i="137"/>
  <c r="J52" i="137"/>
  <c r="K52" i="137"/>
  <c r="L52" i="137"/>
  <c r="M52" i="137"/>
  <c r="N52" i="137"/>
  <c r="O52" i="137"/>
  <c r="P52" i="137"/>
  <c r="Q52" i="137"/>
  <c r="F53" i="137"/>
  <c r="G53" i="137"/>
  <c r="H53" i="137"/>
  <c r="I53" i="137"/>
  <c r="J53" i="137"/>
  <c r="K53" i="137"/>
  <c r="L53" i="137"/>
  <c r="M53" i="137"/>
  <c r="N53" i="137"/>
  <c r="O53" i="137"/>
  <c r="P53" i="137"/>
  <c r="Q53" i="137"/>
  <c r="F54" i="137"/>
  <c r="G54" i="137"/>
  <c r="H54" i="137"/>
  <c r="I54" i="137"/>
  <c r="J54" i="137"/>
  <c r="K54" i="137"/>
  <c r="L54" i="137"/>
  <c r="M54" i="137"/>
  <c r="N54" i="137"/>
  <c r="O54" i="137"/>
  <c r="P54" i="137"/>
  <c r="Q54" i="137"/>
  <c r="F55" i="137"/>
  <c r="G55" i="137"/>
  <c r="H55" i="137"/>
  <c r="I55" i="137"/>
  <c r="J55" i="137"/>
  <c r="K55" i="137"/>
  <c r="L55" i="137"/>
  <c r="M55" i="137"/>
  <c r="N55" i="137"/>
  <c r="O55" i="137"/>
  <c r="P55" i="137"/>
  <c r="Q55" i="137"/>
  <c r="F56" i="137"/>
  <c r="G56" i="137"/>
  <c r="H56" i="137"/>
  <c r="I56" i="137"/>
  <c r="J56" i="137"/>
  <c r="K56" i="137"/>
  <c r="L56" i="137"/>
  <c r="M56" i="137"/>
  <c r="N56" i="137"/>
  <c r="O56" i="137"/>
  <c r="P56" i="137"/>
  <c r="Q56" i="137"/>
  <c r="F57" i="137"/>
  <c r="G57" i="137"/>
  <c r="H57" i="137"/>
  <c r="I57" i="137"/>
  <c r="J57" i="137"/>
  <c r="K57" i="137"/>
  <c r="L57" i="137"/>
  <c r="M57" i="137"/>
  <c r="N57" i="137"/>
  <c r="O57" i="137"/>
  <c r="P57" i="137"/>
  <c r="Q57" i="137"/>
  <c r="F58" i="137"/>
  <c r="G58" i="137"/>
  <c r="H58" i="137"/>
  <c r="I58" i="137"/>
  <c r="J58" i="137"/>
  <c r="K58" i="137"/>
  <c r="L58" i="137"/>
  <c r="M58" i="137"/>
  <c r="N58" i="137"/>
  <c r="O58" i="137"/>
  <c r="P58" i="137"/>
  <c r="Q58" i="137"/>
  <c r="F59" i="137"/>
  <c r="G59" i="137"/>
  <c r="H59" i="137"/>
  <c r="I59" i="137"/>
  <c r="J59" i="137"/>
  <c r="K59" i="137"/>
  <c r="L59" i="137"/>
  <c r="M59" i="137"/>
  <c r="N59" i="137"/>
  <c r="O59" i="137"/>
  <c r="P59" i="137"/>
  <c r="Q59" i="137"/>
  <c r="F60" i="137"/>
  <c r="G60" i="137"/>
  <c r="H60" i="137"/>
  <c r="I60" i="137"/>
  <c r="J60" i="137"/>
  <c r="K60" i="137"/>
  <c r="L60" i="137"/>
  <c r="M60" i="137"/>
  <c r="N60" i="137"/>
  <c r="O60" i="137"/>
  <c r="P60" i="137"/>
  <c r="Q60" i="137"/>
  <c r="F61" i="137"/>
  <c r="G61" i="137"/>
  <c r="H61" i="137"/>
  <c r="I61" i="137"/>
  <c r="J61" i="137"/>
  <c r="K61" i="137"/>
  <c r="L61" i="137"/>
  <c r="M61" i="137"/>
  <c r="N61" i="137"/>
  <c r="O61" i="137"/>
  <c r="P61" i="137"/>
  <c r="Q61" i="137"/>
  <c r="F62" i="137"/>
  <c r="G62" i="137"/>
  <c r="H62" i="137"/>
  <c r="I62" i="137"/>
  <c r="J62" i="137"/>
  <c r="K62" i="137"/>
  <c r="L62" i="137"/>
  <c r="M62" i="137"/>
  <c r="N62" i="137"/>
  <c r="O62" i="137"/>
  <c r="P62" i="137"/>
  <c r="Q62" i="137"/>
  <c r="F63" i="137"/>
  <c r="G63" i="137"/>
  <c r="H63" i="137"/>
  <c r="I63" i="137"/>
  <c r="J63" i="137"/>
  <c r="K63" i="137"/>
  <c r="L63" i="137"/>
  <c r="M63" i="137"/>
  <c r="N63" i="137"/>
  <c r="O63" i="137"/>
  <c r="P63" i="137"/>
  <c r="Q63" i="137"/>
  <c r="F64" i="137"/>
  <c r="G64" i="137"/>
  <c r="H64" i="137"/>
  <c r="I64" i="137"/>
  <c r="J64" i="137"/>
  <c r="K64" i="137"/>
  <c r="L64" i="137"/>
  <c r="M64" i="137"/>
  <c r="N64" i="137"/>
  <c r="O64" i="137"/>
  <c r="P64" i="137"/>
  <c r="Q64" i="137"/>
  <c r="F65" i="137"/>
  <c r="G65" i="137"/>
  <c r="H65" i="137"/>
  <c r="I65" i="137"/>
  <c r="J65" i="137"/>
  <c r="K65" i="137"/>
  <c r="L65" i="137"/>
  <c r="M65" i="137"/>
  <c r="N65" i="137"/>
  <c r="O65" i="137"/>
  <c r="P65" i="137"/>
  <c r="Q65" i="137"/>
  <c r="F66" i="137"/>
  <c r="G66" i="137"/>
  <c r="H66" i="137"/>
  <c r="I66" i="137"/>
  <c r="J66" i="137"/>
  <c r="K66" i="137"/>
  <c r="L66" i="137"/>
  <c r="M66" i="137"/>
  <c r="N66" i="137"/>
  <c r="O66" i="137"/>
  <c r="P66" i="137"/>
  <c r="Q66" i="137"/>
  <c r="F67" i="137"/>
  <c r="G67" i="137"/>
  <c r="H67" i="137"/>
  <c r="I67" i="137"/>
  <c r="J67" i="137"/>
  <c r="K67" i="137"/>
  <c r="L67" i="137"/>
  <c r="M67" i="137"/>
  <c r="N67" i="137"/>
  <c r="O67" i="137"/>
  <c r="P67" i="137"/>
  <c r="Q67" i="137"/>
  <c r="F68" i="137"/>
  <c r="G68" i="137"/>
  <c r="H68" i="137"/>
  <c r="I68" i="137"/>
  <c r="J68" i="137"/>
  <c r="K68" i="137"/>
  <c r="L68" i="137"/>
  <c r="M68" i="137"/>
  <c r="N68" i="137"/>
  <c r="O68" i="137"/>
  <c r="P68" i="137"/>
  <c r="Q68" i="137"/>
  <c r="F69" i="137"/>
  <c r="G69" i="137"/>
  <c r="H69" i="137"/>
  <c r="I69" i="137"/>
  <c r="J69" i="137"/>
  <c r="K69" i="137"/>
  <c r="L69" i="137"/>
  <c r="M69" i="137"/>
  <c r="N69" i="137"/>
  <c r="O69" i="137"/>
  <c r="P69" i="137"/>
  <c r="Q69" i="137"/>
  <c r="F70" i="137"/>
  <c r="G70" i="137"/>
  <c r="H70" i="137"/>
  <c r="I70" i="137"/>
  <c r="J70" i="137"/>
  <c r="K70" i="137"/>
  <c r="L70" i="137"/>
  <c r="M70" i="137"/>
  <c r="N70" i="137"/>
  <c r="O70" i="137"/>
  <c r="P70" i="137"/>
  <c r="Q70" i="137"/>
  <c r="F71" i="137"/>
  <c r="G71" i="137"/>
  <c r="H71" i="137"/>
  <c r="I71" i="137"/>
  <c r="J71" i="137"/>
  <c r="K71" i="137"/>
  <c r="L71" i="137"/>
  <c r="M71" i="137"/>
  <c r="N71" i="137"/>
  <c r="O71" i="137"/>
  <c r="P71" i="137"/>
  <c r="Q71" i="137"/>
  <c r="F72" i="137"/>
  <c r="G72" i="137"/>
  <c r="H72" i="137"/>
  <c r="I72" i="137"/>
  <c r="J72" i="137"/>
  <c r="K72" i="137"/>
  <c r="L72" i="137"/>
  <c r="M72" i="137"/>
  <c r="N72" i="137"/>
  <c r="O72" i="137"/>
  <c r="P72" i="137"/>
  <c r="Q72" i="137"/>
  <c r="F73" i="137"/>
  <c r="G73" i="137"/>
  <c r="H73" i="137"/>
  <c r="I73" i="137"/>
  <c r="J73" i="137"/>
  <c r="K73" i="137"/>
  <c r="L73" i="137"/>
  <c r="M73" i="137"/>
  <c r="N73" i="137"/>
  <c r="O73" i="137"/>
  <c r="P73" i="137"/>
  <c r="Q73" i="137"/>
  <c r="F74" i="137"/>
  <c r="G74" i="137"/>
  <c r="H74" i="137"/>
  <c r="I74" i="137"/>
  <c r="J74" i="137"/>
  <c r="K74" i="137"/>
  <c r="L74" i="137"/>
  <c r="M74" i="137"/>
  <c r="N74" i="137"/>
  <c r="O74" i="137"/>
  <c r="P74" i="137"/>
  <c r="Q74" i="137"/>
  <c r="F75" i="137"/>
  <c r="G75" i="137"/>
  <c r="H75" i="137"/>
  <c r="I75" i="137"/>
  <c r="J75" i="137"/>
  <c r="K75" i="137"/>
  <c r="L75" i="137"/>
  <c r="M75" i="137"/>
  <c r="N75" i="137"/>
  <c r="O75" i="137"/>
  <c r="P75" i="137"/>
  <c r="Q75" i="137"/>
  <c r="F76" i="137"/>
  <c r="G76" i="137"/>
  <c r="H76" i="137"/>
  <c r="I76" i="137"/>
  <c r="J76" i="137"/>
  <c r="K76" i="137"/>
  <c r="L76" i="137"/>
  <c r="M76" i="137"/>
  <c r="N76" i="137"/>
  <c r="O76" i="137"/>
  <c r="P76" i="137"/>
  <c r="Q76" i="137"/>
  <c r="F77" i="137"/>
  <c r="G77" i="137"/>
  <c r="H77" i="137"/>
  <c r="I77" i="137"/>
  <c r="J77" i="137"/>
  <c r="K77" i="137"/>
  <c r="L77" i="137"/>
  <c r="M77" i="137"/>
  <c r="N77" i="137"/>
  <c r="O77" i="137"/>
  <c r="P77" i="137"/>
  <c r="Q77" i="137"/>
  <c r="F78" i="137"/>
  <c r="G78" i="137"/>
  <c r="H78" i="137"/>
  <c r="I78" i="137"/>
  <c r="J78" i="137"/>
  <c r="K78" i="137"/>
  <c r="L78" i="137"/>
  <c r="M78" i="137"/>
  <c r="N78" i="137"/>
  <c r="O78" i="137"/>
  <c r="P78" i="137"/>
  <c r="Q78" i="137"/>
  <c r="F79" i="137"/>
  <c r="G79" i="137"/>
  <c r="H79" i="137"/>
  <c r="I79" i="137"/>
  <c r="J79" i="137"/>
  <c r="K79" i="137"/>
  <c r="L79" i="137"/>
  <c r="M79" i="137"/>
  <c r="N79" i="137"/>
  <c r="O79" i="137"/>
  <c r="P79" i="137"/>
  <c r="Q79" i="137"/>
  <c r="F80" i="137"/>
  <c r="G80" i="137"/>
  <c r="H80" i="137"/>
  <c r="I80" i="137"/>
  <c r="J80" i="137"/>
  <c r="K80" i="137"/>
  <c r="L80" i="137"/>
  <c r="M80" i="137"/>
  <c r="N80" i="137"/>
  <c r="O80" i="137"/>
  <c r="P80" i="137"/>
  <c r="Q80" i="137"/>
  <c r="F81" i="137"/>
  <c r="G81" i="137"/>
  <c r="H81" i="137"/>
  <c r="I81" i="137"/>
  <c r="J81" i="137"/>
  <c r="K81" i="137"/>
  <c r="L81" i="137"/>
  <c r="M81" i="137"/>
  <c r="N81" i="137"/>
  <c r="O81" i="137"/>
  <c r="P81" i="137"/>
  <c r="Q81" i="137"/>
  <c r="F82" i="137"/>
  <c r="G82" i="137"/>
  <c r="H82" i="137"/>
  <c r="I82" i="137"/>
  <c r="J82" i="137"/>
  <c r="K82" i="137"/>
  <c r="L82" i="137"/>
  <c r="M82" i="137"/>
  <c r="N82" i="137"/>
  <c r="O82" i="137"/>
  <c r="P82" i="137"/>
  <c r="Q82" i="137"/>
  <c r="F83" i="137"/>
  <c r="G83" i="137"/>
  <c r="H83" i="137"/>
  <c r="I83" i="137"/>
  <c r="J83" i="137"/>
  <c r="K83" i="137"/>
  <c r="L83" i="137"/>
  <c r="M83" i="137"/>
  <c r="N83" i="137"/>
  <c r="O83" i="137"/>
  <c r="P83" i="137"/>
  <c r="Q83" i="137"/>
  <c r="F84" i="137"/>
  <c r="G84" i="137"/>
  <c r="H84" i="137"/>
  <c r="I84" i="137"/>
  <c r="J84" i="137"/>
  <c r="K84" i="137"/>
  <c r="L84" i="137"/>
  <c r="M84" i="137"/>
  <c r="N84" i="137"/>
  <c r="O84" i="137"/>
  <c r="P84" i="137"/>
  <c r="Q84" i="137"/>
  <c r="F85" i="137"/>
  <c r="G85" i="137"/>
  <c r="H85" i="137"/>
  <c r="I85" i="137"/>
  <c r="J85" i="137"/>
  <c r="K85" i="137"/>
  <c r="L85" i="137"/>
  <c r="M85" i="137"/>
  <c r="N85" i="137"/>
  <c r="O85" i="137"/>
  <c r="P85" i="137"/>
  <c r="Q85" i="137"/>
  <c r="F86" i="137"/>
  <c r="G86" i="137"/>
  <c r="H86" i="137"/>
  <c r="I86" i="137"/>
  <c r="J86" i="137"/>
  <c r="K86" i="137"/>
  <c r="L86" i="137"/>
  <c r="M86" i="137"/>
  <c r="N86" i="137"/>
  <c r="O86" i="137"/>
  <c r="P86" i="137"/>
  <c r="Q86" i="137"/>
  <c r="F87" i="137"/>
  <c r="G87" i="137"/>
  <c r="H87" i="137"/>
  <c r="I87" i="137"/>
  <c r="J87" i="137"/>
  <c r="K87" i="137"/>
  <c r="L87" i="137"/>
  <c r="M87" i="137"/>
  <c r="N87" i="137"/>
  <c r="O87" i="137"/>
  <c r="P87" i="137"/>
  <c r="Q87" i="137"/>
  <c r="F88" i="137"/>
  <c r="G88" i="137"/>
  <c r="H88" i="137"/>
  <c r="I88" i="137"/>
  <c r="J88" i="137"/>
  <c r="K88" i="137"/>
  <c r="L88" i="137"/>
  <c r="M88" i="137"/>
  <c r="N88" i="137"/>
  <c r="O88" i="137"/>
  <c r="P88" i="137"/>
  <c r="Q88" i="137"/>
  <c r="F89" i="137"/>
  <c r="G89" i="137"/>
  <c r="H89" i="137"/>
  <c r="I89" i="137"/>
  <c r="J89" i="137"/>
  <c r="K89" i="137"/>
  <c r="L89" i="137"/>
  <c r="M89" i="137"/>
  <c r="N89" i="137"/>
  <c r="O89" i="137"/>
  <c r="P89" i="137"/>
  <c r="Q89" i="137"/>
  <c r="F90" i="137"/>
  <c r="G90" i="137"/>
  <c r="H90" i="137"/>
  <c r="I90" i="137"/>
  <c r="J90" i="137"/>
  <c r="K90" i="137"/>
  <c r="L90" i="137"/>
  <c r="M90" i="137"/>
  <c r="N90" i="137"/>
  <c r="O90" i="137"/>
  <c r="P90" i="137"/>
  <c r="Q90" i="137"/>
  <c r="F91" i="137"/>
  <c r="G91" i="137"/>
  <c r="H91" i="137"/>
  <c r="I91" i="137"/>
  <c r="J91" i="137"/>
  <c r="K91" i="137"/>
  <c r="L91" i="137"/>
  <c r="M91" i="137"/>
  <c r="N91" i="137"/>
  <c r="O91" i="137"/>
  <c r="P91" i="137"/>
  <c r="Q91" i="137"/>
  <c r="F92" i="137"/>
  <c r="G92" i="137"/>
  <c r="H92" i="137"/>
  <c r="I92" i="137"/>
  <c r="J92" i="137"/>
  <c r="K92" i="137"/>
  <c r="L92" i="137"/>
  <c r="M92" i="137"/>
  <c r="N92" i="137"/>
  <c r="O92" i="137"/>
  <c r="P92" i="137"/>
  <c r="Q92" i="137"/>
  <c r="F93" i="137"/>
  <c r="G93" i="137"/>
  <c r="H93" i="137"/>
  <c r="I93" i="137"/>
  <c r="J93" i="137"/>
  <c r="K93" i="137"/>
  <c r="L93" i="137"/>
  <c r="M93" i="137"/>
  <c r="N93" i="137"/>
  <c r="O93" i="137"/>
  <c r="P93" i="137"/>
  <c r="Q93" i="137"/>
  <c r="F94" i="137"/>
  <c r="G94" i="137"/>
  <c r="H94" i="137"/>
  <c r="I94" i="137"/>
  <c r="J94" i="137"/>
  <c r="K94" i="137"/>
  <c r="L94" i="137"/>
  <c r="M94" i="137"/>
  <c r="N94" i="137"/>
  <c r="O94" i="137"/>
  <c r="P94" i="137"/>
  <c r="Q94" i="137"/>
  <c r="F95" i="137"/>
  <c r="G95" i="137"/>
  <c r="H95" i="137"/>
  <c r="I95" i="137"/>
  <c r="J95" i="137"/>
  <c r="K95" i="137"/>
  <c r="L95" i="137"/>
  <c r="M95" i="137"/>
  <c r="N95" i="137"/>
  <c r="O95" i="137"/>
  <c r="P95" i="137"/>
  <c r="Q95" i="137"/>
  <c r="F96" i="137"/>
  <c r="G96" i="137"/>
  <c r="H96" i="137"/>
  <c r="I96" i="137"/>
  <c r="J96" i="137"/>
  <c r="K96" i="137"/>
  <c r="L96" i="137"/>
  <c r="M96" i="137"/>
  <c r="N96" i="137"/>
  <c r="O96" i="137"/>
  <c r="P96" i="137"/>
  <c r="Q96" i="137"/>
  <c r="F97" i="137"/>
  <c r="G97" i="137"/>
  <c r="H97" i="137"/>
  <c r="I97" i="137"/>
  <c r="J97" i="137"/>
  <c r="K97" i="137"/>
  <c r="L97" i="137"/>
  <c r="M97" i="137"/>
  <c r="N97" i="137"/>
  <c r="O97" i="137"/>
  <c r="P97" i="137"/>
  <c r="Q97" i="137"/>
  <c r="F98" i="137"/>
  <c r="G98" i="137"/>
  <c r="H98" i="137"/>
  <c r="I98" i="137"/>
  <c r="J98" i="137"/>
  <c r="K98" i="137"/>
  <c r="L98" i="137"/>
  <c r="M98" i="137"/>
  <c r="N98" i="137"/>
  <c r="O98" i="137"/>
  <c r="P98" i="137"/>
  <c r="Q98" i="137"/>
  <c r="F99" i="137"/>
  <c r="G99" i="137"/>
  <c r="H99" i="137"/>
  <c r="I99" i="137"/>
  <c r="J99" i="137"/>
  <c r="K99" i="137"/>
  <c r="L99" i="137"/>
  <c r="M99" i="137"/>
  <c r="N99" i="137"/>
  <c r="O99" i="137"/>
  <c r="P99" i="137"/>
  <c r="Q99" i="137"/>
  <c r="F100" i="137"/>
  <c r="G100" i="137"/>
  <c r="H100" i="137"/>
  <c r="I100" i="137"/>
  <c r="J100" i="137"/>
  <c r="K100" i="137"/>
  <c r="L100" i="137"/>
  <c r="M100" i="137"/>
  <c r="N100" i="137"/>
  <c r="O100" i="137"/>
  <c r="P100" i="137"/>
  <c r="Q100" i="137"/>
  <c r="F101" i="137"/>
  <c r="G101" i="137"/>
  <c r="H101" i="137"/>
  <c r="I101" i="137"/>
  <c r="J101" i="137"/>
  <c r="K101" i="137"/>
  <c r="L101" i="137"/>
  <c r="M101" i="137"/>
  <c r="N101" i="137"/>
  <c r="O101" i="137"/>
  <c r="P101" i="137"/>
  <c r="Q101" i="137"/>
  <c r="F102" i="137"/>
  <c r="G102" i="137"/>
  <c r="H102" i="137"/>
  <c r="I102" i="137"/>
  <c r="J102" i="137"/>
  <c r="K102" i="137"/>
  <c r="L102" i="137"/>
  <c r="M102" i="137"/>
  <c r="N102" i="137"/>
  <c r="O102" i="137"/>
  <c r="P102" i="137"/>
  <c r="Q102" i="137"/>
  <c r="F103" i="137"/>
  <c r="G103" i="137"/>
  <c r="H103" i="137"/>
  <c r="I103" i="137"/>
  <c r="J103" i="137"/>
  <c r="K103" i="137"/>
  <c r="L103" i="137"/>
  <c r="M103" i="137"/>
  <c r="N103" i="137"/>
  <c r="O103" i="137"/>
  <c r="P103" i="137"/>
  <c r="Q103" i="137"/>
  <c r="F104" i="137"/>
  <c r="G104" i="137"/>
  <c r="H104" i="137"/>
  <c r="I104" i="137"/>
  <c r="J104" i="137"/>
  <c r="K104" i="137"/>
  <c r="L104" i="137"/>
  <c r="M104" i="137"/>
  <c r="N104" i="137"/>
  <c r="O104" i="137"/>
  <c r="P104" i="137"/>
  <c r="Q104" i="137"/>
  <c r="F105" i="137"/>
  <c r="G105" i="137"/>
  <c r="H105" i="137"/>
  <c r="I105" i="137"/>
  <c r="J105" i="137"/>
  <c r="K105" i="137"/>
  <c r="L105" i="137"/>
  <c r="M105" i="137"/>
  <c r="N105" i="137"/>
  <c r="O105" i="137"/>
  <c r="P105" i="137"/>
  <c r="Q105" i="137"/>
  <c r="F106" i="137"/>
  <c r="G106" i="137"/>
  <c r="H106" i="137"/>
  <c r="I106" i="137"/>
  <c r="J106" i="137"/>
  <c r="K106" i="137"/>
  <c r="L106" i="137"/>
  <c r="M106" i="137"/>
  <c r="N106" i="137"/>
  <c r="O106" i="137"/>
  <c r="P106" i="137"/>
  <c r="Q106" i="137"/>
  <c r="F107" i="137"/>
  <c r="G107" i="137"/>
  <c r="H107" i="137"/>
  <c r="I107" i="137"/>
  <c r="J107" i="137"/>
  <c r="K107" i="137"/>
  <c r="L107" i="137"/>
  <c r="M107" i="137"/>
  <c r="N107" i="137"/>
  <c r="O107" i="137"/>
  <c r="P107" i="137"/>
  <c r="Q107" i="137"/>
  <c r="F108" i="137"/>
  <c r="G108" i="137"/>
  <c r="H108" i="137"/>
  <c r="I108" i="137"/>
  <c r="J108" i="137"/>
  <c r="K108" i="137"/>
  <c r="L108" i="137"/>
  <c r="M108" i="137"/>
  <c r="N108" i="137"/>
  <c r="O108" i="137"/>
  <c r="P108" i="137"/>
  <c r="Q108" i="137"/>
  <c r="F109" i="137"/>
  <c r="G109" i="137"/>
  <c r="H109" i="137"/>
  <c r="I109" i="137"/>
  <c r="J109" i="137"/>
  <c r="K109" i="137"/>
  <c r="L109" i="137"/>
  <c r="M109" i="137"/>
  <c r="N109" i="137"/>
  <c r="O109" i="137"/>
  <c r="P109" i="137"/>
  <c r="Q109" i="137"/>
  <c r="F110" i="137"/>
  <c r="G110" i="137"/>
  <c r="H110" i="137"/>
  <c r="I110" i="137"/>
  <c r="J110" i="137"/>
  <c r="K110" i="137"/>
  <c r="L110" i="137"/>
  <c r="M110" i="137"/>
  <c r="N110" i="137"/>
  <c r="O110" i="137"/>
  <c r="P110" i="137"/>
  <c r="Q110" i="137"/>
  <c r="F111" i="137"/>
  <c r="G111" i="137"/>
  <c r="H111" i="137"/>
  <c r="I111" i="137"/>
  <c r="J111" i="137"/>
  <c r="K111" i="137"/>
  <c r="L111" i="137"/>
  <c r="M111" i="137"/>
  <c r="N111" i="137"/>
  <c r="O111" i="137"/>
  <c r="P111" i="137"/>
  <c r="Q111" i="137"/>
  <c r="F112" i="137"/>
  <c r="G112" i="137"/>
  <c r="H112" i="137"/>
  <c r="I112" i="137"/>
  <c r="J112" i="137"/>
  <c r="K112" i="137"/>
  <c r="L112" i="137"/>
  <c r="M112" i="137"/>
  <c r="N112" i="137"/>
  <c r="O112" i="137"/>
  <c r="P112" i="137"/>
  <c r="Q112" i="137"/>
  <c r="F113" i="137"/>
  <c r="G113" i="137"/>
  <c r="H113" i="137"/>
  <c r="I113" i="137"/>
  <c r="J113" i="137"/>
  <c r="K113" i="137"/>
  <c r="L113" i="137"/>
  <c r="M113" i="137"/>
  <c r="N113" i="137"/>
  <c r="O113" i="137"/>
  <c r="P113" i="137"/>
  <c r="Q113" i="137"/>
  <c r="F114" i="137"/>
  <c r="G114" i="137"/>
  <c r="H114" i="137"/>
  <c r="I114" i="137"/>
  <c r="J114" i="137"/>
  <c r="K114" i="137"/>
  <c r="L114" i="137"/>
  <c r="M114" i="137"/>
  <c r="N114" i="137"/>
  <c r="O114" i="137"/>
  <c r="P114" i="137"/>
  <c r="Q114" i="137"/>
  <c r="F115" i="137"/>
  <c r="G115" i="137"/>
  <c r="H115" i="137"/>
  <c r="I115" i="137"/>
  <c r="J115" i="137"/>
  <c r="K115" i="137"/>
  <c r="L115" i="137"/>
  <c r="M115" i="137"/>
  <c r="N115" i="137"/>
  <c r="O115" i="137"/>
  <c r="P115" i="137"/>
  <c r="Q115" i="137"/>
  <c r="F116" i="137"/>
  <c r="G116" i="137"/>
  <c r="H116" i="137"/>
  <c r="I116" i="137"/>
  <c r="J116" i="137"/>
  <c r="K116" i="137"/>
  <c r="L116" i="137"/>
  <c r="M116" i="137"/>
  <c r="N116" i="137"/>
  <c r="O116" i="137"/>
  <c r="P116" i="137"/>
  <c r="Q116" i="137"/>
  <c r="F117" i="137"/>
  <c r="G117" i="137"/>
  <c r="H117" i="137"/>
  <c r="I117" i="137"/>
  <c r="J117" i="137"/>
  <c r="K117" i="137"/>
  <c r="L117" i="137"/>
  <c r="M117" i="137"/>
  <c r="N117" i="137"/>
  <c r="O117" i="137"/>
  <c r="P117" i="137"/>
  <c r="Q117" i="137"/>
  <c r="F118" i="137"/>
  <c r="G118" i="137"/>
  <c r="H118" i="137"/>
  <c r="I118" i="137"/>
  <c r="J118" i="137"/>
  <c r="K118" i="137"/>
  <c r="L118" i="137"/>
  <c r="M118" i="137"/>
  <c r="N118" i="137"/>
  <c r="O118" i="137"/>
  <c r="P118" i="137"/>
  <c r="Q118" i="137"/>
  <c r="F119" i="137"/>
  <c r="G119" i="137"/>
  <c r="H119" i="137"/>
  <c r="I119" i="137"/>
  <c r="J119" i="137"/>
  <c r="K119" i="137"/>
  <c r="L119" i="137"/>
  <c r="M119" i="137"/>
  <c r="N119" i="137"/>
  <c r="O119" i="137"/>
  <c r="P119" i="137"/>
  <c r="Q119" i="137"/>
  <c r="F120" i="137"/>
  <c r="G120" i="137"/>
  <c r="H120" i="137"/>
  <c r="I120" i="137"/>
  <c r="J120" i="137"/>
  <c r="K120" i="137"/>
  <c r="L120" i="137"/>
  <c r="M120" i="137"/>
  <c r="N120" i="137"/>
  <c r="O120" i="137"/>
  <c r="P120" i="137"/>
  <c r="Q120" i="137"/>
  <c r="F121" i="137"/>
  <c r="G121" i="137"/>
  <c r="H121" i="137"/>
  <c r="I121" i="137"/>
  <c r="J121" i="137"/>
  <c r="K121" i="137"/>
  <c r="L121" i="137"/>
  <c r="M121" i="137"/>
  <c r="N121" i="137"/>
  <c r="O121" i="137"/>
  <c r="P121" i="137"/>
  <c r="Q121" i="137"/>
  <c r="F122" i="137"/>
  <c r="G122" i="137"/>
  <c r="H122" i="137"/>
  <c r="I122" i="137"/>
  <c r="J122" i="137"/>
  <c r="K122" i="137"/>
  <c r="L122" i="137"/>
  <c r="M122" i="137"/>
  <c r="N122" i="137"/>
  <c r="O122" i="137"/>
  <c r="P122" i="137"/>
  <c r="Q122" i="137"/>
  <c r="F123" i="137"/>
  <c r="G123" i="137"/>
  <c r="H123" i="137"/>
  <c r="I123" i="137"/>
  <c r="J123" i="137"/>
  <c r="K123" i="137"/>
  <c r="L123" i="137"/>
  <c r="M123" i="137"/>
  <c r="N123" i="137"/>
  <c r="O123" i="137"/>
  <c r="P123" i="137"/>
  <c r="Q123" i="137"/>
  <c r="F124" i="137"/>
  <c r="G124" i="137"/>
  <c r="H124" i="137"/>
  <c r="I124" i="137"/>
  <c r="J124" i="137"/>
  <c r="K124" i="137"/>
  <c r="L124" i="137"/>
  <c r="M124" i="137"/>
  <c r="N124" i="137"/>
  <c r="O124" i="137"/>
  <c r="P124" i="137"/>
  <c r="Q124" i="137"/>
  <c r="F125" i="137"/>
  <c r="G125" i="137"/>
  <c r="H125" i="137"/>
  <c r="I125" i="137"/>
  <c r="J125" i="137"/>
  <c r="K125" i="137"/>
  <c r="L125" i="137"/>
  <c r="M125" i="137"/>
  <c r="N125" i="137"/>
  <c r="O125" i="137"/>
  <c r="P125" i="137"/>
  <c r="Q125" i="137"/>
  <c r="F126" i="137"/>
  <c r="G126" i="137"/>
  <c r="H126" i="137"/>
  <c r="I126" i="137"/>
  <c r="J126" i="137"/>
  <c r="K126" i="137"/>
  <c r="L126" i="137"/>
  <c r="M126" i="137"/>
  <c r="N126" i="137"/>
  <c r="O126" i="137"/>
  <c r="P126" i="137"/>
  <c r="Q126" i="137"/>
  <c r="F127" i="137"/>
  <c r="G127" i="137"/>
  <c r="H127" i="137"/>
  <c r="I127" i="137"/>
  <c r="J127" i="137"/>
  <c r="K127" i="137"/>
  <c r="L127" i="137"/>
  <c r="M127" i="137"/>
  <c r="N127" i="137"/>
  <c r="O127" i="137"/>
  <c r="P127" i="137"/>
  <c r="Q127" i="137"/>
  <c r="F128" i="137"/>
  <c r="G128" i="137"/>
  <c r="H128" i="137"/>
  <c r="I128" i="137"/>
  <c r="J128" i="137"/>
  <c r="K128" i="137"/>
  <c r="L128" i="137"/>
  <c r="M128" i="137"/>
  <c r="N128" i="137"/>
  <c r="O128" i="137"/>
  <c r="P128" i="137"/>
  <c r="Q128" i="137"/>
  <c r="F129" i="137"/>
  <c r="G129" i="137"/>
  <c r="H129" i="137"/>
  <c r="I129" i="137"/>
  <c r="J129" i="137"/>
  <c r="K129" i="137"/>
  <c r="L129" i="137"/>
  <c r="M129" i="137"/>
  <c r="N129" i="137"/>
  <c r="O129" i="137"/>
  <c r="P129" i="137"/>
  <c r="Q129" i="137"/>
  <c r="F130" i="137"/>
  <c r="G130" i="137"/>
  <c r="H130" i="137"/>
  <c r="I130" i="137"/>
  <c r="J130" i="137"/>
  <c r="K130" i="137"/>
  <c r="L130" i="137"/>
  <c r="M130" i="137"/>
  <c r="N130" i="137"/>
  <c r="O130" i="137"/>
  <c r="P130" i="137"/>
  <c r="Q130" i="137"/>
  <c r="F131" i="137"/>
  <c r="G131" i="137"/>
  <c r="H131" i="137"/>
  <c r="I131" i="137"/>
  <c r="J131" i="137"/>
  <c r="K131" i="137"/>
  <c r="L131" i="137"/>
  <c r="M131" i="137"/>
  <c r="N131" i="137"/>
  <c r="O131" i="137"/>
  <c r="P131" i="137"/>
  <c r="Q131" i="137"/>
  <c r="F132" i="137"/>
  <c r="G132" i="137"/>
  <c r="H132" i="137"/>
  <c r="I132" i="137"/>
  <c r="J132" i="137"/>
  <c r="K132" i="137"/>
  <c r="L132" i="137"/>
  <c r="M132" i="137"/>
  <c r="N132" i="137"/>
  <c r="O132" i="137"/>
  <c r="P132" i="137"/>
  <c r="Q132" i="137"/>
  <c r="F133" i="137"/>
  <c r="G133" i="137"/>
  <c r="H133" i="137"/>
  <c r="I133" i="137"/>
  <c r="J133" i="137"/>
  <c r="K133" i="137"/>
  <c r="L133" i="137"/>
  <c r="M133" i="137"/>
  <c r="N133" i="137"/>
  <c r="O133" i="137"/>
  <c r="P133" i="137"/>
  <c r="Q133" i="137"/>
  <c r="F134" i="137"/>
  <c r="G134" i="137"/>
  <c r="H134" i="137"/>
  <c r="I134" i="137"/>
  <c r="J134" i="137"/>
  <c r="K134" i="137"/>
  <c r="L134" i="137"/>
  <c r="M134" i="137"/>
  <c r="N134" i="137"/>
  <c r="O134" i="137"/>
  <c r="P134" i="137"/>
  <c r="Q134" i="137"/>
  <c r="F135" i="137"/>
  <c r="G135" i="137"/>
  <c r="H135" i="137"/>
  <c r="I135" i="137"/>
  <c r="J135" i="137"/>
  <c r="K135" i="137"/>
  <c r="L135" i="137"/>
  <c r="M135" i="137"/>
  <c r="N135" i="137"/>
  <c r="O135" i="137"/>
  <c r="P135" i="137"/>
  <c r="Q135" i="137"/>
  <c r="F136" i="137"/>
  <c r="G136" i="137"/>
  <c r="H136" i="137"/>
  <c r="I136" i="137"/>
  <c r="J136" i="137"/>
  <c r="K136" i="137"/>
  <c r="L136" i="137"/>
  <c r="M136" i="137"/>
  <c r="N136" i="137"/>
  <c r="O136" i="137"/>
  <c r="P136" i="137"/>
  <c r="Q136" i="137"/>
  <c r="F137" i="137"/>
  <c r="G137" i="137"/>
  <c r="H137" i="137"/>
  <c r="I137" i="137"/>
  <c r="J137" i="137"/>
  <c r="K137" i="137"/>
  <c r="L137" i="137"/>
  <c r="M137" i="137"/>
  <c r="N137" i="137"/>
  <c r="O137" i="137"/>
  <c r="P137" i="137"/>
  <c r="Q137" i="137"/>
  <c r="F138" i="137"/>
  <c r="G138" i="137"/>
  <c r="H138" i="137"/>
  <c r="I138" i="137"/>
  <c r="J138" i="137"/>
  <c r="K138" i="137"/>
  <c r="L138" i="137"/>
  <c r="M138" i="137"/>
  <c r="N138" i="137"/>
  <c r="O138" i="137"/>
  <c r="P138" i="137"/>
  <c r="Q138" i="137"/>
  <c r="F139" i="137"/>
  <c r="G139" i="137"/>
  <c r="H139" i="137"/>
  <c r="I139" i="137"/>
  <c r="J139" i="137"/>
  <c r="K139" i="137"/>
  <c r="L139" i="137"/>
  <c r="M139" i="137"/>
  <c r="N139" i="137"/>
  <c r="O139" i="137"/>
  <c r="P139" i="137"/>
  <c r="Q139" i="137"/>
  <c r="F140" i="137"/>
  <c r="G140" i="137"/>
  <c r="H140" i="137"/>
  <c r="I140" i="137"/>
  <c r="J140" i="137"/>
  <c r="K140" i="137"/>
  <c r="L140" i="137"/>
  <c r="M140" i="137"/>
  <c r="N140" i="137"/>
  <c r="O140" i="137"/>
  <c r="P140" i="137"/>
  <c r="Q140" i="137"/>
  <c r="F141" i="137"/>
  <c r="G141" i="137"/>
  <c r="H141" i="137"/>
  <c r="I141" i="137"/>
  <c r="J141" i="137"/>
  <c r="K141" i="137"/>
  <c r="L141" i="137"/>
  <c r="M141" i="137"/>
  <c r="N141" i="137"/>
  <c r="O141" i="137"/>
  <c r="P141" i="137"/>
  <c r="Q141" i="137"/>
  <c r="F142" i="137"/>
  <c r="G142" i="137"/>
  <c r="H142" i="137"/>
  <c r="I142" i="137"/>
  <c r="J142" i="137"/>
  <c r="K142" i="137"/>
  <c r="L142" i="137"/>
  <c r="M142" i="137"/>
  <c r="N142" i="137"/>
  <c r="O142" i="137"/>
  <c r="P142" i="137"/>
  <c r="Q142" i="137"/>
  <c r="F143" i="137"/>
  <c r="G143" i="137"/>
  <c r="H143" i="137"/>
  <c r="I143" i="137"/>
  <c r="J143" i="137"/>
  <c r="K143" i="137"/>
  <c r="L143" i="137"/>
  <c r="M143" i="137"/>
  <c r="N143" i="137"/>
  <c r="O143" i="137"/>
  <c r="P143" i="137"/>
  <c r="Q143" i="137"/>
  <c r="G144" i="137"/>
  <c r="I144" i="137"/>
  <c r="K144" i="137"/>
  <c r="M144" i="137"/>
  <c r="O144" i="137"/>
  <c r="Q144" i="137"/>
  <c r="F27" i="138"/>
  <c r="G27" i="138"/>
  <c r="H27" i="138"/>
  <c r="I27" i="138"/>
  <c r="J27" i="138"/>
  <c r="K27" i="138"/>
  <c r="L27" i="138"/>
  <c r="M27" i="138"/>
  <c r="N27" i="138"/>
  <c r="O27" i="138"/>
  <c r="P27" i="138"/>
  <c r="Q27" i="138"/>
  <c r="F30" i="138"/>
  <c r="G30" i="138"/>
  <c r="H30" i="138"/>
  <c r="I30" i="138"/>
  <c r="J30" i="138"/>
  <c r="K30" i="138"/>
  <c r="L30" i="138"/>
  <c r="M30" i="138"/>
  <c r="N30" i="138"/>
  <c r="O30" i="138"/>
  <c r="P30" i="138"/>
  <c r="Q30" i="138"/>
  <c r="F31" i="138"/>
  <c r="G31" i="138"/>
  <c r="H31" i="138"/>
  <c r="I31" i="138"/>
  <c r="J31" i="138"/>
  <c r="K31" i="138"/>
  <c r="L31" i="138"/>
  <c r="M31" i="138"/>
  <c r="N31" i="138"/>
  <c r="O31" i="138"/>
  <c r="P31" i="138"/>
  <c r="Q31" i="138"/>
  <c r="F32" i="138"/>
  <c r="G32" i="138"/>
  <c r="H32" i="138"/>
  <c r="I32" i="138"/>
  <c r="J32" i="138"/>
  <c r="K32" i="138"/>
  <c r="L32" i="138"/>
  <c r="M32" i="138"/>
  <c r="N32" i="138"/>
  <c r="O32" i="138"/>
  <c r="P32" i="138"/>
  <c r="Q32" i="138"/>
  <c r="F33" i="138"/>
  <c r="G33" i="138"/>
  <c r="H33" i="138"/>
  <c r="I33" i="138"/>
  <c r="J33" i="138"/>
  <c r="K33" i="138"/>
  <c r="L33" i="138"/>
  <c r="M33" i="138"/>
  <c r="N33" i="138"/>
  <c r="O33" i="138"/>
  <c r="P33" i="138"/>
  <c r="Q33" i="138"/>
  <c r="F34" i="138"/>
  <c r="G34" i="138"/>
  <c r="H34" i="138"/>
  <c r="I34" i="138"/>
  <c r="J34" i="138"/>
  <c r="K34" i="138"/>
  <c r="L34" i="138"/>
  <c r="M34" i="138"/>
  <c r="N34" i="138"/>
  <c r="O34" i="138"/>
  <c r="P34" i="138"/>
  <c r="Q34" i="138"/>
  <c r="F35" i="138"/>
  <c r="G35" i="138"/>
  <c r="H35" i="138"/>
  <c r="I35" i="138"/>
  <c r="J35" i="138"/>
  <c r="K35" i="138"/>
  <c r="L35" i="138"/>
  <c r="M35" i="138"/>
  <c r="N35" i="138"/>
  <c r="O35" i="138"/>
  <c r="P35" i="138"/>
  <c r="Q35" i="138"/>
  <c r="F36" i="138"/>
  <c r="G36" i="138"/>
  <c r="H36" i="138"/>
  <c r="I36" i="138"/>
  <c r="J36" i="138"/>
  <c r="K36" i="138"/>
  <c r="L36" i="138"/>
  <c r="M36" i="138"/>
  <c r="N36" i="138"/>
  <c r="O36" i="138"/>
  <c r="P36" i="138"/>
  <c r="Q36" i="138"/>
  <c r="F37" i="138"/>
  <c r="G37" i="138"/>
  <c r="H37" i="138"/>
  <c r="I37" i="138"/>
  <c r="J37" i="138"/>
  <c r="K37" i="138"/>
  <c r="L37" i="138"/>
  <c r="M37" i="138"/>
  <c r="N37" i="138"/>
  <c r="O37" i="138"/>
  <c r="P37" i="138"/>
  <c r="Q37" i="138"/>
  <c r="F38" i="138"/>
  <c r="G38" i="138"/>
  <c r="H38" i="138"/>
  <c r="I38" i="138"/>
  <c r="J38" i="138"/>
  <c r="K38" i="138"/>
  <c r="L38" i="138"/>
  <c r="M38" i="138"/>
  <c r="N38" i="138"/>
  <c r="O38" i="138"/>
  <c r="P38" i="138"/>
  <c r="Q38" i="138"/>
  <c r="F39" i="138"/>
  <c r="G39" i="138"/>
  <c r="H39" i="138"/>
  <c r="I39" i="138"/>
  <c r="J39" i="138"/>
  <c r="K39" i="138"/>
  <c r="L39" i="138"/>
  <c r="M39" i="138"/>
  <c r="N39" i="138"/>
  <c r="O39" i="138"/>
  <c r="P39" i="138"/>
  <c r="Q39" i="138"/>
  <c r="F40" i="138"/>
  <c r="G40" i="138"/>
  <c r="H40" i="138"/>
  <c r="I40" i="138"/>
  <c r="J40" i="138"/>
  <c r="K40" i="138"/>
  <c r="L40" i="138"/>
  <c r="M40" i="138"/>
  <c r="N40" i="138"/>
  <c r="O40" i="138"/>
  <c r="P40" i="138"/>
  <c r="Q40" i="138"/>
  <c r="F41" i="138"/>
  <c r="G41" i="138"/>
  <c r="H41" i="138"/>
  <c r="I41" i="138"/>
  <c r="J41" i="138"/>
  <c r="K41" i="138"/>
  <c r="L41" i="138"/>
  <c r="M41" i="138"/>
  <c r="N41" i="138"/>
  <c r="O41" i="138"/>
  <c r="P41" i="138"/>
  <c r="Q41" i="138"/>
  <c r="F42" i="138"/>
  <c r="G42" i="138"/>
  <c r="H42" i="138"/>
  <c r="I42" i="138"/>
  <c r="J42" i="138"/>
  <c r="K42" i="138"/>
  <c r="L42" i="138"/>
  <c r="M42" i="138"/>
  <c r="N42" i="138"/>
  <c r="O42" i="138"/>
  <c r="P42" i="138"/>
  <c r="Q42" i="138"/>
  <c r="F43" i="138"/>
  <c r="G43" i="138"/>
  <c r="H43" i="138"/>
  <c r="I43" i="138"/>
  <c r="J43" i="138"/>
  <c r="K43" i="138"/>
  <c r="L43" i="138"/>
  <c r="M43" i="138"/>
  <c r="N43" i="138"/>
  <c r="O43" i="138"/>
  <c r="P43" i="138"/>
  <c r="Q43" i="138"/>
  <c r="F44" i="138"/>
  <c r="G44" i="138"/>
  <c r="H44" i="138"/>
  <c r="I44" i="138"/>
  <c r="J44" i="138"/>
  <c r="K44" i="138"/>
  <c r="L44" i="138"/>
  <c r="M44" i="138"/>
  <c r="N44" i="138"/>
  <c r="O44" i="138"/>
  <c r="P44" i="138"/>
  <c r="Q44" i="138"/>
  <c r="F45" i="138"/>
  <c r="G45" i="138"/>
  <c r="H45" i="138"/>
  <c r="I45" i="138"/>
  <c r="J45" i="138"/>
  <c r="K45" i="138"/>
  <c r="L45" i="138"/>
  <c r="M45" i="138"/>
  <c r="N45" i="138"/>
  <c r="O45" i="138"/>
  <c r="P45" i="138"/>
  <c r="Q45" i="138"/>
  <c r="F46" i="138"/>
  <c r="G46" i="138"/>
  <c r="H46" i="138"/>
  <c r="I46" i="138"/>
  <c r="J46" i="138"/>
  <c r="K46" i="138"/>
  <c r="L46" i="138"/>
  <c r="M46" i="138"/>
  <c r="N46" i="138"/>
  <c r="O46" i="138"/>
  <c r="P46" i="138"/>
  <c r="Q46" i="138"/>
  <c r="F47" i="138"/>
  <c r="G47" i="138"/>
  <c r="H47" i="138"/>
  <c r="I47" i="138"/>
  <c r="J47" i="138"/>
  <c r="K47" i="138"/>
  <c r="L47" i="138"/>
  <c r="M47" i="138"/>
  <c r="N47" i="138"/>
  <c r="O47" i="138"/>
  <c r="P47" i="138"/>
  <c r="Q47" i="138"/>
  <c r="F48" i="138"/>
  <c r="G48" i="138"/>
  <c r="H48" i="138"/>
  <c r="I48" i="138"/>
  <c r="J48" i="138"/>
  <c r="K48" i="138"/>
  <c r="L48" i="138"/>
  <c r="M48" i="138"/>
  <c r="N48" i="138"/>
  <c r="O48" i="138"/>
  <c r="P48" i="138"/>
  <c r="Q48" i="138"/>
  <c r="F49" i="138"/>
  <c r="G49" i="138"/>
  <c r="H49" i="138"/>
  <c r="I49" i="138"/>
  <c r="J49" i="138"/>
  <c r="K49" i="138"/>
  <c r="L49" i="138"/>
  <c r="M49" i="138"/>
  <c r="N49" i="138"/>
  <c r="O49" i="138"/>
  <c r="P49" i="138"/>
  <c r="Q49" i="138"/>
  <c r="F50" i="138"/>
  <c r="G50" i="138"/>
  <c r="H50" i="138"/>
  <c r="I50" i="138"/>
  <c r="J50" i="138"/>
  <c r="K50" i="138"/>
  <c r="L50" i="138"/>
  <c r="M50" i="138"/>
  <c r="N50" i="138"/>
  <c r="O50" i="138"/>
  <c r="P50" i="138"/>
  <c r="Q50" i="138"/>
  <c r="F51" i="138"/>
  <c r="G51" i="138"/>
  <c r="H51" i="138"/>
  <c r="I51" i="138"/>
  <c r="J51" i="138"/>
  <c r="K51" i="138"/>
  <c r="L51" i="138"/>
  <c r="M51" i="138"/>
  <c r="N51" i="138"/>
  <c r="O51" i="138"/>
  <c r="P51" i="138"/>
  <c r="Q51" i="138"/>
  <c r="F52" i="138"/>
  <c r="G52" i="138"/>
  <c r="H52" i="138"/>
  <c r="I52" i="138"/>
  <c r="J52" i="138"/>
  <c r="K52" i="138"/>
  <c r="L52" i="138"/>
  <c r="M52" i="138"/>
  <c r="N52" i="138"/>
  <c r="O52" i="138"/>
  <c r="P52" i="138"/>
  <c r="Q52" i="138"/>
  <c r="F53" i="138"/>
  <c r="G53" i="138"/>
  <c r="H53" i="138"/>
  <c r="I53" i="138"/>
  <c r="J53" i="138"/>
  <c r="K53" i="138"/>
  <c r="L53" i="138"/>
  <c r="M53" i="138"/>
  <c r="N53" i="138"/>
  <c r="O53" i="138"/>
  <c r="P53" i="138"/>
  <c r="Q53" i="138"/>
  <c r="F54" i="138"/>
  <c r="G54" i="138"/>
  <c r="H54" i="138"/>
  <c r="I54" i="138"/>
  <c r="J54" i="138"/>
  <c r="K54" i="138"/>
  <c r="L54" i="138"/>
  <c r="M54" i="138"/>
  <c r="N54" i="138"/>
  <c r="O54" i="138"/>
  <c r="P54" i="138"/>
  <c r="Q54" i="138"/>
  <c r="F55" i="138"/>
  <c r="G55" i="138"/>
  <c r="H55" i="138"/>
  <c r="I55" i="138"/>
  <c r="J55" i="138"/>
  <c r="K55" i="138"/>
  <c r="L55" i="138"/>
  <c r="M55" i="138"/>
  <c r="N55" i="138"/>
  <c r="O55" i="138"/>
  <c r="P55" i="138"/>
  <c r="Q55" i="138"/>
  <c r="F56" i="138"/>
  <c r="G56" i="138"/>
  <c r="H56" i="138"/>
  <c r="I56" i="138"/>
  <c r="J56" i="138"/>
  <c r="K56" i="138"/>
  <c r="L56" i="138"/>
  <c r="M56" i="138"/>
  <c r="N56" i="138"/>
  <c r="O56" i="138"/>
  <c r="P56" i="138"/>
  <c r="Q56" i="138"/>
  <c r="F57" i="138"/>
  <c r="G57" i="138"/>
  <c r="H57" i="138"/>
  <c r="I57" i="138"/>
  <c r="J57" i="138"/>
  <c r="K57" i="138"/>
  <c r="L57" i="138"/>
  <c r="M57" i="138"/>
  <c r="N57" i="138"/>
  <c r="O57" i="138"/>
  <c r="P57" i="138"/>
  <c r="Q57" i="138"/>
  <c r="F58" i="138"/>
  <c r="G58" i="138"/>
  <c r="H58" i="138"/>
  <c r="I58" i="138"/>
  <c r="J58" i="138"/>
  <c r="K58" i="138"/>
  <c r="L58" i="138"/>
  <c r="M58" i="138"/>
  <c r="N58" i="138"/>
  <c r="O58" i="138"/>
  <c r="P58" i="138"/>
  <c r="Q58" i="138"/>
  <c r="F59" i="138"/>
  <c r="G59" i="138"/>
  <c r="H59" i="138"/>
  <c r="I59" i="138"/>
  <c r="J59" i="138"/>
  <c r="K59" i="138"/>
  <c r="L59" i="138"/>
  <c r="M59" i="138"/>
  <c r="N59" i="138"/>
  <c r="O59" i="138"/>
  <c r="P59" i="138"/>
  <c r="Q59" i="138"/>
  <c r="F60" i="138"/>
  <c r="G60" i="138"/>
  <c r="H60" i="138"/>
  <c r="I60" i="138"/>
  <c r="J60" i="138"/>
  <c r="K60" i="138"/>
  <c r="L60" i="138"/>
  <c r="M60" i="138"/>
  <c r="N60" i="138"/>
  <c r="O60" i="138"/>
  <c r="P60" i="138"/>
  <c r="Q60" i="138"/>
  <c r="F61" i="138"/>
  <c r="G61" i="138"/>
  <c r="H61" i="138"/>
  <c r="I61" i="138"/>
  <c r="J61" i="138"/>
  <c r="K61" i="138"/>
  <c r="L61" i="138"/>
  <c r="M61" i="138"/>
  <c r="N61" i="138"/>
  <c r="O61" i="138"/>
  <c r="P61" i="138"/>
  <c r="Q61" i="138"/>
  <c r="F62" i="138"/>
  <c r="G62" i="138"/>
  <c r="H62" i="138"/>
  <c r="I62" i="138"/>
  <c r="J62" i="138"/>
  <c r="K62" i="138"/>
  <c r="L62" i="138"/>
  <c r="M62" i="138"/>
  <c r="N62" i="138"/>
  <c r="O62" i="138"/>
  <c r="P62" i="138"/>
  <c r="Q62" i="138"/>
  <c r="F63" i="138"/>
  <c r="G63" i="138"/>
  <c r="H63" i="138"/>
  <c r="I63" i="138"/>
  <c r="J63" i="138"/>
  <c r="K63" i="138"/>
  <c r="L63" i="138"/>
  <c r="M63" i="138"/>
  <c r="N63" i="138"/>
  <c r="O63" i="138"/>
  <c r="P63" i="138"/>
  <c r="Q63" i="138"/>
  <c r="F64" i="138"/>
  <c r="G64" i="138"/>
  <c r="H64" i="138"/>
  <c r="I64" i="138"/>
  <c r="J64" i="138"/>
  <c r="K64" i="138"/>
  <c r="L64" i="138"/>
  <c r="M64" i="138"/>
  <c r="N64" i="138"/>
  <c r="O64" i="138"/>
  <c r="P64" i="138"/>
  <c r="Q64" i="138"/>
  <c r="F65" i="138"/>
  <c r="G65" i="138"/>
  <c r="H65" i="138"/>
  <c r="I65" i="138"/>
  <c r="J65" i="138"/>
  <c r="K65" i="138"/>
  <c r="L65" i="138"/>
  <c r="M65" i="138"/>
  <c r="N65" i="138"/>
  <c r="O65" i="138"/>
  <c r="P65" i="138"/>
  <c r="Q65" i="138"/>
  <c r="F66" i="138"/>
  <c r="G66" i="138"/>
  <c r="H66" i="138"/>
  <c r="I66" i="138"/>
  <c r="J66" i="138"/>
  <c r="K66" i="138"/>
  <c r="L66" i="138"/>
  <c r="M66" i="138"/>
  <c r="N66" i="138"/>
  <c r="O66" i="138"/>
  <c r="P66" i="138"/>
  <c r="Q66" i="138"/>
  <c r="F67" i="138"/>
  <c r="G67" i="138"/>
  <c r="H67" i="138"/>
  <c r="I67" i="138"/>
  <c r="J67" i="138"/>
  <c r="K67" i="138"/>
  <c r="L67" i="138"/>
  <c r="M67" i="138"/>
  <c r="N67" i="138"/>
  <c r="O67" i="138"/>
  <c r="P67" i="138"/>
  <c r="Q67" i="138"/>
  <c r="F68" i="138"/>
  <c r="G68" i="138"/>
  <c r="H68" i="138"/>
  <c r="I68" i="138"/>
  <c r="J68" i="138"/>
  <c r="K68" i="138"/>
  <c r="L68" i="138"/>
  <c r="M68" i="138"/>
  <c r="N68" i="138"/>
  <c r="O68" i="138"/>
  <c r="P68" i="138"/>
  <c r="Q68" i="138"/>
  <c r="F69" i="138"/>
  <c r="G69" i="138"/>
  <c r="H69" i="138"/>
  <c r="I69" i="138"/>
  <c r="J69" i="138"/>
  <c r="K69" i="138"/>
  <c r="L69" i="138"/>
  <c r="M69" i="138"/>
  <c r="N69" i="138"/>
  <c r="O69" i="138"/>
  <c r="P69" i="138"/>
  <c r="Q69" i="138"/>
  <c r="F70" i="138"/>
  <c r="G70" i="138"/>
  <c r="H70" i="138"/>
  <c r="I70" i="138"/>
  <c r="J70" i="138"/>
  <c r="K70" i="138"/>
  <c r="L70" i="138"/>
  <c r="M70" i="138"/>
  <c r="N70" i="138"/>
  <c r="O70" i="138"/>
  <c r="P70" i="138"/>
  <c r="Q70" i="138"/>
  <c r="F71" i="138"/>
  <c r="G71" i="138"/>
  <c r="H71" i="138"/>
  <c r="I71" i="138"/>
  <c r="J71" i="138"/>
  <c r="K71" i="138"/>
  <c r="L71" i="138"/>
  <c r="M71" i="138"/>
  <c r="N71" i="138"/>
  <c r="O71" i="138"/>
  <c r="P71" i="138"/>
  <c r="Q71" i="138"/>
  <c r="F72" i="138"/>
  <c r="G72" i="138"/>
  <c r="H72" i="138"/>
  <c r="I72" i="138"/>
  <c r="J72" i="138"/>
  <c r="K72" i="138"/>
  <c r="L72" i="138"/>
  <c r="M72" i="138"/>
  <c r="N72" i="138"/>
  <c r="O72" i="138"/>
  <c r="P72" i="138"/>
  <c r="Q72" i="138"/>
  <c r="F73" i="138"/>
  <c r="G73" i="138"/>
  <c r="H73" i="138"/>
  <c r="I73" i="138"/>
  <c r="J73" i="138"/>
  <c r="K73" i="138"/>
  <c r="L73" i="138"/>
  <c r="M73" i="138"/>
  <c r="N73" i="138"/>
  <c r="O73" i="138"/>
  <c r="P73" i="138"/>
  <c r="Q73" i="138"/>
  <c r="F74" i="138"/>
  <c r="G74" i="138"/>
  <c r="H74" i="138"/>
  <c r="I74" i="138"/>
  <c r="J74" i="138"/>
  <c r="K74" i="138"/>
  <c r="L74" i="138"/>
  <c r="M74" i="138"/>
  <c r="N74" i="138"/>
  <c r="O74" i="138"/>
  <c r="P74" i="138"/>
  <c r="Q74" i="138"/>
  <c r="F75" i="138"/>
  <c r="G75" i="138"/>
  <c r="H75" i="138"/>
  <c r="I75" i="138"/>
  <c r="J75" i="138"/>
  <c r="K75" i="138"/>
  <c r="L75" i="138"/>
  <c r="M75" i="138"/>
  <c r="N75" i="138"/>
  <c r="O75" i="138"/>
  <c r="P75" i="138"/>
  <c r="Q75" i="138"/>
  <c r="F76" i="138"/>
  <c r="G76" i="138"/>
  <c r="H76" i="138"/>
  <c r="I76" i="138"/>
  <c r="J76" i="138"/>
  <c r="K76" i="138"/>
  <c r="L76" i="138"/>
  <c r="M76" i="138"/>
  <c r="N76" i="138"/>
  <c r="O76" i="138"/>
  <c r="P76" i="138"/>
  <c r="Q76" i="138"/>
  <c r="F77" i="138"/>
  <c r="G77" i="138"/>
  <c r="H77" i="138"/>
  <c r="I77" i="138"/>
  <c r="J77" i="138"/>
  <c r="K77" i="138"/>
  <c r="L77" i="138"/>
  <c r="M77" i="138"/>
  <c r="N77" i="138"/>
  <c r="O77" i="138"/>
  <c r="P77" i="138"/>
  <c r="Q77" i="138"/>
  <c r="F78" i="138"/>
  <c r="G78" i="138"/>
  <c r="H78" i="138"/>
  <c r="I78" i="138"/>
  <c r="J78" i="138"/>
  <c r="K78" i="138"/>
  <c r="L78" i="138"/>
  <c r="M78" i="138"/>
  <c r="N78" i="138"/>
  <c r="O78" i="138"/>
  <c r="P78" i="138"/>
  <c r="Q78" i="138"/>
  <c r="F79" i="138"/>
  <c r="G79" i="138"/>
  <c r="H79" i="138"/>
  <c r="I79" i="138"/>
  <c r="J79" i="138"/>
  <c r="K79" i="138"/>
  <c r="L79" i="138"/>
  <c r="M79" i="138"/>
  <c r="N79" i="138"/>
  <c r="O79" i="138"/>
  <c r="P79" i="138"/>
  <c r="Q79" i="138"/>
  <c r="F80" i="138"/>
  <c r="G80" i="138"/>
  <c r="H80" i="138"/>
  <c r="I80" i="138"/>
  <c r="J80" i="138"/>
  <c r="K80" i="138"/>
  <c r="L80" i="138"/>
  <c r="M80" i="138"/>
  <c r="N80" i="138"/>
  <c r="O80" i="138"/>
  <c r="P80" i="138"/>
  <c r="Q80" i="138"/>
  <c r="F81" i="138"/>
  <c r="G81" i="138"/>
  <c r="H81" i="138"/>
  <c r="I81" i="138"/>
  <c r="J81" i="138"/>
  <c r="K81" i="138"/>
  <c r="L81" i="138"/>
  <c r="M81" i="138"/>
  <c r="N81" i="138"/>
  <c r="O81" i="138"/>
  <c r="P81" i="138"/>
  <c r="Q81" i="138"/>
  <c r="F82" i="138"/>
  <c r="G82" i="138"/>
  <c r="H82" i="138"/>
  <c r="I82" i="138"/>
  <c r="J82" i="138"/>
  <c r="K82" i="138"/>
  <c r="L82" i="138"/>
  <c r="M82" i="138"/>
  <c r="N82" i="138"/>
  <c r="O82" i="138"/>
  <c r="P82" i="138"/>
  <c r="Q82" i="138"/>
  <c r="F83" i="138"/>
  <c r="G83" i="138"/>
  <c r="H83" i="138"/>
  <c r="I83" i="138"/>
  <c r="J83" i="138"/>
  <c r="K83" i="138"/>
  <c r="L83" i="138"/>
  <c r="M83" i="138"/>
  <c r="N83" i="138"/>
  <c r="O83" i="138"/>
  <c r="P83" i="138"/>
  <c r="Q83" i="138"/>
  <c r="F84" i="138"/>
  <c r="G84" i="138"/>
  <c r="H84" i="138"/>
  <c r="I84" i="138"/>
  <c r="J84" i="138"/>
  <c r="K84" i="138"/>
  <c r="L84" i="138"/>
  <c r="M84" i="138"/>
  <c r="N84" i="138"/>
  <c r="O84" i="138"/>
  <c r="P84" i="138"/>
  <c r="Q84" i="138"/>
  <c r="F85" i="138"/>
  <c r="G85" i="138"/>
  <c r="H85" i="138"/>
  <c r="I85" i="138"/>
  <c r="J85" i="138"/>
  <c r="K85" i="138"/>
  <c r="L85" i="138"/>
  <c r="M85" i="138"/>
  <c r="N85" i="138"/>
  <c r="O85" i="138"/>
  <c r="P85" i="138"/>
  <c r="Q85" i="138"/>
  <c r="F86" i="138"/>
  <c r="G86" i="138"/>
  <c r="H86" i="138"/>
  <c r="I86" i="138"/>
  <c r="J86" i="138"/>
  <c r="K86" i="138"/>
  <c r="L86" i="138"/>
  <c r="M86" i="138"/>
  <c r="N86" i="138"/>
  <c r="O86" i="138"/>
  <c r="P86" i="138"/>
  <c r="Q86" i="138"/>
  <c r="F87" i="138"/>
  <c r="G87" i="138"/>
  <c r="H87" i="138"/>
  <c r="I87" i="138"/>
  <c r="J87" i="138"/>
  <c r="K87" i="138"/>
  <c r="L87" i="138"/>
  <c r="M87" i="138"/>
  <c r="N87" i="138"/>
  <c r="O87" i="138"/>
  <c r="P87" i="138"/>
  <c r="Q87" i="138"/>
  <c r="F88" i="138"/>
  <c r="G88" i="138"/>
  <c r="H88" i="138"/>
  <c r="I88" i="138"/>
  <c r="J88" i="138"/>
  <c r="K88" i="138"/>
  <c r="L88" i="138"/>
  <c r="M88" i="138"/>
  <c r="N88" i="138"/>
  <c r="O88" i="138"/>
  <c r="P88" i="138"/>
  <c r="Q88" i="138"/>
  <c r="F89" i="138"/>
  <c r="G89" i="138"/>
  <c r="H89" i="138"/>
  <c r="I89" i="138"/>
  <c r="J89" i="138"/>
  <c r="K89" i="138"/>
  <c r="L89" i="138"/>
  <c r="M89" i="138"/>
  <c r="N89" i="138"/>
  <c r="O89" i="138"/>
  <c r="P89" i="138"/>
  <c r="Q89" i="138"/>
  <c r="F90" i="138"/>
  <c r="G90" i="138"/>
  <c r="H90" i="138"/>
  <c r="I90" i="138"/>
  <c r="J90" i="138"/>
  <c r="K90" i="138"/>
  <c r="L90" i="138"/>
  <c r="M90" i="138"/>
  <c r="N90" i="138"/>
  <c r="O90" i="138"/>
  <c r="P90" i="138"/>
  <c r="Q90" i="138"/>
  <c r="F91" i="138"/>
  <c r="G91" i="138"/>
  <c r="H91" i="138"/>
  <c r="I91" i="138"/>
  <c r="J91" i="138"/>
  <c r="K91" i="138"/>
  <c r="L91" i="138"/>
  <c r="M91" i="138"/>
  <c r="N91" i="138"/>
  <c r="O91" i="138"/>
  <c r="P91" i="138"/>
  <c r="Q91" i="138"/>
  <c r="F92" i="138"/>
  <c r="G92" i="138"/>
  <c r="H92" i="138"/>
  <c r="I92" i="138"/>
  <c r="J92" i="138"/>
  <c r="K92" i="138"/>
  <c r="L92" i="138"/>
  <c r="M92" i="138"/>
  <c r="N92" i="138"/>
  <c r="O92" i="138"/>
  <c r="P92" i="138"/>
  <c r="Q92" i="138"/>
  <c r="F93" i="138"/>
  <c r="G93" i="138"/>
  <c r="H93" i="138"/>
  <c r="I93" i="138"/>
  <c r="J93" i="138"/>
  <c r="K93" i="138"/>
  <c r="L93" i="138"/>
  <c r="M93" i="138"/>
  <c r="N93" i="138"/>
  <c r="O93" i="138"/>
  <c r="P93" i="138"/>
  <c r="Q93" i="138"/>
  <c r="F94" i="138"/>
  <c r="G94" i="138"/>
  <c r="H94" i="138"/>
  <c r="I94" i="138"/>
  <c r="J94" i="138"/>
  <c r="K94" i="138"/>
  <c r="L94" i="138"/>
  <c r="M94" i="138"/>
  <c r="N94" i="138"/>
  <c r="O94" i="138"/>
  <c r="P94" i="138"/>
  <c r="Q94" i="138"/>
  <c r="F95" i="138"/>
  <c r="G95" i="138"/>
  <c r="H95" i="138"/>
  <c r="I95" i="138"/>
  <c r="J95" i="138"/>
  <c r="K95" i="138"/>
  <c r="L95" i="138"/>
  <c r="M95" i="138"/>
  <c r="N95" i="138"/>
  <c r="O95" i="138"/>
  <c r="P95" i="138"/>
  <c r="Q95" i="138"/>
  <c r="F96" i="138"/>
  <c r="G96" i="138"/>
  <c r="H96" i="138"/>
  <c r="I96" i="138"/>
  <c r="J96" i="138"/>
  <c r="K96" i="138"/>
  <c r="L96" i="138"/>
  <c r="M96" i="138"/>
  <c r="N96" i="138"/>
  <c r="O96" i="138"/>
  <c r="P96" i="138"/>
  <c r="Q96" i="138"/>
  <c r="F97" i="138"/>
  <c r="G97" i="138"/>
  <c r="H97" i="138"/>
  <c r="I97" i="138"/>
  <c r="J97" i="138"/>
  <c r="K97" i="138"/>
  <c r="L97" i="138"/>
  <c r="M97" i="138"/>
  <c r="N97" i="138"/>
  <c r="O97" i="138"/>
  <c r="P97" i="138"/>
  <c r="Q97" i="138"/>
  <c r="F98" i="138"/>
  <c r="G98" i="138"/>
  <c r="H98" i="138"/>
  <c r="I98" i="138"/>
  <c r="J98" i="138"/>
  <c r="K98" i="138"/>
  <c r="L98" i="138"/>
  <c r="M98" i="138"/>
  <c r="N98" i="138"/>
  <c r="O98" i="138"/>
  <c r="P98" i="138"/>
  <c r="Q98" i="138"/>
  <c r="F99" i="138"/>
  <c r="G99" i="138"/>
  <c r="H99" i="138"/>
  <c r="I99" i="138"/>
  <c r="J99" i="138"/>
  <c r="K99" i="138"/>
  <c r="L99" i="138"/>
  <c r="M99" i="138"/>
  <c r="N99" i="138"/>
  <c r="O99" i="138"/>
  <c r="P99" i="138"/>
  <c r="Q99" i="138"/>
  <c r="F100" i="138"/>
  <c r="G100" i="138"/>
  <c r="H100" i="138"/>
  <c r="I100" i="138"/>
  <c r="J100" i="138"/>
  <c r="K100" i="138"/>
  <c r="L100" i="138"/>
  <c r="M100" i="138"/>
  <c r="N100" i="138"/>
  <c r="O100" i="138"/>
  <c r="P100" i="138"/>
  <c r="Q100" i="138"/>
  <c r="F101" i="138"/>
  <c r="G101" i="138"/>
  <c r="H101" i="138"/>
  <c r="I101" i="138"/>
  <c r="J101" i="138"/>
  <c r="K101" i="138"/>
  <c r="L101" i="138"/>
  <c r="M101" i="138"/>
  <c r="N101" i="138"/>
  <c r="O101" i="138"/>
  <c r="P101" i="138"/>
  <c r="Q101" i="138"/>
  <c r="F102" i="138"/>
  <c r="G102" i="138"/>
  <c r="H102" i="138"/>
  <c r="I102" i="138"/>
  <c r="J102" i="138"/>
  <c r="K102" i="138"/>
  <c r="L102" i="138"/>
  <c r="M102" i="138"/>
  <c r="N102" i="138"/>
  <c r="O102" i="138"/>
  <c r="P102" i="138"/>
  <c r="Q102" i="138"/>
  <c r="F103" i="138"/>
  <c r="G103" i="138"/>
  <c r="H103" i="138"/>
  <c r="I103" i="138"/>
  <c r="J103" i="138"/>
  <c r="K103" i="138"/>
  <c r="L103" i="138"/>
  <c r="M103" i="138"/>
  <c r="N103" i="138"/>
  <c r="O103" i="138"/>
  <c r="P103" i="138"/>
  <c r="Q103" i="138"/>
  <c r="F104" i="138"/>
  <c r="G104" i="138"/>
  <c r="H104" i="138"/>
  <c r="I104" i="138"/>
  <c r="J104" i="138"/>
  <c r="K104" i="138"/>
  <c r="L104" i="138"/>
  <c r="M104" i="138"/>
  <c r="N104" i="138"/>
  <c r="O104" i="138"/>
  <c r="P104" i="138"/>
  <c r="Q104" i="138"/>
  <c r="F105" i="138"/>
  <c r="G105" i="138"/>
  <c r="H105" i="138"/>
  <c r="I105" i="138"/>
  <c r="J105" i="138"/>
  <c r="K105" i="138"/>
  <c r="L105" i="138"/>
  <c r="M105" i="138"/>
  <c r="N105" i="138"/>
  <c r="O105" i="138"/>
  <c r="P105" i="138"/>
  <c r="Q105" i="138"/>
  <c r="F106" i="138"/>
  <c r="G106" i="138"/>
  <c r="H106" i="138"/>
  <c r="I106" i="138"/>
  <c r="J106" i="138"/>
  <c r="K106" i="138"/>
  <c r="L106" i="138"/>
  <c r="M106" i="138"/>
  <c r="N106" i="138"/>
  <c r="O106" i="138"/>
  <c r="P106" i="138"/>
  <c r="Q106" i="138"/>
  <c r="F107" i="138"/>
  <c r="G107" i="138"/>
  <c r="H107" i="138"/>
  <c r="I107" i="138"/>
  <c r="J107" i="138"/>
  <c r="K107" i="138"/>
  <c r="L107" i="138"/>
  <c r="M107" i="138"/>
  <c r="N107" i="138"/>
  <c r="O107" i="138"/>
  <c r="P107" i="138"/>
  <c r="Q107" i="138"/>
  <c r="F108" i="138"/>
  <c r="G108" i="138"/>
  <c r="H108" i="138"/>
  <c r="I108" i="138"/>
  <c r="J108" i="138"/>
  <c r="K108" i="138"/>
  <c r="L108" i="138"/>
  <c r="M108" i="138"/>
  <c r="N108" i="138"/>
  <c r="O108" i="138"/>
  <c r="P108" i="138"/>
  <c r="Q108" i="138"/>
  <c r="F109" i="138"/>
  <c r="G109" i="138"/>
  <c r="H109" i="138"/>
  <c r="I109" i="138"/>
  <c r="J109" i="138"/>
  <c r="K109" i="138"/>
  <c r="L109" i="138"/>
  <c r="M109" i="138"/>
  <c r="N109" i="138"/>
  <c r="O109" i="138"/>
  <c r="P109" i="138"/>
  <c r="Q109" i="138"/>
  <c r="F110" i="138"/>
  <c r="G110" i="138"/>
  <c r="H110" i="138"/>
  <c r="I110" i="138"/>
  <c r="J110" i="138"/>
  <c r="K110" i="138"/>
  <c r="L110" i="138"/>
  <c r="M110" i="138"/>
  <c r="N110" i="138"/>
  <c r="O110" i="138"/>
  <c r="P110" i="138"/>
  <c r="Q110" i="138"/>
  <c r="F111" i="138"/>
  <c r="G111" i="138"/>
  <c r="H111" i="138"/>
  <c r="I111" i="138"/>
  <c r="J111" i="138"/>
  <c r="K111" i="138"/>
  <c r="L111" i="138"/>
  <c r="M111" i="138"/>
  <c r="N111" i="138"/>
  <c r="O111" i="138"/>
  <c r="P111" i="138"/>
  <c r="Q111" i="138"/>
  <c r="F112" i="138"/>
  <c r="G112" i="138"/>
  <c r="H112" i="138"/>
  <c r="I112" i="138"/>
  <c r="J112" i="138"/>
  <c r="K112" i="138"/>
  <c r="L112" i="138"/>
  <c r="M112" i="138"/>
  <c r="N112" i="138"/>
  <c r="O112" i="138"/>
  <c r="P112" i="138"/>
  <c r="Q112" i="138"/>
  <c r="F113" i="138"/>
  <c r="G113" i="138"/>
  <c r="H113" i="138"/>
  <c r="I113" i="138"/>
  <c r="J113" i="138"/>
  <c r="K113" i="138"/>
  <c r="L113" i="138"/>
  <c r="M113" i="138"/>
  <c r="N113" i="138"/>
  <c r="O113" i="138"/>
  <c r="P113" i="138"/>
  <c r="Q113" i="138"/>
  <c r="F114" i="138"/>
  <c r="G114" i="138"/>
  <c r="H114" i="138"/>
  <c r="I114" i="138"/>
  <c r="J114" i="138"/>
  <c r="K114" i="138"/>
  <c r="L114" i="138"/>
  <c r="M114" i="138"/>
  <c r="N114" i="138"/>
  <c r="O114" i="138"/>
  <c r="P114" i="138"/>
  <c r="Q114" i="138"/>
  <c r="F115" i="138"/>
  <c r="G115" i="138"/>
  <c r="H115" i="138"/>
  <c r="I115" i="138"/>
  <c r="J115" i="138"/>
  <c r="K115" i="138"/>
  <c r="L115" i="138"/>
  <c r="M115" i="138"/>
  <c r="N115" i="138"/>
  <c r="O115" i="138"/>
  <c r="P115" i="138"/>
  <c r="Q115" i="138"/>
  <c r="F116" i="138"/>
  <c r="G116" i="138"/>
  <c r="H116" i="138"/>
  <c r="I116" i="138"/>
  <c r="J116" i="138"/>
  <c r="K116" i="138"/>
  <c r="L116" i="138"/>
  <c r="M116" i="138"/>
  <c r="N116" i="138"/>
  <c r="O116" i="138"/>
  <c r="P116" i="138"/>
  <c r="Q116" i="138"/>
  <c r="F117" i="138"/>
  <c r="G117" i="138"/>
  <c r="H117" i="138"/>
  <c r="I117" i="138"/>
  <c r="J117" i="138"/>
  <c r="K117" i="138"/>
  <c r="L117" i="138"/>
  <c r="M117" i="138"/>
  <c r="N117" i="138"/>
  <c r="O117" i="138"/>
  <c r="P117" i="138"/>
  <c r="Q117" i="138"/>
  <c r="F118" i="138"/>
  <c r="G118" i="138"/>
  <c r="H118" i="138"/>
  <c r="I118" i="138"/>
  <c r="J118" i="138"/>
  <c r="K118" i="138"/>
  <c r="L118" i="138"/>
  <c r="M118" i="138"/>
  <c r="N118" i="138"/>
  <c r="O118" i="138"/>
  <c r="P118" i="138"/>
  <c r="Q118" i="138"/>
  <c r="F119" i="138"/>
  <c r="G119" i="138"/>
  <c r="H119" i="138"/>
  <c r="I119" i="138"/>
  <c r="J119" i="138"/>
  <c r="K119" i="138"/>
  <c r="L119" i="138"/>
  <c r="M119" i="138"/>
  <c r="N119" i="138"/>
  <c r="O119" i="138"/>
  <c r="P119" i="138"/>
  <c r="Q119" i="138"/>
  <c r="F120" i="138"/>
  <c r="G120" i="138"/>
  <c r="H120" i="138"/>
  <c r="I120" i="138"/>
  <c r="J120" i="138"/>
  <c r="K120" i="138"/>
  <c r="L120" i="138"/>
  <c r="M120" i="138"/>
  <c r="N120" i="138"/>
  <c r="O120" i="138"/>
  <c r="P120" i="138"/>
  <c r="Q120" i="138"/>
  <c r="F121" i="138"/>
  <c r="G121" i="138"/>
  <c r="H121" i="138"/>
  <c r="I121" i="138"/>
  <c r="J121" i="138"/>
  <c r="K121" i="138"/>
  <c r="L121" i="138"/>
  <c r="M121" i="138"/>
  <c r="N121" i="138"/>
  <c r="O121" i="138"/>
  <c r="P121" i="138"/>
  <c r="Q121" i="138"/>
  <c r="F122" i="138"/>
  <c r="G122" i="138"/>
  <c r="H122" i="138"/>
  <c r="I122" i="138"/>
  <c r="J122" i="138"/>
  <c r="K122" i="138"/>
  <c r="L122" i="138"/>
  <c r="M122" i="138"/>
  <c r="N122" i="138"/>
  <c r="O122" i="138"/>
  <c r="P122" i="138"/>
  <c r="Q122" i="138"/>
  <c r="F123" i="138"/>
  <c r="G123" i="138"/>
  <c r="H123" i="138"/>
  <c r="I123" i="138"/>
  <c r="J123" i="138"/>
  <c r="K123" i="138"/>
  <c r="L123" i="138"/>
  <c r="M123" i="138"/>
  <c r="N123" i="138"/>
  <c r="O123" i="138"/>
  <c r="P123" i="138"/>
  <c r="Q123" i="138"/>
  <c r="F124" i="138"/>
  <c r="G124" i="138"/>
  <c r="H124" i="138"/>
  <c r="I124" i="138"/>
  <c r="J124" i="138"/>
  <c r="K124" i="138"/>
  <c r="L124" i="138"/>
  <c r="M124" i="138"/>
  <c r="N124" i="138"/>
  <c r="O124" i="138"/>
  <c r="P124" i="138"/>
  <c r="Q124" i="138"/>
  <c r="F125" i="138"/>
  <c r="G125" i="138"/>
  <c r="H125" i="138"/>
  <c r="I125" i="138"/>
  <c r="J125" i="138"/>
  <c r="K125" i="138"/>
  <c r="L125" i="138"/>
  <c r="M125" i="138"/>
  <c r="N125" i="138"/>
  <c r="O125" i="138"/>
  <c r="P125" i="138"/>
  <c r="Q125" i="138"/>
  <c r="F126" i="138"/>
  <c r="G126" i="138"/>
  <c r="H126" i="138"/>
  <c r="I126" i="138"/>
  <c r="J126" i="138"/>
  <c r="K126" i="138"/>
  <c r="L126" i="138"/>
  <c r="M126" i="138"/>
  <c r="N126" i="138"/>
  <c r="O126" i="138"/>
  <c r="P126" i="138"/>
  <c r="Q126" i="138"/>
  <c r="F127" i="138"/>
  <c r="G127" i="138"/>
  <c r="H127" i="138"/>
  <c r="I127" i="138"/>
  <c r="J127" i="138"/>
  <c r="K127" i="138"/>
  <c r="L127" i="138"/>
  <c r="M127" i="138"/>
  <c r="N127" i="138"/>
  <c r="O127" i="138"/>
  <c r="P127" i="138"/>
  <c r="Q127" i="138"/>
  <c r="F128" i="138"/>
  <c r="G128" i="138"/>
  <c r="H128" i="138"/>
  <c r="I128" i="138"/>
  <c r="J128" i="138"/>
  <c r="K128" i="138"/>
  <c r="L128" i="138"/>
  <c r="M128" i="138"/>
  <c r="N128" i="138"/>
  <c r="O128" i="138"/>
  <c r="P128" i="138"/>
  <c r="Q128" i="138"/>
  <c r="F129" i="138"/>
  <c r="G129" i="138"/>
  <c r="H129" i="138"/>
  <c r="I129" i="138"/>
  <c r="J129" i="138"/>
  <c r="K129" i="138"/>
  <c r="L129" i="138"/>
  <c r="M129" i="138"/>
  <c r="N129" i="138"/>
  <c r="O129" i="138"/>
  <c r="P129" i="138"/>
  <c r="Q129" i="138"/>
  <c r="F130" i="138"/>
  <c r="G130" i="138"/>
  <c r="H130" i="138"/>
  <c r="I130" i="138"/>
  <c r="J130" i="138"/>
  <c r="K130" i="138"/>
  <c r="L130" i="138"/>
  <c r="M130" i="138"/>
  <c r="N130" i="138"/>
  <c r="O130" i="138"/>
  <c r="P130" i="138"/>
  <c r="Q130" i="138"/>
  <c r="F131" i="138"/>
  <c r="G131" i="138"/>
  <c r="H131" i="138"/>
  <c r="I131" i="138"/>
  <c r="J131" i="138"/>
  <c r="K131" i="138"/>
  <c r="L131" i="138"/>
  <c r="M131" i="138"/>
  <c r="N131" i="138"/>
  <c r="O131" i="138"/>
  <c r="P131" i="138"/>
  <c r="Q131" i="138"/>
  <c r="F132" i="138"/>
  <c r="G132" i="138"/>
  <c r="H132" i="138"/>
  <c r="I132" i="138"/>
  <c r="J132" i="138"/>
  <c r="K132" i="138"/>
  <c r="L132" i="138"/>
  <c r="M132" i="138"/>
  <c r="N132" i="138"/>
  <c r="O132" i="138"/>
  <c r="P132" i="138"/>
  <c r="Q132" i="138"/>
  <c r="F133" i="138"/>
  <c r="G133" i="138"/>
  <c r="H133" i="138"/>
  <c r="I133" i="138"/>
  <c r="J133" i="138"/>
  <c r="K133" i="138"/>
  <c r="L133" i="138"/>
  <c r="M133" i="138"/>
  <c r="N133" i="138"/>
  <c r="O133" i="138"/>
  <c r="P133" i="138"/>
  <c r="Q133" i="138"/>
  <c r="F134" i="138"/>
  <c r="G134" i="138"/>
  <c r="H134" i="138"/>
  <c r="I134" i="138"/>
  <c r="J134" i="138"/>
  <c r="K134" i="138"/>
  <c r="L134" i="138"/>
  <c r="M134" i="138"/>
  <c r="N134" i="138"/>
  <c r="O134" i="138"/>
  <c r="P134" i="138"/>
  <c r="Q134" i="138"/>
  <c r="F135" i="138"/>
  <c r="G135" i="138"/>
  <c r="H135" i="138"/>
  <c r="I135" i="138"/>
  <c r="J135" i="138"/>
  <c r="K135" i="138"/>
  <c r="L135" i="138"/>
  <c r="M135" i="138"/>
  <c r="N135" i="138"/>
  <c r="O135" i="138"/>
  <c r="P135" i="138"/>
  <c r="Q135" i="138"/>
  <c r="F136" i="138"/>
  <c r="G136" i="138"/>
  <c r="H136" i="138"/>
  <c r="I136" i="138"/>
  <c r="J136" i="138"/>
  <c r="K136" i="138"/>
  <c r="L136" i="138"/>
  <c r="M136" i="138"/>
  <c r="N136" i="138"/>
  <c r="O136" i="138"/>
  <c r="P136" i="138"/>
  <c r="Q136" i="138"/>
  <c r="F137" i="138"/>
  <c r="G137" i="138"/>
  <c r="H137" i="138"/>
  <c r="I137" i="138"/>
  <c r="J137" i="138"/>
  <c r="K137" i="138"/>
  <c r="L137" i="138"/>
  <c r="M137" i="138"/>
  <c r="N137" i="138"/>
  <c r="O137" i="138"/>
  <c r="P137" i="138"/>
  <c r="Q137" i="138"/>
  <c r="F138" i="138"/>
  <c r="G138" i="138"/>
  <c r="H138" i="138"/>
  <c r="I138" i="138"/>
  <c r="J138" i="138"/>
  <c r="K138" i="138"/>
  <c r="L138" i="138"/>
  <c r="M138" i="138"/>
  <c r="N138" i="138"/>
  <c r="O138" i="138"/>
  <c r="P138" i="138"/>
  <c r="Q138" i="138"/>
  <c r="F139" i="138"/>
  <c r="G139" i="138"/>
  <c r="H139" i="138"/>
  <c r="I139" i="138"/>
  <c r="J139" i="138"/>
  <c r="K139" i="138"/>
  <c r="L139" i="138"/>
  <c r="M139" i="138"/>
  <c r="N139" i="138"/>
  <c r="O139" i="138"/>
  <c r="P139" i="138"/>
  <c r="Q139" i="138"/>
  <c r="F140" i="138"/>
  <c r="G140" i="138"/>
  <c r="H140" i="138"/>
  <c r="I140" i="138"/>
  <c r="J140" i="138"/>
  <c r="K140" i="138"/>
  <c r="L140" i="138"/>
  <c r="M140" i="138"/>
  <c r="N140" i="138"/>
  <c r="O140" i="138"/>
  <c r="P140" i="138"/>
  <c r="Q140" i="138"/>
  <c r="F141" i="138"/>
  <c r="G141" i="138"/>
  <c r="H141" i="138"/>
  <c r="I141" i="138"/>
  <c r="J141" i="138"/>
  <c r="K141" i="138"/>
  <c r="L141" i="138"/>
  <c r="M141" i="138"/>
  <c r="N141" i="138"/>
  <c r="O141" i="138"/>
  <c r="P141" i="138"/>
  <c r="Q141" i="138"/>
  <c r="F142" i="138"/>
  <c r="G142" i="138"/>
  <c r="H142" i="138"/>
  <c r="I142" i="138"/>
  <c r="J142" i="138"/>
  <c r="K142" i="138"/>
  <c r="L142" i="138"/>
  <c r="M142" i="138"/>
  <c r="N142" i="138"/>
  <c r="O142" i="138"/>
  <c r="P142" i="138"/>
  <c r="Q142" i="138"/>
  <c r="F143" i="138"/>
  <c r="G143" i="138"/>
  <c r="H143" i="138"/>
  <c r="I143" i="138"/>
  <c r="J143" i="138"/>
  <c r="K143" i="138"/>
  <c r="L143" i="138"/>
  <c r="M143" i="138"/>
  <c r="N143" i="138"/>
  <c r="O143" i="138"/>
  <c r="P143" i="138"/>
  <c r="Q143" i="138"/>
  <c r="G144" i="138"/>
  <c r="I144" i="138"/>
  <c r="K144" i="138"/>
  <c r="M144" i="138"/>
  <c r="O144" i="138"/>
  <c r="Q144" i="138"/>
  <c r="F25" i="59"/>
  <c r="H25" i="59"/>
  <c r="I25" i="59"/>
  <c r="F28" i="59"/>
  <c r="H28" i="59"/>
  <c r="I28" i="59"/>
  <c r="P28" i="59"/>
  <c r="Q28" i="59"/>
  <c r="F29" i="59"/>
  <c r="H29" i="59"/>
  <c r="F30" i="59"/>
  <c r="H30" i="59"/>
  <c r="I30" i="59"/>
  <c r="F31" i="59"/>
  <c r="G31" i="59"/>
  <c r="N31" i="59"/>
  <c r="O31" i="59"/>
  <c r="F32" i="59"/>
  <c r="H32" i="59"/>
  <c r="I32" i="59"/>
  <c r="F33" i="59"/>
  <c r="H33" i="59"/>
  <c r="F34" i="59"/>
  <c r="H34" i="59"/>
  <c r="I34" i="59"/>
  <c r="F35" i="59"/>
  <c r="N35" i="59"/>
  <c r="O35" i="59"/>
  <c r="H35" i="59"/>
  <c r="I35" i="59"/>
  <c r="J35" i="59"/>
  <c r="K35" i="59"/>
  <c r="F36" i="59"/>
  <c r="H36" i="59"/>
  <c r="I36" i="59"/>
  <c r="N36" i="59"/>
  <c r="O36" i="59"/>
  <c r="F37" i="59"/>
  <c r="H37" i="59"/>
  <c r="G37" i="59"/>
  <c r="F38" i="59"/>
  <c r="H38" i="59"/>
  <c r="I38" i="59"/>
  <c r="G38" i="59"/>
  <c r="F39" i="59"/>
  <c r="N39" i="59"/>
  <c r="O39" i="59"/>
  <c r="J39" i="59"/>
  <c r="K39" i="59"/>
  <c r="L39" i="59"/>
  <c r="M39" i="59"/>
  <c r="F40" i="59"/>
  <c r="H40" i="59"/>
  <c r="I40" i="59"/>
  <c r="F41" i="59"/>
  <c r="H41" i="59"/>
  <c r="G41" i="59"/>
  <c r="N41" i="59"/>
  <c r="O41" i="59"/>
  <c r="F42" i="59"/>
  <c r="H42" i="59"/>
  <c r="I42" i="59"/>
  <c r="F43" i="59"/>
  <c r="H43" i="59"/>
  <c r="F44" i="59"/>
  <c r="H44" i="59"/>
  <c r="I44" i="59"/>
  <c r="G44" i="59"/>
  <c r="P44" i="59"/>
  <c r="Q44" i="59"/>
  <c r="F45" i="59"/>
  <c r="G45" i="59"/>
  <c r="F46" i="59"/>
  <c r="H46" i="59"/>
  <c r="I46" i="59"/>
  <c r="F47" i="59"/>
  <c r="G47" i="59"/>
  <c r="L47" i="59"/>
  <c r="M47" i="59"/>
  <c r="F48" i="59"/>
  <c r="H48" i="59"/>
  <c r="I48" i="59"/>
  <c r="F49" i="59"/>
  <c r="H49" i="59"/>
  <c r="G49" i="59"/>
  <c r="F50" i="59"/>
  <c r="H50" i="59"/>
  <c r="I50" i="59"/>
  <c r="F51" i="59"/>
  <c r="N51" i="59"/>
  <c r="O51" i="59"/>
  <c r="J51" i="59"/>
  <c r="K51" i="59"/>
  <c r="L51" i="59"/>
  <c r="M51" i="59"/>
  <c r="F52" i="59"/>
  <c r="H52" i="59"/>
  <c r="I52" i="59"/>
  <c r="F53" i="59"/>
  <c r="H53" i="59"/>
  <c r="G53" i="59"/>
  <c r="F54" i="59"/>
  <c r="H54" i="59"/>
  <c r="I54" i="59"/>
  <c r="F55" i="59"/>
  <c r="N55" i="59"/>
  <c r="O55" i="59"/>
  <c r="J55" i="59"/>
  <c r="K55" i="59"/>
  <c r="L55" i="59"/>
  <c r="M55" i="59"/>
  <c r="F56" i="59"/>
  <c r="H56" i="59"/>
  <c r="I56" i="59"/>
  <c r="F57" i="59"/>
  <c r="H57" i="59"/>
  <c r="F58" i="59"/>
  <c r="H58" i="59"/>
  <c r="I58" i="59"/>
  <c r="F59" i="59"/>
  <c r="G59" i="59"/>
  <c r="L59" i="59"/>
  <c r="M59" i="59"/>
  <c r="N59" i="59"/>
  <c r="O59" i="59"/>
  <c r="F60" i="59"/>
  <c r="H60" i="59"/>
  <c r="I60" i="59"/>
  <c r="P60" i="59"/>
  <c r="Q60" i="59"/>
  <c r="F61" i="59"/>
  <c r="G61" i="59"/>
  <c r="F62" i="59"/>
  <c r="H62" i="59"/>
  <c r="I62" i="59"/>
  <c r="F63" i="59"/>
  <c r="G63" i="59"/>
  <c r="L63" i="59"/>
  <c r="M63" i="59"/>
  <c r="N63" i="59"/>
  <c r="O63" i="59"/>
  <c r="F64" i="59"/>
  <c r="G64" i="59"/>
  <c r="F65" i="59"/>
  <c r="J65" i="59"/>
  <c r="K65" i="59"/>
  <c r="G65" i="59"/>
  <c r="L65" i="59"/>
  <c r="M65" i="59"/>
  <c r="F66" i="59"/>
  <c r="G66" i="59"/>
  <c r="H66" i="59"/>
  <c r="P66" i="59"/>
  <c r="Q66" i="59"/>
  <c r="F67" i="59"/>
  <c r="N67" i="59"/>
  <c r="O67" i="59"/>
  <c r="F68" i="59"/>
  <c r="G68" i="59"/>
  <c r="F69" i="59"/>
  <c r="J69" i="59"/>
  <c r="K69" i="59"/>
  <c r="L69" i="59"/>
  <c r="M69" i="59"/>
  <c r="F70" i="59"/>
  <c r="N70" i="59"/>
  <c r="O70" i="59"/>
  <c r="F112" i="59"/>
  <c r="G112" i="59"/>
  <c r="F113" i="59"/>
  <c r="F114" i="59"/>
  <c r="J114" i="59"/>
  <c r="K114" i="59"/>
  <c r="F115" i="59"/>
  <c r="N115" i="59"/>
  <c r="O115" i="59"/>
  <c r="F116" i="59"/>
  <c r="H116" i="59"/>
  <c r="F117" i="59"/>
  <c r="L117" i="59"/>
  <c r="M117" i="59"/>
  <c r="G117" i="59"/>
  <c r="F118" i="59"/>
  <c r="N118" i="59"/>
  <c r="O118" i="59"/>
  <c r="F119" i="59"/>
  <c r="G119" i="59"/>
  <c r="N119" i="59"/>
  <c r="O119" i="59"/>
  <c r="F120" i="59"/>
  <c r="G120" i="59"/>
  <c r="F121" i="59"/>
  <c r="G121" i="59"/>
  <c r="F122" i="59"/>
  <c r="G122" i="59"/>
  <c r="F123" i="59"/>
  <c r="J123" i="59"/>
  <c r="K123" i="59"/>
  <c r="N123" i="59"/>
  <c r="O123" i="59"/>
  <c r="F124" i="59"/>
  <c r="G124" i="59"/>
  <c r="F125" i="59"/>
  <c r="N125" i="59"/>
  <c r="O125" i="59"/>
  <c r="F126" i="59"/>
  <c r="J126" i="59"/>
  <c r="K126" i="59"/>
  <c r="F127" i="59"/>
  <c r="J127" i="59"/>
  <c r="K127" i="59"/>
  <c r="F128" i="59"/>
  <c r="J128" i="59"/>
  <c r="K128" i="59"/>
  <c r="F129" i="59"/>
  <c r="J129" i="59"/>
  <c r="K129" i="59"/>
  <c r="F130" i="59"/>
  <c r="J130" i="59"/>
  <c r="K130" i="59"/>
  <c r="F131" i="59"/>
  <c r="J131" i="59"/>
  <c r="K131" i="59"/>
  <c r="F132" i="59"/>
  <c r="J132" i="59"/>
  <c r="K132" i="59"/>
  <c r="F133" i="59"/>
  <c r="J133" i="59"/>
  <c r="K133" i="59"/>
  <c r="G133" i="59"/>
  <c r="F134" i="59"/>
  <c r="J134" i="59"/>
  <c r="K134" i="59"/>
  <c r="F135" i="59"/>
  <c r="G135" i="59"/>
  <c r="F136" i="59"/>
  <c r="J136" i="59"/>
  <c r="K136" i="59"/>
  <c r="F137" i="59"/>
  <c r="N137" i="59"/>
  <c r="O137" i="59"/>
  <c r="F138" i="59"/>
  <c r="N138" i="59"/>
  <c r="O138" i="59"/>
  <c r="F139" i="59"/>
  <c r="G139" i="59"/>
  <c r="N139" i="59"/>
  <c r="O139" i="59"/>
  <c r="F140" i="59"/>
  <c r="N140" i="59"/>
  <c r="O140" i="59"/>
  <c r="F141" i="59"/>
  <c r="G141" i="59"/>
  <c r="F142" i="59"/>
  <c r="N142" i="59"/>
  <c r="O142" i="59"/>
  <c r="F143" i="59"/>
  <c r="N143" i="59"/>
  <c r="O143" i="59"/>
  <c r="F144" i="59"/>
  <c r="J144" i="59"/>
  <c r="K144" i="59"/>
  <c r="F145" i="59"/>
  <c r="J145" i="59"/>
  <c r="K145" i="59"/>
  <c r="G145" i="59"/>
  <c r="F146" i="59"/>
  <c r="J146" i="59"/>
  <c r="K146" i="59"/>
  <c r="F147" i="59"/>
  <c r="J147" i="59"/>
  <c r="K147" i="59"/>
  <c r="G147" i="59"/>
  <c r="F148" i="59"/>
  <c r="N148" i="59"/>
  <c r="O148" i="59"/>
  <c r="J148" i="59"/>
  <c r="K148" i="59"/>
  <c r="F149" i="59"/>
  <c r="J149" i="59"/>
  <c r="K149" i="59"/>
  <c r="G149" i="59"/>
  <c r="F150" i="59"/>
  <c r="N150" i="59"/>
  <c r="O150" i="59"/>
  <c r="J150" i="59"/>
  <c r="K150" i="59"/>
  <c r="F151" i="59"/>
  <c r="G151" i="59"/>
  <c r="N151" i="59"/>
  <c r="O151" i="59"/>
  <c r="F152" i="59"/>
  <c r="J152" i="59"/>
  <c r="K152" i="59"/>
  <c r="F153" i="59"/>
  <c r="L153" i="59"/>
  <c r="M153" i="59"/>
  <c r="F154" i="59"/>
  <c r="L154" i="59"/>
  <c r="M154" i="59"/>
  <c r="J154" i="59"/>
  <c r="K154" i="59"/>
  <c r="F155" i="59"/>
  <c r="L155" i="59"/>
  <c r="M155" i="59"/>
  <c r="G155" i="59"/>
  <c r="J155" i="59"/>
  <c r="K155" i="59"/>
  <c r="F156" i="59"/>
  <c r="J156" i="59"/>
  <c r="K156" i="59"/>
  <c r="L156" i="59"/>
  <c r="M156" i="59"/>
  <c r="F157" i="59"/>
  <c r="J157" i="59"/>
  <c r="K157" i="59"/>
  <c r="F158" i="59"/>
  <c r="G158" i="59"/>
  <c r="L158" i="59"/>
  <c r="M158" i="59"/>
  <c r="N158" i="59"/>
  <c r="O158" i="59"/>
  <c r="F159" i="59"/>
  <c r="J159" i="59"/>
  <c r="K159" i="59"/>
  <c r="F160" i="59"/>
  <c r="G160" i="59"/>
  <c r="F161" i="59"/>
  <c r="J161" i="59"/>
  <c r="K161" i="59"/>
  <c r="F162" i="59"/>
  <c r="G162" i="59"/>
  <c r="F163" i="59"/>
  <c r="J163" i="59"/>
  <c r="K163" i="59"/>
  <c r="F164" i="59"/>
  <c r="G164" i="59"/>
  <c r="L164" i="59"/>
  <c r="M164" i="59"/>
  <c r="F165" i="59"/>
  <c r="J165" i="59"/>
  <c r="K165" i="59"/>
  <c r="F166" i="59"/>
  <c r="G166" i="59"/>
  <c r="F167" i="59"/>
  <c r="J167" i="59"/>
  <c r="K167" i="59"/>
  <c r="N167" i="59"/>
  <c r="O167" i="59"/>
  <c r="H25" i="41"/>
  <c r="I25" i="41"/>
  <c r="J25" i="41"/>
  <c r="K25" i="41"/>
  <c r="F160" i="41"/>
  <c r="G160" i="41"/>
  <c r="F31" i="41"/>
  <c r="G31" i="41"/>
  <c r="F156" i="41"/>
  <c r="G156" i="41"/>
  <c r="F117" i="41"/>
  <c r="G117" i="41"/>
  <c r="F36" i="41"/>
  <c r="G36" i="41"/>
  <c r="F35" i="41"/>
  <c r="H35" i="41"/>
  <c r="I35" i="41"/>
  <c r="F148" i="41"/>
  <c r="G148" i="41"/>
  <c r="F145" i="41"/>
  <c r="G145" i="41"/>
  <c r="L145" i="41"/>
  <c r="M145" i="41"/>
  <c r="F143" i="41"/>
  <c r="F146" i="41"/>
  <c r="J146" i="41"/>
  <c r="K146" i="41"/>
  <c r="F142" i="41"/>
  <c r="G142" i="41"/>
  <c r="F147" i="41"/>
  <c r="P147" i="41"/>
  <c r="Q147" i="41"/>
  <c r="F30" i="41"/>
  <c r="G30" i="41"/>
  <c r="F144" i="41"/>
  <c r="H144" i="41"/>
  <c r="I144" i="41"/>
  <c r="F38" i="41"/>
  <c r="G38" i="41"/>
  <c r="F41" i="41"/>
  <c r="L41" i="41"/>
  <c r="M41" i="41"/>
  <c r="F43" i="41"/>
  <c r="L43" i="41"/>
  <c r="M43" i="41"/>
  <c r="F46" i="41"/>
  <c r="N46" i="41"/>
  <c r="O46" i="41"/>
  <c r="F48" i="41"/>
  <c r="H48" i="41"/>
  <c r="I48" i="41"/>
  <c r="F45" i="41"/>
  <c r="G45" i="41"/>
  <c r="F55" i="41"/>
  <c r="P55" i="41"/>
  <c r="Q55" i="41"/>
  <c r="F40" i="41"/>
  <c r="G40" i="41"/>
  <c r="F42" i="41"/>
  <c r="H42" i="41"/>
  <c r="I42" i="41"/>
  <c r="F44" i="41"/>
  <c r="F37" i="41"/>
  <c r="J37" i="41"/>
  <c r="K37" i="41"/>
  <c r="F50" i="41"/>
  <c r="G50" i="41"/>
  <c r="F51" i="41"/>
  <c r="G51" i="41"/>
  <c r="F39" i="41"/>
  <c r="P39" i="41"/>
  <c r="Q39" i="41"/>
  <c r="F47" i="41"/>
  <c r="G47" i="41"/>
  <c r="F49" i="41"/>
  <c r="H49" i="41"/>
  <c r="I49" i="41"/>
  <c r="F61" i="41"/>
  <c r="G61" i="41"/>
  <c r="F62" i="41"/>
  <c r="L62" i="41"/>
  <c r="M62" i="41"/>
  <c r="F66" i="41"/>
  <c r="L66" i="41"/>
  <c r="M66" i="41"/>
  <c r="F64" i="41"/>
  <c r="G64" i="41"/>
  <c r="F71" i="41"/>
  <c r="H71" i="41"/>
  <c r="I71" i="41"/>
  <c r="F60" i="41"/>
  <c r="G60" i="41"/>
  <c r="F63" i="41"/>
  <c r="F68" i="41"/>
  <c r="J68" i="41"/>
  <c r="K68" i="41"/>
  <c r="F70" i="41"/>
  <c r="H70" i="41"/>
  <c r="I70" i="41"/>
  <c r="F73" i="41"/>
  <c r="H73" i="41"/>
  <c r="I73" i="41"/>
  <c r="F59" i="41"/>
  <c r="H59" i="41"/>
  <c r="I59" i="41"/>
  <c r="F65" i="41"/>
  <c r="J65" i="41"/>
  <c r="K65" i="41"/>
  <c r="F67" i="41"/>
  <c r="G67" i="41"/>
  <c r="F69" i="41"/>
  <c r="P69" i="41"/>
  <c r="Q69" i="41"/>
  <c r="F74" i="41"/>
  <c r="G74" i="41"/>
  <c r="F75" i="41"/>
  <c r="J75" i="41"/>
  <c r="K75" i="41"/>
  <c r="F76" i="41"/>
  <c r="G76" i="41"/>
  <c r="L76" i="41"/>
  <c r="M76" i="41"/>
  <c r="F52" i="41"/>
  <c r="G52" i="41"/>
  <c r="F54" i="41"/>
  <c r="J54" i="41"/>
  <c r="K54" i="41"/>
  <c r="F53" i="41"/>
  <c r="G53" i="41"/>
  <c r="F97" i="41"/>
  <c r="H97" i="41"/>
  <c r="I97" i="41"/>
  <c r="F103" i="41"/>
  <c r="G103" i="41"/>
  <c r="F101" i="41"/>
  <c r="N101" i="41"/>
  <c r="O101" i="41"/>
  <c r="F102" i="41"/>
  <c r="J102" i="41"/>
  <c r="K102" i="41"/>
  <c r="F125" i="41"/>
  <c r="N125" i="41"/>
  <c r="O125" i="41"/>
  <c r="F137" i="41"/>
  <c r="G137" i="41"/>
  <c r="F138" i="41"/>
  <c r="G138" i="41"/>
  <c r="F139" i="41"/>
  <c r="L139" i="41"/>
  <c r="M139" i="41"/>
  <c r="F122" i="41"/>
  <c r="L122" i="41"/>
  <c r="M122" i="41"/>
  <c r="F77" i="41"/>
  <c r="L77" i="41"/>
  <c r="M77" i="41"/>
  <c r="F119" i="41"/>
  <c r="F120" i="41"/>
  <c r="L120" i="41"/>
  <c r="M120" i="41"/>
  <c r="F112" i="41"/>
  <c r="G112" i="41"/>
  <c r="F121" i="41"/>
  <c r="L121" i="41"/>
  <c r="M121" i="41"/>
  <c r="F126" i="41"/>
  <c r="L126" i="41"/>
  <c r="M126" i="41"/>
  <c r="F127" i="41"/>
  <c r="L127" i="41"/>
  <c r="M127" i="41"/>
  <c r="F114" i="41"/>
  <c r="G114" i="41"/>
  <c r="F86" i="41"/>
  <c r="L86" i="41"/>
  <c r="M86" i="41"/>
  <c r="F87" i="41"/>
  <c r="G87" i="41"/>
  <c r="F109" i="41"/>
  <c r="L109" i="41"/>
  <c r="M109" i="41"/>
  <c r="F88" i="41"/>
  <c r="G88" i="41"/>
  <c r="F90" i="41"/>
  <c r="L90" i="41"/>
  <c r="M90" i="41"/>
  <c r="F92" i="41"/>
  <c r="G92" i="41"/>
  <c r="F89" i="41"/>
  <c r="L89" i="41"/>
  <c r="M89" i="41"/>
  <c r="F99" i="41"/>
  <c r="G99" i="41"/>
  <c r="F96" i="41"/>
  <c r="L96" i="41"/>
  <c r="M96" i="41"/>
  <c r="F131" i="41"/>
  <c r="F28" i="41"/>
  <c r="L28" i="41"/>
  <c r="M28" i="41"/>
  <c r="F130" i="41"/>
  <c r="G130" i="41"/>
  <c r="F81" i="41"/>
  <c r="L81" i="41"/>
  <c r="M81" i="41"/>
  <c r="F82" i="41"/>
  <c r="G82" i="41"/>
  <c r="F83" i="41"/>
  <c r="L83" i="41"/>
  <c r="M83" i="41"/>
  <c r="F84" i="41"/>
  <c r="J84" i="41"/>
  <c r="K84" i="41"/>
  <c r="F85" i="41"/>
  <c r="L85" i="41"/>
  <c r="M85" i="41"/>
  <c r="F58" i="41"/>
  <c r="G58" i="41"/>
  <c r="J58" i="41"/>
  <c r="K58" i="41"/>
  <c r="F57" i="41"/>
  <c r="L57" i="41"/>
  <c r="M57" i="41"/>
  <c r="F80" i="41"/>
  <c r="G80" i="41"/>
  <c r="F91" i="41"/>
  <c r="L91" i="41"/>
  <c r="M91" i="41"/>
  <c r="F93" i="41"/>
  <c r="G93" i="41"/>
  <c r="F106" i="41"/>
  <c r="L106" i="41"/>
  <c r="M106" i="41"/>
  <c r="F104" i="41"/>
  <c r="J104" i="41"/>
  <c r="K104" i="41"/>
  <c r="F107" i="41"/>
  <c r="L107" i="41"/>
  <c r="M107" i="41"/>
  <c r="F108" i="41"/>
  <c r="G108" i="41"/>
  <c r="F111" i="41"/>
  <c r="L111" i="41"/>
  <c r="M111" i="41"/>
  <c r="F161" i="41"/>
  <c r="G161" i="41"/>
  <c r="F166" i="41"/>
  <c r="L166" i="41"/>
  <c r="M166" i="41"/>
  <c r="F105" i="41"/>
  <c r="G105" i="41"/>
  <c r="F110" i="41"/>
  <c r="L110" i="41"/>
  <c r="M110" i="41"/>
  <c r="F29" i="41"/>
  <c r="F29" i="83"/>
  <c r="L29" i="83"/>
  <c r="M29" i="83"/>
  <c r="F131" i="83"/>
  <c r="N131" i="83"/>
  <c r="O131" i="83"/>
  <c r="F39" i="83"/>
  <c r="L39" i="83"/>
  <c r="M39" i="83"/>
  <c r="F160" i="83"/>
  <c r="H160" i="83"/>
  <c r="I160" i="83"/>
  <c r="F156" i="83"/>
  <c r="L156" i="83"/>
  <c r="M156" i="83"/>
  <c r="F118" i="83"/>
  <c r="H118" i="83"/>
  <c r="I118" i="83"/>
  <c r="F35" i="83"/>
  <c r="L35" i="83"/>
  <c r="M35" i="83"/>
  <c r="F141" i="83"/>
  <c r="F147" i="83"/>
  <c r="L147" i="83"/>
  <c r="M147" i="83"/>
  <c r="F144" i="83"/>
  <c r="H144" i="83"/>
  <c r="I144" i="83"/>
  <c r="F143" i="83"/>
  <c r="L143" i="83"/>
  <c r="M143" i="83"/>
  <c r="F142" i="83"/>
  <c r="H142" i="83"/>
  <c r="I142" i="83"/>
  <c r="F148" i="83"/>
  <c r="F146" i="83"/>
  <c r="H146" i="83"/>
  <c r="I146" i="83"/>
  <c r="F145" i="83"/>
  <c r="L145" i="83"/>
  <c r="M145" i="83"/>
  <c r="F103" i="83"/>
  <c r="H103" i="83"/>
  <c r="I103" i="83"/>
  <c r="F132" i="83"/>
  <c r="J132" i="83"/>
  <c r="K132" i="83"/>
  <c r="F139" i="83"/>
  <c r="H139" i="83"/>
  <c r="I139" i="83"/>
  <c r="F77" i="83"/>
  <c r="L77" i="83"/>
  <c r="M77" i="83"/>
  <c r="J77" i="83"/>
  <c r="K77" i="83"/>
  <c r="F152" i="83"/>
  <c r="H152" i="83"/>
  <c r="I152" i="83"/>
  <c r="F134" i="83"/>
  <c r="L134" i="83"/>
  <c r="M134" i="83"/>
  <c r="F101" i="83"/>
  <c r="N101" i="83"/>
  <c r="O101" i="83"/>
  <c r="H101" i="83"/>
  <c r="I101" i="83"/>
  <c r="F153" i="83"/>
  <c r="L153" i="83"/>
  <c r="M153" i="83"/>
  <c r="F124" i="83"/>
  <c r="H124" i="83"/>
  <c r="I124" i="83"/>
  <c r="F149" i="83"/>
  <c r="F167" i="83"/>
  <c r="H167" i="83"/>
  <c r="I167" i="83"/>
  <c r="F109" i="83"/>
  <c r="L109" i="83"/>
  <c r="M109" i="83"/>
  <c r="F154" i="83"/>
  <c r="H154" i="83"/>
  <c r="I154" i="83"/>
  <c r="F78" i="83"/>
  <c r="L78" i="83"/>
  <c r="M78" i="83"/>
  <c r="F157" i="83"/>
  <c r="H157" i="83"/>
  <c r="I157" i="83"/>
  <c r="F36" i="83"/>
  <c r="L36" i="83"/>
  <c r="M36" i="83"/>
  <c r="F125" i="83"/>
  <c r="H125" i="83"/>
  <c r="I125" i="83"/>
  <c r="F155" i="83"/>
  <c r="F115" i="83"/>
  <c r="H115" i="83"/>
  <c r="I115" i="83"/>
  <c r="F150" i="83"/>
  <c r="L150" i="83"/>
  <c r="M150" i="83"/>
  <c r="F105" i="83"/>
  <c r="H105" i="83"/>
  <c r="I105" i="83"/>
  <c r="F119" i="83"/>
  <c r="L119" i="83"/>
  <c r="M119" i="83"/>
  <c r="F159" i="83"/>
  <c r="G159" i="83"/>
  <c r="F162" i="83"/>
  <c r="L162" i="83"/>
  <c r="M162" i="83"/>
  <c r="F151" i="83"/>
  <c r="G151" i="83"/>
  <c r="F140" i="83"/>
  <c r="N140" i="83"/>
  <c r="O140" i="83"/>
  <c r="F133" i="83"/>
  <c r="G133" i="83"/>
  <c r="F117" i="83"/>
  <c r="N117" i="83"/>
  <c r="O117" i="83"/>
  <c r="F37" i="83"/>
  <c r="F158" i="83"/>
  <c r="N158" i="83"/>
  <c r="O158" i="83"/>
  <c r="F129" i="83"/>
  <c r="G129" i="83"/>
  <c r="J129" i="83"/>
  <c r="K129" i="83"/>
  <c r="N129" i="83"/>
  <c r="O129" i="83"/>
  <c r="F116" i="83"/>
  <c r="F165" i="83"/>
  <c r="F166" i="83"/>
  <c r="N166" i="83"/>
  <c r="O166" i="83"/>
  <c r="J166" i="83"/>
  <c r="K166" i="83"/>
  <c r="F38" i="83"/>
  <c r="G38" i="83"/>
  <c r="F130" i="83"/>
  <c r="F135" i="83"/>
  <c r="F136" i="83"/>
  <c r="H136" i="83"/>
  <c r="I136" i="83"/>
  <c r="F163" i="83"/>
  <c r="G163" i="83"/>
  <c r="F164" i="83"/>
  <c r="H164" i="83"/>
  <c r="I164" i="83"/>
  <c r="F120" i="83"/>
  <c r="G120" i="83"/>
  <c r="H106" i="83"/>
  <c r="I106" i="83"/>
  <c r="J106" i="83"/>
  <c r="K106" i="83"/>
  <c r="L106" i="83"/>
  <c r="M106" i="83"/>
  <c r="N106" i="83"/>
  <c r="O106" i="83"/>
  <c r="P106" i="83"/>
  <c r="Q106" i="83"/>
  <c r="F110" i="83"/>
  <c r="N110" i="83"/>
  <c r="O110" i="83"/>
  <c r="F137" i="83"/>
  <c r="G137" i="83"/>
  <c r="F107" i="83"/>
  <c r="J107" i="83"/>
  <c r="K107" i="83"/>
  <c r="N107" i="83"/>
  <c r="O107" i="83"/>
  <c r="F108" i="83"/>
  <c r="F138" i="83"/>
  <c r="J138" i="83"/>
  <c r="K138" i="83"/>
  <c r="F76" i="83"/>
  <c r="G76" i="83"/>
  <c r="F126" i="83"/>
  <c r="J126" i="83"/>
  <c r="K126" i="83"/>
  <c r="F121" i="83"/>
  <c r="G121" i="83"/>
  <c r="N121" i="83"/>
  <c r="O121" i="83"/>
  <c r="F122" i="83"/>
  <c r="J122" i="83"/>
  <c r="K122" i="83"/>
  <c r="F114" i="83"/>
  <c r="J114" i="83"/>
  <c r="K114" i="83"/>
  <c r="G114" i="83"/>
  <c r="N114" i="83"/>
  <c r="O114" i="83"/>
  <c r="F123" i="83"/>
  <c r="N123" i="83"/>
  <c r="O123" i="83"/>
  <c r="F56" i="83"/>
  <c r="J56" i="83"/>
  <c r="K56" i="83"/>
  <c r="F127" i="83"/>
  <c r="F128" i="83"/>
  <c r="G128" i="83"/>
  <c r="F98" i="83"/>
  <c r="J98" i="83"/>
  <c r="K98" i="83"/>
  <c r="F89" i="83"/>
  <c r="G89" i="83"/>
  <c r="F59" i="83"/>
  <c r="J59" i="83"/>
  <c r="K59" i="83"/>
  <c r="F97" i="83"/>
  <c r="G97" i="83"/>
  <c r="F104" i="83"/>
  <c r="J104" i="83"/>
  <c r="K104" i="83"/>
  <c r="F32" i="83"/>
  <c r="F84" i="83"/>
  <c r="J84" i="83"/>
  <c r="K84" i="83"/>
  <c r="F79" i="83"/>
  <c r="F90" i="83"/>
  <c r="J90" i="83"/>
  <c r="K90" i="83"/>
  <c r="F91" i="83"/>
  <c r="J91" i="83"/>
  <c r="K91" i="83"/>
  <c r="N91" i="83"/>
  <c r="O91" i="83"/>
  <c r="F92" i="83"/>
  <c r="J92" i="83"/>
  <c r="K92" i="83"/>
  <c r="N92" i="83"/>
  <c r="O92" i="83"/>
  <c r="F93" i="83"/>
  <c r="G93" i="83"/>
  <c r="F94" i="83"/>
  <c r="J94" i="83"/>
  <c r="K94" i="83"/>
  <c r="F85" i="83"/>
  <c r="L85" i="83"/>
  <c r="M85" i="83"/>
  <c r="H85" i="83"/>
  <c r="I85" i="83"/>
  <c r="F86" i="83"/>
  <c r="L86" i="83"/>
  <c r="M86" i="83"/>
  <c r="F87" i="83"/>
  <c r="L87" i="83"/>
  <c r="M87" i="83"/>
  <c r="F88" i="83"/>
  <c r="J88" i="83"/>
  <c r="K88" i="83"/>
  <c r="F80" i="83"/>
  <c r="L80" i="83"/>
  <c r="M80" i="83"/>
  <c r="F81" i="83"/>
  <c r="L81" i="83"/>
  <c r="M81" i="83"/>
  <c r="J81" i="83"/>
  <c r="K81" i="83"/>
  <c r="F82" i="83"/>
  <c r="L82" i="83"/>
  <c r="M82" i="83"/>
  <c r="F83" i="83"/>
  <c r="N83" i="83"/>
  <c r="O83" i="83"/>
  <c r="F58" i="83"/>
  <c r="F57" i="83"/>
  <c r="J57" i="83"/>
  <c r="K57" i="83"/>
  <c r="F34" i="83"/>
  <c r="L34" i="83"/>
  <c r="M34" i="83"/>
  <c r="F95" i="83"/>
  <c r="J95" i="83"/>
  <c r="K95" i="83"/>
  <c r="F96" i="83"/>
  <c r="L96" i="83"/>
  <c r="M96" i="83"/>
  <c r="F99" i="83"/>
  <c r="J99" i="83"/>
  <c r="K99" i="83"/>
  <c r="F100" i="83"/>
  <c r="L100" i="83"/>
  <c r="M100" i="83"/>
  <c r="F111" i="83"/>
  <c r="J111" i="83"/>
  <c r="K111" i="83"/>
  <c r="L111" i="83"/>
  <c r="M111" i="83"/>
  <c r="F112" i="83"/>
  <c r="L112" i="83"/>
  <c r="M112" i="83"/>
  <c r="H112" i="83"/>
  <c r="I112" i="83"/>
  <c r="F60" i="83"/>
  <c r="G60" i="83"/>
  <c r="F113" i="83"/>
  <c r="J113" i="83"/>
  <c r="K113" i="83"/>
  <c r="F161" i="83"/>
  <c r="N161" i="83"/>
  <c r="G161" i="83"/>
  <c r="F33" i="83"/>
  <c r="F33" i="63"/>
  <c r="L33" i="63"/>
  <c r="M33" i="63"/>
  <c r="N33" i="63"/>
  <c r="O33" i="63"/>
  <c r="F36" i="63"/>
  <c r="G36" i="63"/>
  <c r="F37" i="63"/>
  <c r="N37" i="63"/>
  <c r="O37" i="63"/>
  <c r="L37" i="63"/>
  <c r="M37" i="63"/>
  <c r="F38" i="63"/>
  <c r="H38" i="63"/>
  <c r="I38" i="63"/>
  <c r="G38" i="63"/>
  <c r="J38" i="63"/>
  <c r="K38" i="63"/>
  <c r="F39" i="63"/>
  <c r="G39" i="63"/>
  <c r="L39" i="63"/>
  <c r="M39" i="63"/>
  <c r="F40" i="63"/>
  <c r="H40" i="63"/>
  <c r="I40" i="63"/>
  <c r="F41" i="63"/>
  <c r="L41" i="63"/>
  <c r="M41" i="63"/>
  <c r="F42" i="63"/>
  <c r="H42" i="63"/>
  <c r="I42" i="63"/>
  <c r="F43" i="63"/>
  <c r="L43" i="63"/>
  <c r="M43" i="63"/>
  <c r="F44" i="63"/>
  <c r="H44" i="63"/>
  <c r="I44" i="63"/>
  <c r="G44" i="63"/>
  <c r="F45" i="63"/>
  <c r="N45" i="63"/>
  <c r="O45" i="63"/>
  <c r="L45" i="63"/>
  <c r="M45" i="63"/>
  <c r="F46" i="63"/>
  <c r="G46" i="63"/>
  <c r="H46" i="63"/>
  <c r="I46" i="63"/>
  <c r="J46" i="63"/>
  <c r="K46" i="63"/>
  <c r="F47" i="63"/>
  <c r="L47" i="63"/>
  <c r="M47" i="63"/>
  <c r="N47" i="63"/>
  <c r="O47" i="63"/>
  <c r="F48" i="63"/>
  <c r="J48" i="63"/>
  <c r="K48" i="63"/>
  <c r="H48" i="63"/>
  <c r="I48" i="63"/>
  <c r="N48" i="63"/>
  <c r="O48" i="63"/>
  <c r="F49" i="63"/>
  <c r="N49" i="63"/>
  <c r="O49" i="63"/>
  <c r="F50" i="63"/>
  <c r="H50" i="63"/>
  <c r="I50" i="63"/>
  <c r="G50" i="63"/>
  <c r="N50" i="63"/>
  <c r="O50" i="63"/>
  <c r="F51" i="63"/>
  <c r="L51" i="63"/>
  <c r="M51" i="63"/>
  <c r="N51" i="63"/>
  <c r="O51" i="63"/>
  <c r="F52" i="63"/>
  <c r="G52" i="63"/>
  <c r="F53" i="63"/>
  <c r="N53" i="63"/>
  <c r="O53" i="63"/>
  <c r="L53" i="63"/>
  <c r="M53" i="63"/>
  <c r="F54" i="63"/>
  <c r="H54" i="63"/>
  <c r="I54" i="63"/>
  <c r="J54" i="63"/>
  <c r="K54" i="63"/>
  <c r="N54" i="63"/>
  <c r="O54" i="63"/>
  <c r="F55" i="63"/>
  <c r="L55" i="63"/>
  <c r="M55" i="63"/>
  <c r="F56" i="63"/>
  <c r="H56" i="63"/>
  <c r="I56" i="63"/>
  <c r="F57" i="63"/>
  <c r="L57" i="63"/>
  <c r="M57" i="63"/>
  <c r="F58" i="63"/>
  <c r="H58" i="63"/>
  <c r="I58" i="63"/>
  <c r="G58" i="63"/>
  <c r="F59" i="63"/>
  <c r="N59" i="63"/>
  <c r="O59" i="63"/>
  <c r="L59" i="63"/>
  <c r="M59" i="63"/>
  <c r="F60" i="63"/>
  <c r="G60" i="63"/>
  <c r="H60" i="63"/>
  <c r="I60" i="63"/>
  <c r="J60" i="63"/>
  <c r="K60" i="63"/>
  <c r="F61" i="63"/>
  <c r="F62" i="63"/>
  <c r="H62" i="63"/>
  <c r="I62" i="63"/>
  <c r="G62" i="63"/>
  <c r="N62" i="63"/>
  <c r="O62" i="63"/>
  <c r="F63" i="63"/>
  <c r="J63" i="63"/>
  <c r="K63" i="63"/>
  <c r="N63" i="63"/>
  <c r="O63" i="63"/>
  <c r="F64" i="63"/>
  <c r="G64" i="63"/>
  <c r="F65" i="63"/>
  <c r="J65" i="63"/>
  <c r="K65" i="63"/>
  <c r="F66" i="63"/>
  <c r="G66" i="63"/>
  <c r="J66" i="63"/>
  <c r="K66" i="63"/>
  <c r="N66" i="63"/>
  <c r="O66" i="63"/>
  <c r="F67" i="63"/>
  <c r="J67" i="63"/>
  <c r="K67" i="63"/>
  <c r="F68" i="63"/>
  <c r="F69" i="63"/>
  <c r="H69" i="63"/>
  <c r="I69" i="63"/>
  <c r="F70" i="63"/>
  <c r="G70" i="63"/>
  <c r="J70" i="63"/>
  <c r="K70" i="63"/>
  <c r="N70" i="63"/>
  <c r="O70" i="63"/>
  <c r="F71" i="63"/>
  <c r="N71" i="63"/>
  <c r="O71" i="63"/>
  <c r="J71" i="63"/>
  <c r="K71" i="63"/>
  <c r="F72" i="63"/>
  <c r="F73" i="63"/>
  <c r="J73" i="63"/>
  <c r="K73" i="63"/>
  <c r="F74" i="63"/>
  <c r="G74" i="63"/>
  <c r="F75" i="63"/>
  <c r="N75" i="63"/>
  <c r="O75" i="63"/>
  <c r="F76" i="63"/>
  <c r="F77" i="63"/>
  <c r="J77" i="63"/>
  <c r="K77" i="63"/>
  <c r="F78" i="63"/>
  <c r="J78" i="63"/>
  <c r="K78" i="63"/>
  <c r="G78" i="63"/>
  <c r="F79" i="63"/>
  <c r="J79" i="63"/>
  <c r="K79" i="63"/>
  <c r="N79" i="63"/>
  <c r="O79" i="63"/>
  <c r="F80" i="63"/>
  <c r="F81" i="63"/>
  <c r="J81" i="63"/>
  <c r="K81" i="63"/>
  <c r="F82" i="63"/>
  <c r="G82" i="63"/>
  <c r="F83" i="63"/>
  <c r="G83" i="63"/>
  <c r="F86" i="63"/>
  <c r="H86" i="63"/>
  <c r="I86" i="63"/>
  <c r="F87" i="63"/>
  <c r="N87" i="63"/>
  <c r="O87" i="63"/>
  <c r="G87" i="63"/>
  <c r="J87" i="63"/>
  <c r="K87" i="63"/>
  <c r="F88" i="63"/>
  <c r="J88" i="63"/>
  <c r="K88" i="63"/>
  <c r="F89" i="63"/>
  <c r="N89" i="63"/>
  <c r="O89" i="63"/>
  <c r="F90" i="63"/>
  <c r="N90" i="63"/>
  <c r="O90" i="63"/>
  <c r="L90" i="63"/>
  <c r="G90" i="63"/>
  <c r="H90" i="63"/>
  <c r="I90" i="63"/>
  <c r="M90" i="63"/>
  <c r="P90" i="63"/>
  <c r="Q90" i="63"/>
  <c r="F91" i="63"/>
  <c r="G91" i="63"/>
  <c r="F92" i="63"/>
  <c r="L92" i="63"/>
  <c r="M92" i="63"/>
  <c r="J30" i="106"/>
  <c r="I32" i="106"/>
  <c r="J32" i="106"/>
  <c r="L39" i="106"/>
  <c r="F19" i="140"/>
  <c r="G19" i="140"/>
  <c r="H19" i="140"/>
  <c r="I19" i="140"/>
  <c r="J19" i="140"/>
  <c r="K19" i="140"/>
  <c r="L19" i="140"/>
  <c r="M19" i="140"/>
  <c r="N19" i="140"/>
  <c r="O19" i="140"/>
  <c r="P19" i="140"/>
  <c r="Q19" i="140"/>
  <c r="G22" i="140"/>
  <c r="I22" i="140"/>
  <c r="K22" i="140"/>
  <c r="M22" i="140"/>
  <c r="O22" i="140"/>
  <c r="Q22" i="140"/>
  <c r="L33" i="140"/>
  <c r="F19" i="139"/>
  <c r="G19" i="139"/>
  <c r="H19" i="139"/>
  <c r="I19" i="139"/>
  <c r="J19" i="139"/>
  <c r="K19" i="139"/>
  <c r="L19" i="139"/>
  <c r="M19" i="139"/>
  <c r="N19" i="139"/>
  <c r="O19" i="139"/>
  <c r="P19" i="139"/>
  <c r="Q19" i="139"/>
  <c r="G22" i="139"/>
  <c r="I22" i="139"/>
  <c r="K22" i="139"/>
  <c r="M22" i="139"/>
  <c r="O22" i="139"/>
  <c r="Q22" i="139"/>
  <c r="L33" i="139"/>
  <c r="F19" i="97"/>
  <c r="G19" i="97"/>
  <c r="J19" i="97"/>
  <c r="K19" i="97"/>
  <c r="L19" i="97"/>
  <c r="M19" i="97"/>
  <c r="N19" i="97"/>
  <c r="O19" i="97"/>
  <c r="F21" i="97"/>
  <c r="G21" i="97"/>
  <c r="J21" i="97"/>
  <c r="K21" i="97"/>
  <c r="N21" i="97"/>
  <c r="O21" i="97"/>
  <c r="F22" i="97"/>
  <c r="L22" i="97"/>
  <c r="M22" i="97"/>
  <c r="F23" i="97"/>
  <c r="G23" i="97"/>
  <c r="J23" i="97"/>
  <c r="K23" i="97"/>
  <c r="N23" i="97"/>
  <c r="O23" i="97"/>
  <c r="F24" i="97"/>
  <c r="L24" i="97"/>
  <c r="M24" i="97"/>
  <c r="N24" i="97"/>
  <c r="O24" i="97"/>
  <c r="F25" i="97"/>
  <c r="G25" i="97"/>
  <c r="J25" i="97"/>
  <c r="K25" i="97"/>
  <c r="N25" i="97"/>
  <c r="O25" i="97"/>
  <c r="F26" i="97"/>
  <c r="L26" i="97"/>
  <c r="M26" i="97"/>
  <c r="N26" i="97"/>
  <c r="O26" i="97"/>
  <c r="F27" i="97"/>
  <c r="G27" i="97"/>
  <c r="J27" i="97"/>
  <c r="K27" i="97"/>
  <c r="N27" i="97"/>
  <c r="O27" i="97"/>
  <c r="L39" i="97"/>
  <c r="F17" i="110"/>
  <c r="J17" i="110"/>
  <c r="K17" i="110"/>
  <c r="K33" i="110"/>
  <c r="F20" i="110"/>
  <c r="L20" i="110"/>
  <c r="M20" i="110"/>
  <c r="J20" i="110"/>
  <c r="K20" i="110"/>
  <c r="N20" i="110"/>
  <c r="O20" i="110"/>
  <c r="F21" i="110"/>
  <c r="H21" i="110"/>
  <c r="I21" i="110"/>
  <c r="G21" i="110"/>
  <c r="N21" i="110"/>
  <c r="O21" i="110"/>
  <c r="F22" i="110"/>
  <c r="L22" i="110"/>
  <c r="M22" i="110"/>
  <c r="J22" i="110"/>
  <c r="K22" i="110"/>
  <c r="N22" i="110"/>
  <c r="O22" i="110"/>
  <c r="F23" i="110"/>
  <c r="H23" i="110"/>
  <c r="I23" i="110"/>
  <c r="G23" i="110"/>
  <c r="N23" i="110"/>
  <c r="O23" i="110"/>
  <c r="F24" i="110"/>
  <c r="L24" i="110"/>
  <c r="M24" i="110"/>
  <c r="J24" i="110"/>
  <c r="K24" i="110"/>
  <c r="N24" i="110"/>
  <c r="O24" i="110"/>
  <c r="F25" i="110"/>
  <c r="H25" i="110"/>
  <c r="I25" i="110"/>
  <c r="G25" i="110"/>
  <c r="N25" i="110"/>
  <c r="O25" i="110"/>
  <c r="F26" i="110"/>
  <c r="L26" i="110"/>
  <c r="M26" i="110"/>
  <c r="J26" i="110"/>
  <c r="K26" i="110"/>
  <c r="N26" i="110"/>
  <c r="O26" i="110"/>
  <c r="F27" i="110"/>
  <c r="H27" i="110"/>
  <c r="I27" i="110"/>
  <c r="G27" i="110"/>
  <c r="N27" i="110"/>
  <c r="O27" i="110"/>
  <c r="F28" i="110"/>
  <c r="L28" i="110"/>
  <c r="M28" i="110"/>
  <c r="J28" i="110"/>
  <c r="K28" i="110"/>
  <c r="N28" i="110"/>
  <c r="O28" i="110"/>
  <c r="F29" i="110"/>
  <c r="H29" i="110"/>
  <c r="I29" i="110"/>
  <c r="G29" i="110"/>
  <c r="N29" i="110"/>
  <c r="O29" i="110"/>
  <c r="F30" i="110"/>
  <c r="L30" i="110"/>
  <c r="M30" i="110"/>
  <c r="J30" i="110"/>
  <c r="K30" i="110"/>
  <c r="N30" i="110"/>
  <c r="O30" i="110"/>
  <c r="F31" i="110"/>
  <c r="H31" i="110"/>
  <c r="I31" i="110"/>
  <c r="G31" i="110"/>
  <c r="N31" i="110"/>
  <c r="O31" i="110"/>
  <c r="F32" i="110"/>
  <c r="L32" i="110"/>
  <c r="M32" i="110"/>
  <c r="J32" i="110"/>
  <c r="K32" i="110"/>
  <c r="N32" i="110"/>
  <c r="O32" i="110"/>
  <c r="L39" i="110"/>
  <c r="F17" i="134"/>
  <c r="G17" i="134"/>
  <c r="L17" i="134"/>
  <c r="M17" i="134"/>
  <c r="N17" i="134"/>
  <c r="O17" i="134"/>
  <c r="F20" i="134"/>
  <c r="J20" i="134"/>
  <c r="K20" i="134"/>
  <c r="L20" i="134"/>
  <c r="M20" i="134"/>
  <c r="N20" i="134"/>
  <c r="O20" i="134"/>
  <c r="F21" i="134"/>
  <c r="G21" i="134"/>
  <c r="H21" i="134"/>
  <c r="I21" i="134"/>
  <c r="N21" i="134"/>
  <c r="O21" i="134"/>
  <c r="P21" i="134"/>
  <c r="Q21" i="134"/>
  <c r="L39" i="134"/>
  <c r="F17" i="133"/>
  <c r="J17" i="133"/>
  <c r="K17" i="133"/>
  <c r="K20" i="133"/>
  <c r="N17" i="133"/>
  <c r="O17" i="133"/>
  <c r="O20" i="133"/>
  <c r="F17" i="112"/>
  <c r="H17" i="112"/>
  <c r="I17" i="112"/>
  <c r="G17" i="112"/>
  <c r="N17" i="112"/>
  <c r="O17" i="112"/>
  <c r="F20" i="112"/>
  <c r="L20" i="112"/>
  <c r="M20" i="112"/>
  <c r="N20" i="112"/>
  <c r="O20" i="112"/>
  <c r="F21" i="112"/>
  <c r="H21" i="112"/>
  <c r="I21" i="112"/>
  <c r="J21" i="112"/>
  <c r="K21" i="112"/>
  <c r="N21" i="112"/>
  <c r="O21" i="112"/>
  <c r="F22" i="112"/>
  <c r="L22" i="112"/>
  <c r="M22" i="112"/>
  <c r="N22" i="112"/>
  <c r="O22" i="112"/>
  <c r="F23" i="112"/>
  <c r="H23" i="112"/>
  <c r="I23" i="112"/>
  <c r="J23" i="112"/>
  <c r="K23" i="112"/>
  <c r="N23" i="112"/>
  <c r="O23" i="112"/>
  <c r="F24" i="112"/>
  <c r="L24" i="112"/>
  <c r="M24" i="112"/>
  <c r="N24" i="112"/>
  <c r="O24" i="112"/>
  <c r="F25" i="112"/>
  <c r="H25" i="112"/>
  <c r="I25" i="112"/>
  <c r="J25" i="112"/>
  <c r="K25" i="112"/>
  <c r="N25" i="112"/>
  <c r="O25" i="112"/>
  <c r="F26" i="112"/>
  <c r="L26" i="112"/>
  <c r="M26" i="112"/>
  <c r="N26" i="112"/>
  <c r="O26" i="112"/>
  <c r="F27" i="112"/>
  <c r="H27" i="112"/>
  <c r="I27" i="112"/>
  <c r="J27" i="112"/>
  <c r="K27" i="112"/>
  <c r="N27" i="112"/>
  <c r="O27" i="112"/>
  <c r="F28" i="112"/>
  <c r="L28" i="112"/>
  <c r="M28" i="112"/>
  <c r="N28" i="112"/>
  <c r="O28" i="112"/>
  <c r="F29" i="112"/>
  <c r="H29" i="112"/>
  <c r="I29" i="112"/>
  <c r="J29" i="112"/>
  <c r="K29" i="112"/>
  <c r="N29" i="112"/>
  <c r="O29" i="112"/>
  <c r="F30" i="112"/>
  <c r="L30" i="112"/>
  <c r="M30" i="112"/>
  <c r="N30" i="112"/>
  <c r="O30" i="112"/>
  <c r="F31" i="112"/>
  <c r="H31" i="112"/>
  <c r="I31" i="112"/>
  <c r="J31" i="112"/>
  <c r="K31" i="112"/>
  <c r="N31" i="112"/>
  <c r="O31" i="112"/>
  <c r="F32" i="112"/>
  <c r="L32" i="112"/>
  <c r="M32" i="112"/>
  <c r="N32" i="112"/>
  <c r="O32" i="112"/>
  <c r="F33" i="112"/>
  <c r="H33" i="112"/>
  <c r="I33" i="112"/>
  <c r="J33" i="112"/>
  <c r="K33" i="112"/>
  <c r="N33" i="112"/>
  <c r="O33" i="112"/>
  <c r="F34" i="112"/>
  <c r="L34" i="112"/>
  <c r="M34" i="112"/>
  <c r="N34" i="112"/>
  <c r="O34" i="112"/>
  <c r="F35" i="112"/>
  <c r="H35" i="112"/>
  <c r="I35" i="112"/>
  <c r="J35" i="112"/>
  <c r="K35" i="112"/>
  <c r="N35" i="112"/>
  <c r="O35" i="112"/>
  <c r="F36" i="112"/>
  <c r="L36" i="112"/>
  <c r="M36" i="112"/>
  <c r="N36" i="112"/>
  <c r="O36" i="112"/>
  <c r="L39" i="112"/>
  <c r="F17" i="111"/>
  <c r="J17" i="111"/>
  <c r="K17" i="111"/>
  <c r="H17" i="111"/>
  <c r="I17" i="111"/>
  <c r="N17" i="111"/>
  <c r="O17" i="111"/>
  <c r="P17" i="111"/>
  <c r="Q17" i="111"/>
  <c r="F20" i="111"/>
  <c r="G20" i="111"/>
  <c r="L20" i="111"/>
  <c r="M20" i="111"/>
  <c r="N20" i="111"/>
  <c r="O20" i="111"/>
  <c r="F21" i="111"/>
  <c r="L21" i="111"/>
  <c r="M21" i="111"/>
  <c r="H21" i="111"/>
  <c r="I21" i="111"/>
  <c r="J21" i="111"/>
  <c r="K21" i="111"/>
  <c r="N21" i="111"/>
  <c r="O21" i="111"/>
  <c r="P21" i="111"/>
  <c r="Q21" i="111"/>
  <c r="F22" i="111"/>
  <c r="G22" i="111"/>
  <c r="L22" i="111"/>
  <c r="M22" i="111"/>
  <c r="N22" i="111"/>
  <c r="O22" i="111"/>
  <c r="F23" i="111"/>
  <c r="L23" i="111"/>
  <c r="M23" i="111"/>
  <c r="H23" i="111"/>
  <c r="I23" i="111"/>
  <c r="J23" i="111"/>
  <c r="K23" i="111"/>
  <c r="N23" i="111"/>
  <c r="O23" i="111"/>
  <c r="P23" i="111"/>
  <c r="Q23" i="111"/>
  <c r="F24" i="111"/>
  <c r="G24" i="111"/>
  <c r="J24" i="111"/>
  <c r="K24" i="111"/>
  <c r="L24" i="111"/>
  <c r="M24" i="111"/>
  <c r="N24" i="111"/>
  <c r="O24" i="111"/>
  <c r="F25" i="111"/>
  <c r="J25" i="111"/>
  <c r="K25" i="111"/>
  <c r="H25" i="111"/>
  <c r="I25" i="111"/>
  <c r="N25" i="111"/>
  <c r="O25" i="111"/>
  <c r="P25" i="111"/>
  <c r="Q25" i="111"/>
  <c r="F26" i="111"/>
  <c r="G26" i="111"/>
  <c r="J26" i="111"/>
  <c r="K26" i="111"/>
  <c r="L26" i="111"/>
  <c r="M26" i="111"/>
  <c r="N26" i="111"/>
  <c r="O26" i="111"/>
  <c r="F27" i="111"/>
  <c r="J27" i="111"/>
  <c r="K27" i="111"/>
  <c r="H27" i="111"/>
  <c r="I27" i="111"/>
  <c r="N27" i="111"/>
  <c r="O27" i="111"/>
  <c r="P27" i="111"/>
  <c r="Q27" i="111"/>
  <c r="F28" i="111"/>
  <c r="G28" i="111"/>
  <c r="J28" i="111"/>
  <c r="K28" i="111"/>
  <c r="L28" i="111"/>
  <c r="M28" i="111"/>
  <c r="N28" i="111"/>
  <c r="O28" i="111"/>
  <c r="F29" i="111"/>
  <c r="J29" i="111"/>
  <c r="K29" i="111"/>
  <c r="H29" i="111"/>
  <c r="I29" i="111"/>
  <c r="N29" i="111"/>
  <c r="O29" i="111"/>
  <c r="P29" i="111"/>
  <c r="Q29" i="111"/>
  <c r="F30" i="111"/>
  <c r="G30" i="111"/>
  <c r="J30" i="111"/>
  <c r="K30" i="111"/>
  <c r="L30" i="111"/>
  <c r="M30" i="111"/>
  <c r="N30" i="111"/>
  <c r="O30" i="111"/>
  <c r="F31" i="111"/>
  <c r="J31" i="111"/>
  <c r="K31" i="111"/>
  <c r="H31" i="111"/>
  <c r="I31" i="111"/>
  <c r="N31" i="111"/>
  <c r="O31" i="111"/>
  <c r="P31" i="111"/>
  <c r="Q31" i="111"/>
  <c r="F32" i="111"/>
  <c r="G32" i="111"/>
  <c r="J32" i="111"/>
  <c r="K32" i="111"/>
  <c r="L32" i="111"/>
  <c r="M32" i="111"/>
  <c r="N32" i="111"/>
  <c r="O32" i="111"/>
  <c r="L39" i="111"/>
  <c r="F18" i="96"/>
  <c r="J18" i="96"/>
  <c r="K18" i="96"/>
  <c r="H18" i="96"/>
  <c r="I18" i="96"/>
  <c r="P18" i="96"/>
  <c r="Q18" i="96"/>
  <c r="F20" i="96"/>
  <c r="G20" i="96"/>
  <c r="H20" i="96"/>
  <c r="I20" i="96"/>
  <c r="N20" i="96"/>
  <c r="O20" i="96"/>
  <c r="P20" i="96"/>
  <c r="Q20" i="96"/>
  <c r="F21" i="96"/>
  <c r="H21" i="96"/>
  <c r="I21" i="96"/>
  <c r="G21" i="96"/>
  <c r="J21" i="96"/>
  <c r="K21" i="96"/>
  <c r="L21" i="96"/>
  <c r="M21" i="96"/>
  <c r="N21" i="96"/>
  <c r="O21" i="96"/>
  <c r="P21" i="96"/>
  <c r="Q21" i="96"/>
  <c r="F22" i="96"/>
  <c r="G22" i="96"/>
  <c r="H22" i="96"/>
  <c r="I22" i="96"/>
  <c r="L22" i="96"/>
  <c r="M22" i="96"/>
  <c r="N22" i="96"/>
  <c r="O22" i="96"/>
  <c r="P22" i="96"/>
  <c r="Q22" i="96"/>
  <c r="F23" i="96"/>
  <c r="G23" i="96"/>
  <c r="H23" i="96"/>
  <c r="I23" i="96"/>
  <c r="J23" i="96"/>
  <c r="K23" i="96"/>
  <c r="L23" i="96"/>
  <c r="M23" i="96"/>
  <c r="N23" i="96"/>
  <c r="O23" i="96"/>
  <c r="P23" i="96"/>
  <c r="Q23" i="96"/>
  <c r="F24" i="96"/>
  <c r="G24" i="96"/>
  <c r="H24" i="96"/>
  <c r="I24" i="96"/>
  <c r="N24" i="96"/>
  <c r="O24" i="96"/>
  <c r="P24" i="96"/>
  <c r="Q24" i="96"/>
  <c r="F25" i="96"/>
  <c r="G25" i="96"/>
  <c r="H25" i="96"/>
  <c r="I25" i="96"/>
  <c r="J25" i="96"/>
  <c r="K25" i="96"/>
  <c r="L25" i="96"/>
  <c r="M25" i="96"/>
  <c r="N25" i="96"/>
  <c r="O25" i="96"/>
  <c r="P25" i="96"/>
  <c r="Q25" i="96"/>
  <c r="L39" i="96"/>
  <c r="F17" i="109"/>
  <c r="G17" i="109"/>
  <c r="F20" i="109"/>
  <c r="G20" i="109"/>
  <c r="F21" i="109"/>
  <c r="G21" i="109"/>
  <c r="F22" i="109"/>
  <c r="J22" i="109"/>
  <c r="K22" i="109"/>
  <c r="F24" i="109"/>
  <c r="G24" i="109"/>
  <c r="L24" i="109"/>
  <c r="M24" i="109"/>
  <c r="N24" i="109"/>
  <c r="O24" i="109"/>
  <c r="F25" i="109"/>
  <c r="P25" i="109"/>
  <c r="Q25" i="109"/>
  <c r="L25" i="109"/>
  <c r="M25" i="109"/>
  <c r="F26" i="109"/>
  <c r="G26" i="109"/>
  <c r="F27" i="109"/>
  <c r="L27" i="109"/>
  <c r="M27" i="109"/>
  <c r="H27" i="109"/>
  <c r="I27" i="109"/>
  <c r="F28" i="109"/>
  <c r="G28" i="109"/>
  <c r="F29" i="109"/>
  <c r="L29" i="109"/>
  <c r="M29" i="109"/>
  <c r="H29" i="109"/>
  <c r="I29" i="109"/>
  <c r="F30" i="109"/>
  <c r="H30" i="109"/>
  <c r="I30" i="109"/>
  <c r="F31" i="109"/>
  <c r="G31" i="109"/>
  <c r="F32" i="109"/>
  <c r="L32" i="109"/>
  <c r="M32" i="109"/>
  <c r="G32" i="109"/>
  <c r="H32" i="109"/>
  <c r="I32" i="109"/>
  <c r="J32" i="109"/>
  <c r="K32" i="109"/>
  <c r="P32" i="109"/>
  <c r="Q32" i="109"/>
  <c r="L39" i="109"/>
  <c r="F19" i="95"/>
  <c r="G19" i="95"/>
  <c r="F21" i="95"/>
  <c r="G21" i="95"/>
  <c r="N21" i="95"/>
  <c r="O21" i="95"/>
  <c r="F22" i="95"/>
  <c r="L22" i="95"/>
  <c r="M22" i="95"/>
  <c r="G22" i="95"/>
  <c r="J22" i="95"/>
  <c r="K22" i="95"/>
  <c r="N22" i="95"/>
  <c r="O22" i="95"/>
  <c r="F23" i="95"/>
  <c r="G23" i="95"/>
  <c r="N23" i="95"/>
  <c r="O23" i="95"/>
  <c r="F24" i="95"/>
  <c r="L24" i="95"/>
  <c r="M24" i="95"/>
  <c r="G24" i="95"/>
  <c r="J24" i="95"/>
  <c r="K24" i="95"/>
  <c r="N24" i="95"/>
  <c r="O24" i="95"/>
  <c r="F25" i="95"/>
  <c r="G25" i="95"/>
  <c r="N25" i="95"/>
  <c r="O25" i="95"/>
  <c r="F26" i="95"/>
  <c r="L26" i="95"/>
  <c r="M26" i="95"/>
  <c r="G26" i="95"/>
  <c r="J26" i="95"/>
  <c r="K26" i="95"/>
  <c r="N26" i="95"/>
  <c r="O26" i="95"/>
  <c r="L39" i="95"/>
  <c r="F24" i="107"/>
  <c r="G24" i="107"/>
  <c r="N24" i="107"/>
  <c r="O24" i="107"/>
  <c r="P24" i="107"/>
  <c r="Q24" i="107"/>
  <c r="F27" i="107"/>
  <c r="G27" i="107"/>
  <c r="J27" i="107"/>
  <c r="K27" i="107"/>
  <c r="L27" i="107"/>
  <c r="M27" i="107"/>
  <c r="N27" i="107"/>
  <c r="O27" i="107"/>
  <c r="F28" i="107"/>
  <c r="G28" i="107"/>
  <c r="N28" i="107"/>
  <c r="O28" i="107"/>
  <c r="F29" i="107"/>
  <c r="G29" i="107"/>
  <c r="J29" i="107"/>
  <c r="K29" i="107"/>
  <c r="L29" i="107"/>
  <c r="M29" i="107"/>
  <c r="N29" i="107"/>
  <c r="O29" i="107"/>
  <c r="F30" i="107"/>
  <c r="G30" i="107"/>
  <c r="F31" i="107"/>
  <c r="G31" i="107"/>
  <c r="H31" i="107"/>
  <c r="I31" i="107"/>
  <c r="J31" i="107"/>
  <c r="K31" i="107"/>
  <c r="L31" i="107"/>
  <c r="M31" i="107"/>
  <c r="N31" i="107"/>
  <c r="O31" i="107"/>
  <c r="P31" i="107"/>
  <c r="Q31" i="107"/>
  <c r="F32" i="107"/>
  <c r="G32" i="107"/>
  <c r="N32" i="107"/>
  <c r="O32" i="107"/>
  <c r="F33" i="107"/>
  <c r="G33" i="107"/>
  <c r="H33" i="107"/>
  <c r="I33" i="107"/>
  <c r="J33" i="107"/>
  <c r="K33" i="107"/>
  <c r="L33" i="107"/>
  <c r="M33" i="107"/>
  <c r="N33" i="107"/>
  <c r="O33" i="107"/>
  <c r="P33" i="107"/>
  <c r="Q33" i="107"/>
  <c r="F34" i="107"/>
  <c r="G34" i="107"/>
  <c r="N34" i="107"/>
  <c r="O34" i="107"/>
  <c r="F35" i="107"/>
  <c r="G35" i="107"/>
  <c r="H35" i="107"/>
  <c r="I35" i="107"/>
  <c r="J35" i="107"/>
  <c r="K35" i="107"/>
  <c r="L35" i="107"/>
  <c r="M35" i="107"/>
  <c r="N35" i="107"/>
  <c r="O35" i="107"/>
  <c r="P35" i="107"/>
  <c r="Q35" i="107"/>
  <c r="F36" i="107"/>
  <c r="G36" i="107"/>
  <c r="N36" i="107"/>
  <c r="O36" i="107"/>
  <c r="F37" i="107"/>
  <c r="G37" i="107"/>
  <c r="H37" i="107"/>
  <c r="I37" i="107"/>
  <c r="J37" i="107"/>
  <c r="K37" i="107"/>
  <c r="L37" i="107"/>
  <c r="M37" i="107"/>
  <c r="N37" i="107"/>
  <c r="O37" i="107"/>
  <c r="P37" i="107"/>
  <c r="Q37" i="107"/>
  <c r="L39" i="107"/>
  <c r="F19" i="29"/>
  <c r="H19" i="29"/>
  <c r="I19" i="29"/>
  <c r="G19" i="29"/>
  <c r="F21" i="29"/>
  <c r="L21" i="29"/>
  <c r="M21" i="29"/>
  <c r="G21" i="29"/>
  <c r="H21" i="29"/>
  <c r="I21" i="29"/>
  <c r="J21" i="29"/>
  <c r="K21" i="29"/>
  <c r="N21" i="29"/>
  <c r="O21" i="29"/>
  <c r="P21" i="29"/>
  <c r="Q21" i="29"/>
  <c r="F22" i="29"/>
  <c r="G22" i="29"/>
  <c r="L22" i="29"/>
  <c r="M22" i="29"/>
  <c r="N22" i="29"/>
  <c r="O22" i="29"/>
  <c r="F23" i="29"/>
  <c r="L23" i="29"/>
  <c r="M23" i="29"/>
  <c r="G23" i="29"/>
  <c r="H23" i="29"/>
  <c r="I23" i="29"/>
  <c r="J23" i="29"/>
  <c r="K23" i="29"/>
  <c r="N23" i="29"/>
  <c r="O23" i="29"/>
  <c r="P23" i="29"/>
  <c r="Q23" i="29"/>
  <c r="F24" i="29"/>
  <c r="G24" i="29"/>
  <c r="L24" i="29"/>
  <c r="M24" i="29"/>
  <c r="N24" i="29"/>
  <c r="O24" i="29"/>
  <c r="F25" i="29"/>
  <c r="L25" i="29"/>
  <c r="M25" i="29"/>
  <c r="G25" i="29"/>
  <c r="H25" i="29"/>
  <c r="I25" i="29"/>
  <c r="J25" i="29"/>
  <c r="K25" i="29"/>
  <c r="N25" i="29"/>
  <c r="O25" i="29"/>
  <c r="P25" i="29"/>
  <c r="Q25" i="29"/>
  <c r="F26" i="29"/>
  <c r="G26" i="29"/>
  <c r="L26" i="29"/>
  <c r="M26" i="29"/>
  <c r="N26" i="29"/>
  <c r="O26" i="29"/>
  <c r="F27" i="29"/>
  <c r="L27" i="29"/>
  <c r="M27" i="29"/>
  <c r="G27" i="29"/>
  <c r="H27" i="29"/>
  <c r="I27" i="29"/>
  <c r="J27" i="29"/>
  <c r="K27" i="29"/>
  <c r="N27" i="29"/>
  <c r="O27" i="29"/>
  <c r="P27" i="29"/>
  <c r="Q27" i="29"/>
  <c r="L39" i="29"/>
  <c r="J16" i="94"/>
  <c r="K16" i="94"/>
  <c r="J18" i="94"/>
  <c r="K18" i="94"/>
  <c r="J19" i="94"/>
  <c r="K19" i="94"/>
  <c r="J20" i="94"/>
  <c r="K20" i="94"/>
  <c r="J21" i="94"/>
  <c r="K21" i="94"/>
  <c r="J22" i="94"/>
  <c r="K22" i="94"/>
  <c r="J23" i="94"/>
  <c r="K23" i="94"/>
  <c r="K17" i="93"/>
  <c r="J19" i="93"/>
  <c r="K19" i="93"/>
  <c r="J20" i="93"/>
  <c r="K20" i="93"/>
  <c r="J21" i="93"/>
  <c r="K21" i="93"/>
  <c r="J22" i="93"/>
  <c r="K22" i="93"/>
  <c r="J23" i="93"/>
  <c r="K23" i="93"/>
  <c r="J24" i="93"/>
  <c r="K24" i="93"/>
  <c r="J25" i="93"/>
  <c r="K25" i="93"/>
  <c r="J26" i="93"/>
  <c r="K26" i="93"/>
  <c r="J27" i="93"/>
  <c r="K27" i="93"/>
  <c r="J28" i="93"/>
  <c r="K28" i="93"/>
  <c r="J29" i="93"/>
  <c r="K29" i="93"/>
  <c r="J30" i="93"/>
  <c r="K30" i="93"/>
  <c r="J31" i="93"/>
  <c r="K31" i="93"/>
  <c r="J32" i="93"/>
  <c r="K32" i="93"/>
  <c r="J33" i="93"/>
  <c r="K33" i="93"/>
  <c r="J34" i="93"/>
  <c r="K34" i="93"/>
  <c r="L39" i="93"/>
  <c r="J37" i="100"/>
  <c r="I51" i="100"/>
  <c r="J51" i="100"/>
  <c r="I41" i="100"/>
  <c r="J41" i="100"/>
  <c r="I43" i="100"/>
  <c r="J43" i="100"/>
  <c r="I46" i="100"/>
  <c r="J46" i="100"/>
  <c r="I50" i="100"/>
  <c r="J50" i="100"/>
  <c r="I39" i="100"/>
  <c r="J39" i="100"/>
  <c r="I40" i="100"/>
  <c r="J40" i="100"/>
  <c r="I47" i="100"/>
  <c r="J47" i="100"/>
  <c r="I48" i="100"/>
  <c r="J48" i="100"/>
  <c r="J42" i="100"/>
  <c r="I53" i="100"/>
  <c r="J53" i="100"/>
  <c r="I54" i="100"/>
  <c r="J54" i="100"/>
  <c r="J38" i="115"/>
  <c r="I40" i="115"/>
  <c r="J40" i="115"/>
  <c r="I41" i="115"/>
  <c r="J41" i="115"/>
  <c r="I42" i="115"/>
  <c r="J42" i="115"/>
  <c r="I43" i="115"/>
  <c r="I44" i="115"/>
  <c r="J44" i="115"/>
  <c r="I45" i="115"/>
  <c r="I46" i="115"/>
  <c r="I47" i="115"/>
  <c r="J47" i="115"/>
  <c r="I33" i="99"/>
  <c r="J33" i="99"/>
  <c r="J36" i="99"/>
  <c r="I35" i="99"/>
  <c r="J35" i="99"/>
  <c r="I38" i="114"/>
  <c r="J38" i="114"/>
  <c r="I40" i="114"/>
  <c r="J40" i="114"/>
  <c r="I41" i="114"/>
  <c r="J41" i="114"/>
  <c r="I42" i="114"/>
  <c r="J42" i="114"/>
  <c r="I43" i="114"/>
  <c r="I44" i="114"/>
  <c r="J44" i="114"/>
  <c r="I45" i="114"/>
  <c r="J45" i="114"/>
  <c r="I38" i="98"/>
  <c r="J38" i="98"/>
  <c r="J39" i="98"/>
  <c r="I38" i="113"/>
  <c r="I40" i="113"/>
  <c r="J40" i="113"/>
  <c r="J57" i="113"/>
  <c r="I41" i="113"/>
  <c r="J41" i="113"/>
  <c r="I42" i="113"/>
  <c r="I43" i="113"/>
  <c r="J43" i="113"/>
  <c r="I44" i="113"/>
  <c r="J44" i="113"/>
  <c r="I45" i="113"/>
  <c r="I46" i="113"/>
  <c r="J46" i="113"/>
  <c r="I47" i="113"/>
  <c r="I48" i="113"/>
  <c r="J48" i="113"/>
  <c r="I49" i="113"/>
  <c r="J49" i="113"/>
  <c r="I50" i="113"/>
  <c r="J50" i="113"/>
  <c r="I51" i="113"/>
  <c r="I52" i="113"/>
  <c r="I53" i="113"/>
  <c r="J53" i="113"/>
  <c r="I54" i="113"/>
  <c r="J54" i="113"/>
  <c r="I55" i="113"/>
  <c r="I56" i="113"/>
  <c r="J56" i="113"/>
  <c r="J33" i="103"/>
  <c r="K33" i="103"/>
  <c r="K34" i="103"/>
  <c r="J34" i="86"/>
  <c r="K34" i="86"/>
  <c r="J36" i="86"/>
  <c r="K36" i="86"/>
  <c r="J37" i="86"/>
  <c r="K37" i="86"/>
  <c r="J38" i="86"/>
  <c r="K38" i="86"/>
  <c r="J39" i="86"/>
  <c r="K39" i="86"/>
  <c r="J40" i="86"/>
  <c r="K40" i="86"/>
  <c r="J41" i="86"/>
  <c r="K41" i="86"/>
  <c r="J42" i="86"/>
  <c r="K42" i="86"/>
  <c r="J43" i="86"/>
  <c r="K43" i="86"/>
  <c r="J44" i="86"/>
  <c r="K44" i="86"/>
  <c r="J45" i="86"/>
  <c r="K45" i="86"/>
  <c r="J46" i="86"/>
  <c r="K46" i="86"/>
  <c r="J47" i="86"/>
  <c r="K47" i="86"/>
  <c r="J48" i="86"/>
  <c r="K48" i="86"/>
  <c r="J49" i="86"/>
  <c r="K49" i="86"/>
  <c r="J50" i="86"/>
  <c r="K50" i="86"/>
  <c r="J51" i="86"/>
  <c r="K51" i="86"/>
  <c r="J52" i="86"/>
  <c r="K52" i="86"/>
  <c r="J53" i="86"/>
  <c r="K53" i="86"/>
  <c r="J54" i="86"/>
  <c r="K54" i="86"/>
  <c r="J55" i="86"/>
  <c r="K55" i="86"/>
  <c r="J56" i="86"/>
  <c r="K56" i="86"/>
  <c r="J57" i="86"/>
  <c r="K57" i="86"/>
  <c r="J58" i="86"/>
  <c r="K58" i="86"/>
  <c r="J59" i="86"/>
  <c r="K59" i="86"/>
  <c r="J60" i="86"/>
  <c r="K60" i="86"/>
  <c r="J61" i="86"/>
  <c r="K61" i="86"/>
  <c r="J62" i="86"/>
  <c r="K62" i="86"/>
  <c r="J63" i="86"/>
  <c r="K63" i="86"/>
  <c r="J64" i="86"/>
  <c r="K64" i="86"/>
  <c r="K35" i="20"/>
  <c r="J38" i="20"/>
  <c r="K38" i="20" s="1"/>
  <c r="J39" i="20"/>
  <c r="K39" i="20" s="1"/>
  <c r="J47" i="20"/>
  <c r="K47" i="20" s="1"/>
  <c r="J53" i="20"/>
  <c r="K53" i="20" s="1"/>
  <c r="J54" i="20"/>
  <c r="K54" i="20" s="1"/>
  <c r="J55" i="20"/>
  <c r="J56" i="20"/>
  <c r="K56" i="20" s="1"/>
  <c r="J36" i="102"/>
  <c r="K36" i="102"/>
  <c r="K37" i="102"/>
  <c r="J38" i="85"/>
  <c r="K38" i="85"/>
  <c r="J40" i="85"/>
  <c r="K40" i="85"/>
  <c r="J41" i="85"/>
  <c r="K41" i="85"/>
  <c r="J42" i="85"/>
  <c r="K42" i="85"/>
  <c r="J43" i="85"/>
  <c r="K43" i="85"/>
  <c r="J44" i="85"/>
  <c r="K44" i="85"/>
  <c r="J45" i="85"/>
  <c r="K45" i="85"/>
  <c r="J46" i="85"/>
  <c r="K46" i="85"/>
  <c r="J47" i="85"/>
  <c r="K47" i="85"/>
  <c r="J48" i="85"/>
  <c r="K48" i="85"/>
  <c r="J49" i="85"/>
  <c r="K49" i="85"/>
  <c r="J50" i="85"/>
  <c r="K50" i="85"/>
  <c r="J51" i="85"/>
  <c r="K51" i="85"/>
  <c r="J52" i="85"/>
  <c r="K52" i="85"/>
  <c r="J53" i="85"/>
  <c r="K53" i="85"/>
  <c r="J54" i="85"/>
  <c r="K54" i="85"/>
  <c r="J55" i="85"/>
  <c r="K55" i="85"/>
  <c r="J56" i="85"/>
  <c r="K56" i="85"/>
  <c r="J33" i="101"/>
  <c r="K33" i="101"/>
  <c r="K34" i="101"/>
  <c r="J38" i="84"/>
  <c r="K38" i="84"/>
  <c r="J40" i="84"/>
  <c r="K40" i="84"/>
  <c r="J41" i="84"/>
  <c r="K41" i="84"/>
  <c r="J42" i="84"/>
  <c r="K42" i="84"/>
  <c r="J43" i="84"/>
  <c r="K43" i="84"/>
  <c r="J44" i="84"/>
  <c r="K44" i="84"/>
  <c r="J45" i="84"/>
  <c r="K45" i="84"/>
  <c r="J46" i="84"/>
  <c r="K46" i="84"/>
  <c r="J47" i="84"/>
  <c r="K47" i="84"/>
  <c r="J48" i="84"/>
  <c r="K48" i="84"/>
  <c r="J49" i="84"/>
  <c r="K49" i="84"/>
  <c r="J50" i="84"/>
  <c r="K50" i="84"/>
  <c r="J51" i="84"/>
  <c r="K51" i="84"/>
  <c r="J52" i="84"/>
  <c r="K52" i="84"/>
  <c r="K34" i="18"/>
  <c r="K40" i="18" s="1"/>
  <c r="J36" i="18"/>
  <c r="K36" i="18"/>
  <c r="J37" i="18"/>
  <c r="K37" i="18"/>
  <c r="J38" i="18"/>
  <c r="K38" i="18"/>
  <c r="J39" i="18"/>
  <c r="K39" i="18"/>
  <c r="G39" i="136"/>
  <c r="J39" i="136"/>
  <c r="K39" i="136"/>
  <c r="L39" i="136"/>
  <c r="M39" i="136"/>
  <c r="G42" i="136"/>
  <c r="J45" i="136"/>
  <c r="K45" i="136" s="1"/>
  <c r="F48" i="136"/>
  <c r="L48" i="136"/>
  <c r="M48" i="136"/>
  <c r="F49" i="136"/>
  <c r="H49" i="136"/>
  <c r="I49" i="136"/>
  <c r="F50" i="136"/>
  <c r="G50" i="136"/>
  <c r="F51" i="136"/>
  <c r="G51" i="136"/>
  <c r="F52" i="136"/>
  <c r="L52" i="136"/>
  <c r="M52" i="136"/>
  <c r="F53" i="136"/>
  <c r="H53" i="136"/>
  <c r="I53" i="136"/>
  <c r="F54" i="136"/>
  <c r="G54" i="136"/>
  <c r="L54" i="136"/>
  <c r="M54" i="136"/>
  <c r="F55" i="136"/>
  <c r="G55" i="136"/>
  <c r="F56" i="136"/>
  <c r="L56" i="136"/>
  <c r="M56" i="136"/>
  <c r="F57" i="136"/>
  <c r="H57" i="136"/>
  <c r="I57" i="136"/>
  <c r="F58" i="136"/>
  <c r="G58" i="136"/>
  <c r="F59" i="136"/>
  <c r="G59" i="136"/>
  <c r="H59" i="136"/>
  <c r="I59" i="136"/>
  <c r="N59" i="136"/>
  <c r="O59" i="136"/>
  <c r="F60" i="136"/>
  <c r="L60" i="136"/>
  <c r="M60" i="136"/>
  <c r="F61" i="136"/>
  <c r="H61" i="136"/>
  <c r="I61" i="136"/>
  <c r="L61" i="136"/>
  <c r="M61" i="136"/>
  <c r="F62" i="136"/>
  <c r="G62" i="136"/>
  <c r="F63" i="136"/>
  <c r="G63" i="136"/>
  <c r="N63" i="136"/>
  <c r="O63" i="136"/>
  <c r="F64" i="136"/>
  <c r="L64" i="136"/>
  <c r="M64" i="136"/>
  <c r="F65" i="136"/>
  <c r="H65" i="136"/>
  <c r="I65" i="136"/>
  <c r="L65" i="136"/>
  <c r="M65" i="136"/>
  <c r="N65" i="136"/>
  <c r="O65" i="136"/>
  <c r="F66" i="136"/>
  <c r="G66" i="136"/>
  <c r="F67" i="136"/>
  <c r="G67" i="136"/>
  <c r="F68" i="136"/>
  <c r="L68" i="136"/>
  <c r="M68" i="136"/>
  <c r="F69" i="136"/>
  <c r="H69" i="136"/>
  <c r="I69" i="136"/>
  <c r="F70" i="136"/>
  <c r="G70" i="136"/>
  <c r="L70" i="136"/>
  <c r="M70" i="136"/>
  <c r="F71" i="136"/>
  <c r="G71" i="136"/>
  <c r="F72" i="136"/>
  <c r="L72" i="136"/>
  <c r="M72" i="136"/>
  <c r="F73" i="136"/>
  <c r="H73" i="136"/>
  <c r="I73" i="136"/>
  <c r="G73" i="136"/>
  <c r="L73" i="136"/>
  <c r="M73" i="136"/>
  <c r="F74" i="136"/>
  <c r="G74" i="136"/>
  <c r="L74" i="136"/>
  <c r="M74" i="136"/>
  <c r="F75" i="136"/>
  <c r="G75" i="136"/>
  <c r="F76" i="136"/>
  <c r="L76" i="136"/>
  <c r="M76" i="136"/>
  <c r="F77" i="136"/>
  <c r="H77" i="136"/>
  <c r="I77" i="136"/>
  <c r="F78" i="136"/>
  <c r="H78" i="136"/>
  <c r="I78" i="136"/>
  <c r="L78" i="136"/>
  <c r="M78" i="136"/>
  <c r="N78" i="136"/>
  <c r="O78" i="136"/>
  <c r="F79" i="136"/>
  <c r="L79" i="136"/>
  <c r="M79" i="136"/>
  <c r="F80" i="136"/>
  <c r="J80" i="136"/>
  <c r="K80" i="136"/>
  <c r="G81" i="136"/>
  <c r="H81" i="136"/>
  <c r="I81" i="136"/>
  <c r="J81" i="136"/>
  <c r="K81" i="136"/>
  <c r="L81" i="136"/>
  <c r="M81" i="136"/>
  <c r="N81" i="136"/>
  <c r="O81" i="136"/>
  <c r="F82" i="136"/>
  <c r="G82" i="136"/>
  <c r="F83" i="136"/>
  <c r="L83" i="136"/>
  <c r="M83" i="136"/>
  <c r="F84" i="136"/>
  <c r="H84" i="136"/>
  <c r="I84" i="136"/>
  <c r="F85" i="136"/>
  <c r="G85" i="136"/>
  <c r="F86" i="136"/>
  <c r="G86" i="136"/>
  <c r="F87" i="136"/>
  <c r="L87" i="136"/>
  <c r="M87" i="136"/>
  <c r="F88" i="136"/>
  <c r="H88" i="136"/>
  <c r="I88" i="136"/>
  <c r="F89" i="136"/>
  <c r="G89" i="136"/>
  <c r="L89" i="136"/>
  <c r="M89" i="136"/>
  <c r="F90" i="136"/>
  <c r="G90" i="136"/>
  <c r="F91" i="136"/>
  <c r="L91" i="136"/>
  <c r="M91" i="136"/>
  <c r="F92" i="136"/>
  <c r="H92" i="136"/>
  <c r="I92" i="136"/>
  <c r="L92" i="136"/>
  <c r="M92" i="136"/>
  <c r="F93" i="136"/>
  <c r="G93" i="136"/>
  <c r="F94" i="136"/>
  <c r="G94" i="136"/>
  <c r="F95" i="136"/>
  <c r="L95" i="136"/>
  <c r="M95" i="136"/>
  <c r="F96" i="136"/>
  <c r="H96" i="136"/>
  <c r="I96" i="136"/>
  <c r="F37" i="46"/>
  <c r="J37" i="46" s="1"/>
  <c r="K37" i="46" s="1"/>
  <c r="L39" i="46"/>
  <c r="F40" i="46"/>
  <c r="H40" i="46" s="1"/>
  <c r="I40" i="46" s="1"/>
  <c r="G40" i="46"/>
  <c r="L40" i="46"/>
  <c r="M40" i="46"/>
  <c r="N40" i="46"/>
  <c r="O40" i="46"/>
  <c r="F43" i="46"/>
  <c r="H43" i="46" s="1"/>
  <c r="I43" i="46" s="1"/>
  <c r="G43" i="46"/>
  <c r="N43" i="46"/>
  <c r="O43" i="46"/>
  <c r="F46" i="46"/>
  <c r="J46" i="46"/>
  <c r="K46" i="46"/>
  <c r="H46" i="46"/>
  <c r="I46" i="46"/>
  <c r="N46" i="46"/>
  <c r="O46" i="46"/>
  <c r="F47" i="46"/>
  <c r="H47" i="46"/>
  <c r="I47" i="46"/>
  <c r="G47" i="46"/>
  <c r="N47" i="46"/>
  <c r="O47" i="46"/>
  <c r="F48" i="46"/>
  <c r="G48" i="46"/>
  <c r="J48" i="46"/>
  <c r="K48" i="46"/>
  <c r="L48" i="46"/>
  <c r="M48" i="46"/>
  <c r="N48" i="46"/>
  <c r="O48" i="46"/>
  <c r="F49" i="46"/>
  <c r="G49" i="46"/>
  <c r="H49" i="46"/>
  <c r="I49" i="46"/>
  <c r="J49" i="46"/>
  <c r="K49" i="46"/>
  <c r="L49" i="46"/>
  <c r="M49" i="46"/>
  <c r="N49" i="46"/>
  <c r="O49" i="46"/>
  <c r="F50" i="46"/>
  <c r="J50" i="46"/>
  <c r="K50" i="46"/>
  <c r="H50" i="46"/>
  <c r="I50" i="46"/>
  <c r="N50" i="46"/>
  <c r="O50" i="46"/>
  <c r="F51" i="46"/>
  <c r="H51" i="46"/>
  <c r="I51" i="46"/>
  <c r="G51" i="46"/>
  <c r="F52" i="46"/>
  <c r="G52" i="46"/>
  <c r="L52" i="46"/>
  <c r="M52" i="46"/>
  <c r="N52" i="46"/>
  <c r="O52" i="46"/>
  <c r="F53" i="46"/>
  <c r="G53" i="46"/>
  <c r="H53" i="46"/>
  <c r="I53" i="46"/>
  <c r="J53" i="46"/>
  <c r="K53" i="46"/>
  <c r="L53" i="46"/>
  <c r="M53" i="46"/>
  <c r="N53" i="46"/>
  <c r="O53" i="46"/>
  <c r="F54" i="46"/>
  <c r="L54" i="46"/>
  <c r="M54" i="46"/>
  <c r="H54" i="46"/>
  <c r="I54" i="46"/>
  <c r="J54" i="46"/>
  <c r="K54" i="46"/>
  <c r="N54" i="46"/>
  <c r="O54" i="46"/>
  <c r="F55" i="46"/>
  <c r="H55" i="46"/>
  <c r="I55" i="46"/>
  <c r="G55" i="46"/>
  <c r="F56" i="46"/>
  <c r="G56" i="46"/>
  <c r="L56" i="46"/>
  <c r="M56" i="46"/>
  <c r="N56" i="46"/>
  <c r="O56" i="46"/>
  <c r="F57" i="46"/>
  <c r="G57" i="46"/>
  <c r="H57" i="46"/>
  <c r="I57" i="46"/>
  <c r="J57" i="46"/>
  <c r="K57" i="46"/>
  <c r="L57" i="46"/>
  <c r="M57" i="46"/>
  <c r="N57" i="46"/>
  <c r="O57" i="46"/>
  <c r="F58" i="46"/>
  <c r="L58" i="46"/>
  <c r="M58" i="46"/>
  <c r="H58" i="46"/>
  <c r="I58" i="46"/>
  <c r="J58" i="46"/>
  <c r="K58" i="46"/>
  <c r="N58" i="46"/>
  <c r="O58" i="46"/>
  <c r="F59" i="46"/>
  <c r="H59" i="46"/>
  <c r="I59" i="46"/>
  <c r="G59" i="46"/>
  <c r="F60" i="46"/>
  <c r="G60" i="46"/>
  <c r="L60" i="46"/>
  <c r="M60" i="46"/>
  <c r="N60" i="46"/>
  <c r="O60" i="46"/>
  <c r="F61" i="46"/>
  <c r="G61" i="46"/>
  <c r="H61" i="46"/>
  <c r="I61" i="46"/>
  <c r="J61" i="46"/>
  <c r="K61" i="46"/>
  <c r="L61" i="46"/>
  <c r="M61" i="46"/>
  <c r="N61" i="46"/>
  <c r="O61" i="46"/>
  <c r="F62" i="46"/>
  <c r="L62" i="46"/>
  <c r="M62" i="46"/>
  <c r="H62" i="46"/>
  <c r="I62" i="46"/>
  <c r="J62" i="46"/>
  <c r="K62" i="46"/>
  <c r="N62" i="46"/>
  <c r="O62" i="46"/>
  <c r="F63" i="46"/>
  <c r="H63" i="46"/>
  <c r="I63" i="46"/>
  <c r="G63" i="46"/>
  <c r="F64" i="46"/>
  <c r="G64" i="46"/>
  <c r="L64" i="46"/>
  <c r="M64" i="46"/>
  <c r="N64" i="46"/>
  <c r="O64" i="46"/>
  <c r="F65" i="46"/>
  <c r="G65" i="46"/>
  <c r="H65" i="46"/>
  <c r="I65" i="46"/>
  <c r="J65" i="46"/>
  <c r="K65" i="46"/>
  <c r="L65" i="46"/>
  <c r="M65" i="46"/>
  <c r="N65" i="46"/>
  <c r="O65" i="46"/>
  <c r="F66" i="46"/>
  <c r="L66" i="46"/>
  <c r="M66" i="46"/>
  <c r="H66" i="46"/>
  <c r="I66" i="46"/>
  <c r="J66" i="46"/>
  <c r="K66" i="46"/>
  <c r="N66" i="46"/>
  <c r="O66" i="46"/>
  <c r="F67" i="46"/>
  <c r="H67" i="46"/>
  <c r="I67" i="46"/>
  <c r="G67" i="46"/>
  <c r="F68" i="46"/>
  <c r="G68" i="46"/>
  <c r="L68" i="46"/>
  <c r="M68" i="46"/>
  <c r="N68" i="46"/>
  <c r="O68" i="46"/>
  <c r="F69" i="46"/>
  <c r="G69" i="46"/>
  <c r="H69" i="46"/>
  <c r="I69" i="46"/>
  <c r="J69" i="46"/>
  <c r="K69" i="46"/>
  <c r="L69" i="46"/>
  <c r="M69" i="46"/>
  <c r="N69" i="46"/>
  <c r="O69" i="46"/>
  <c r="F70" i="46"/>
  <c r="L70" i="46"/>
  <c r="M70" i="46"/>
  <c r="H70" i="46"/>
  <c r="I70" i="46"/>
  <c r="J70" i="46"/>
  <c r="K70" i="46"/>
  <c r="N70" i="46"/>
  <c r="O70" i="46"/>
  <c r="F71" i="46"/>
  <c r="H71" i="46"/>
  <c r="I71" i="46"/>
  <c r="G71" i="46"/>
  <c r="N71" i="46"/>
  <c r="O71" i="46"/>
  <c r="F72" i="46"/>
  <c r="G72" i="46"/>
  <c r="L72" i="46"/>
  <c r="M72" i="46"/>
  <c r="N72" i="46"/>
  <c r="O72" i="46"/>
  <c r="F73" i="46"/>
  <c r="G73" i="46"/>
  <c r="H73" i="46"/>
  <c r="I73" i="46"/>
  <c r="J73" i="46"/>
  <c r="K73" i="46"/>
  <c r="L73" i="46"/>
  <c r="M73" i="46"/>
  <c r="N73" i="46"/>
  <c r="O73" i="46"/>
  <c r="F74" i="46"/>
  <c r="L74" i="46"/>
  <c r="M74" i="46"/>
  <c r="H74" i="46"/>
  <c r="I74" i="46"/>
  <c r="J74" i="46"/>
  <c r="K74" i="46"/>
  <c r="N74" i="46"/>
  <c r="O74" i="46"/>
  <c r="F75" i="46"/>
  <c r="H75" i="46"/>
  <c r="I75" i="46"/>
  <c r="G75" i="46"/>
  <c r="F76" i="46"/>
  <c r="G76" i="46"/>
  <c r="L76" i="46"/>
  <c r="M76" i="46"/>
  <c r="N76" i="46"/>
  <c r="O76" i="46"/>
  <c r="F77" i="46"/>
  <c r="G77" i="46"/>
  <c r="H77" i="46"/>
  <c r="I77" i="46"/>
  <c r="J77" i="46"/>
  <c r="K77" i="46"/>
  <c r="L77" i="46"/>
  <c r="M77" i="46"/>
  <c r="N77" i="46"/>
  <c r="O77" i="46"/>
  <c r="F78" i="46"/>
  <c r="L78" i="46"/>
  <c r="M78" i="46"/>
  <c r="H78" i="46"/>
  <c r="I78" i="46"/>
  <c r="J78" i="46"/>
  <c r="K78" i="46"/>
  <c r="N78" i="46"/>
  <c r="O78" i="46"/>
  <c r="F79" i="46"/>
  <c r="J79" i="46"/>
  <c r="K79" i="46"/>
  <c r="H79" i="46"/>
  <c r="I79" i="46"/>
  <c r="F80" i="46"/>
  <c r="J80" i="46"/>
  <c r="K80" i="46"/>
  <c r="G80" i="46"/>
  <c r="H80" i="46"/>
  <c r="I80" i="46"/>
  <c r="L80" i="46"/>
  <c r="M80" i="46"/>
  <c r="N80" i="46"/>
  <c r="O80" i="46"/>
  <c r="F81" i="46"/>
  <c r="G81" i="46"/>
  <c r="F82" i="46"/>
  <c r="J82" i="46"/>
  <c r="K82" i="46"/>
  <c r="G82" i="46"/>
  <c r="H82" i="46"/>
  <c r="I82" i="46"/>
  <c r="L82" i="46"/>
  <c r="M82" i="46"/>
  <c r="N82" i="46"/>
  <c r="O82" i="46"/>
  <c r="F83" i="46"/>
  <c r="L83" i="46"/>
  <c r="M83" i="46"/>
  <c r="J83" i="46"/>
  <c r="K83" i="46"/>
  <c r="N83" i="46"/>
  <c r="O83" i="46"/>
  <c r="F84" i="46"/>
  <c r="G84" i="46"/>
  <c r="H84" i="46"/>
  <c r="I84" i="46"/>
  <c r="J84" i="46"/>
  <c r="K84" i="46"/>
  <c r="L84" i="46"/>
  <c r="M84" i="46"/>
  <c r="N84" i="46"/>
  <c r="O84" i="46"/>
  <c r="F85" i="46"/>
  <c r="G85" i="46"/>
  <c r="F86" i="46"/>
  <c r="J86" i="46"/>
  <c r="K86" i="46"/>
  <c r="G86" i="46"/>
  <c r="H86" i="46"/>
  <c r="I86" i="46"/>
  <c r="L86" i="46"/>
  <c r="M86" i="46"/>
  <c r="N86" i="46"/>
  <c r="O86" i="46"/>
  <c r="F87" i="46"/>
  <c r="L87" i="46"/>
  <c r="M87" i="46"/>
  <c r="J87" i="46"/>
  <c r="K87" i="46"/>
  <c r="N87" i="46"/>
  <c r="O87" i="46"/>
  <c r="F88" i="46"/>
  <c r="G88" i="46"/>
  <c r="H88" i="46"/>
  <c r="I88" i="46"/>
  <c r="J88" i="46"/>
  <c r="K88" i="46"/>
  <c r="L88" i="46"/>
  <c r="M88" i="46"/>
  <c r="N88" i="46"/>
  <c r="O88" i="46"/>
  <c r="F89" i="46"/>
  <c r="G89" i="46"/>
  <c r="N89" i="46"/>
  <c r="O89" i="46"/>
  <c r="F90" i="46"/>
  <c r="J90" i="46"/>
  <c r="K90" i="46"/>
  <c r="G90" i="46"/>
  <c r="H90" i="46"/>
  <c r="I90" i="46"/>
  <c r="L90" i="46"/>
  <c r="M90" i="46"/>
  <c r="N90" i="46"/>
  <c r="O90" i="46"/>
  <c r="F91" i="46"/>
  <c r="L91" i="46"/>
  <c r="M91" i="46"/>
  <c r="J91" i="46"/>
  <c r="K91" i="46"/>
  <c r="N91" i="46"/>
  <c r="O91" i="46"/>
  <c r="F92" i="46"/>
  <c r="G92" i="46"/>
  <c r="H92" i="46"/>
  <c r="I92" i="46"/>
  <c r="J92" i="46"/>
  <c r="K92" i="46"/>
  <c r="L92" i="46"/>
  <c r="M92" i="46"/>
  <c r="N92" i="46"/>
  <c r="O92" i="46"/>
  <c r="F93" i="46"/>
  <c r="G93" i="46"/>
  <c r="F94" i="46"/>
  <c r="J94" i="46"/>
  <c r="K94" i="46"/>
  <c r="G94" i="46"/>
  <c r="H94" i="46"/>
  <c r="I94" i="46"/>
  <c r="L94" i="46"/>
  <c r="M94" i="46"/>
  <c r="N94" i="46"/>
  <c r="O94" i="46"/>
  <c r="F95" i="46"/>
  <c r="L95" i="46"/>
  <c r="M95" i="46"/>
  <c r="J95" i="46"/>
  <c r="K95" i="46"/>
  <c r="N95" i="46"/>
  <c r="O95" i="46"/>
  <c r="F96" i="46"/>
  <c r="G96" i="46"/>
  <c r="H96" i="46"/>
  <c r="I96" i="46"/>
  <c r="J96" i="46"/>
  <c r="K96" i="46"/>
  <c r="L96" i="46"/>
  <c r="M96" i="46"/>
  <c r="N96" i="46"/>
  <c r="O96" i="46"/>
  <c r="F97" i="46"/>
  <c r="G97" i="46"/>
  <c r="F98" i="46"/>
  <c r="J98" i="46"/>
  <c r="K98" i="46"/>
  <c r="G98" i="46"/>
  <c r="H98" i="46"/>
  <c r="I98" i="46"/>
  <c r="L98" i="46"/>
  <c r="M98" i="46"/>
  <c r="N98" i="46"/>
  <c r="O98" i="46"/>
  <c r="F99" i="46"/>
  <c r="L99" i="46"/>
  <c r="M99" i="46"/>
  <c r="J99" i="46"/>
  <c r="K99" i="46"/>
  <c r="N99" i="46"/>
  <c r="O99" i="46"/>
  <c r="F100" i="46"/>
  <c r="G100" i="46"/>
  <c r="H100" i="46"/>
  <c r="I100" i="46"/>
  <c r="J100" i="46"/>
  <c r="K100" i="46"/>
  <c r="L100" i="46"/>
  <c r="M100" i="46"/>
  <c r="N100" i="46"/>
  <c r="O100" i="46"/>
  <c r="G101" i="46" a="1"/>
  <c r="I101" i="46" a="1"/>
  <c r="K101" i="46" a="1"/>
  <c r="M101" i="46" a="1"/>
  <c r="O101" i="46" a="1"/>
  <c r="F38" i="141"/>
  <c r="G38" i="141"/>
  <c r="H38" i="141"/>
  <c r="I38" i="141"/>
  <c r="J38" i="141"/>
  <c r="K38" i="141"/>
  <c r="L38" i="141"/>
  <c r="M38" i="141"/>
  <c r="N38" i="141"/>
  <c r="O38" i="141"/>
  <c r="F42" i="141"/>
  <c r="G42" i="141"/>
  <c r="H42" i="141"/>
  <c r="I42" i="141"/>
  <c r="J42" i="141"/>
  <c r="K42" i="141"/>
  <c r="L42" i="141"/>
  <c r="M42" i="141"/>
  <c r="N42" i="141"/>
  <c r="O42" i="141"/>
  <c r="F46" i="141"/>
  <c r="G46" i="141"/>
  <c r="H46" i="141"/>
  <c r="I46" i="141"/>
  <c r="J46" i="141"/>
  <c r="K46" i="141"/>
  <c r="L46" i="141"/>
  <c r="M46" i="141"/>
  <c r="N46" i="141"/>
  <c r="O46" i="141"/>
  <c r="F50" i="141"/>
  <c r="G50" i="141"/>
  <c r="H50" i="141"/>
  <c r="I50" i="141"/>
  <c r="J50" i="141"/>
  <c r="K50" i="141"/>
  <c r="L50" i="141"/>
  <c r="M50" i="141"/>
  <c r="N50" i="141"/>
  <c r="O50" i="141"/>
  <c r="F51" i="141"/>
  <c r="G51" i="141"/>
  <c r="H51" i="141"/>
  <c r="I51" i="141"/>
  <c r="J51" i="141"/>
  <c r="K51" i="141"/>
  <c r="L51" i="141"/>
  <c r="M51" i="141"/>
  <c r="N51" i="141"/>
  <c r="O51" i="141"/>
  <c r="F52" i="141"/>
  <c r="G52" i="141"/>
  <c r="H52" i="141"/>
  <c r="I52" i="141"/>
  <c r="J52" i="141"/>
  <c r="K52" i="141"/>
  <c r="L52" i="141"/>
  <c r="M52" i="141"/>
  <c r="N52" i="141"/>
  <c r="O52" i="141"/>
  <c r="F53" i="141"/>
  <c r="G53" i="141"/>
  <c r="H53" i="141"/>
  <c r="I53" i="141"/>
  <c r="J53" i="141"/>
  <c r="K53" i="141"/>
  <c r="L53" i="141"/>
  <c r="M53" i="141"/>
  <c r="N53" i="141"/>
  <c r="O53" i="141"/>
  <c r="F54" i="141"/>
  <c r="G54" i="141"/>
  <c r="H54" i="141"/>
  <c r="I54" i="141"/>
  <c r="J54" i="141"/>
  <c r="K54" i="141"/>
  <c r="L54" i="141"/>
  <c r="M54" i="141"/>
  <c r="N54" i="141"/>
  <c r="O54" i="141"/>
  <c r="F55" i="141"/>
  <c r="G55" i="141"/>
  <c r="H55" i="141"/>
  <c r="I55" i="141"/>
  <c r="J55" i="141"/>
  <c r="K55" i="141"/>
  <c r="L55" i="141"/>
  <c r="M55" i="141"/>
  <c r="N55" i="141"/>
  <c r="O55" i="141"/>
  <c r="F56" i="141"/>
  <c r="G56" i="141"/>
  <c r="H56" i="141"/>
  <c r="I56" i="141"/>
  <c r="J56" i="141"/>
  <c r="K56" i="141"/>
  <c r="L56" i="141"/>
  <c r="M56" i="141"/>
  <c r="N56" i="141"/>
  <c r="O56" i="141"/>
  <c r="F57" i="141"/>
  <c r="G57" i="141"/>
  <c r="H57" i="141"/>
  <c r="I57" i="141"/>
  <c r="J57" i="141"/>
  <c r="K57" i="141"/>
  <c r="L57" i="141"/>
  <c r="M57" i="141"/>
  <c r="N57" i="141"/>
  <c r="O57" i="141"/>
  <c r="F58" i="141"/>
  <c r="G58" i="141"/>
  <c r="H58" i="141"/>
  <c r="I58" i="141"/>
  <c r="J58" i="141"/>
  <c r="K58" i="141"/>
  <c r="L58" i="141"/>
  <c r="M58" i="141"/>
  <c r="N58" i="141"/>
  <c r="O58" i="141"/>
  <c r="F59" i="141"/>
  <c r="G59" i="141"/>
  <c r="H59" i="141"/>
  <c r="I59" i="141"/>
  <c r="J59" i="141"/>
  <c r="K59" i="141"/>
  <c r="L59" i="141"/>
  <c r="M59" i="141"/>
  <c r="N59" i="141"/>
  <c r="O59" i="141"/>
  <c r="F60" i="141"/>
  <c r="G60" i="141"/>
  <c r="H60" i="141"/>
  <c r="I60" i="141"/>
  <c r="J60" i="141"/>
  <c r="K60" i="141"/>
  <c r="L60" i="141"/>
  <c r="M60" i="141"/>
  <c r="N60" i="141"/>
  <c r="O60" i="141"/>
  <c r="F61" i="141"/>
  <c r="G61" i="141"/>
  <c r="H61" i="141"/>
  <c r="I61" i="141"/>
  <c r="J61" i="141"/>
  <c r="K61" i="141"/>
  <c r="L61" i="141"/>
  <c r="M61" i="141"/>
  <c r="N61" i="141"/>
  <c r="O61" i="141"/>
  <c r="F62" i="141"/>
  <c r="G62" i="141"/>
  <c r="H62" i="141"/>
  <c r="I62" i="141"/>
  <c r="J62" i="141"/>
  <c r="K62" i="141"/>
  <c r="L62" i="141"/>
  <c r="M62" i="141"/>
  <c r="N62" i="141"/>
  <c r="O62" i="141"/>
  <c r="F63" i="141"/>
  <c r="G63" i="141"/>
  <c r="H63" i="141"/>
  <c r="I63" i="141"/>
  <c r="J63" i="141"/>
  <c r="K63" i="141"/>
  <c r="L63" i="141"/>
  <c r="M63" i="141"/>
  <c r="N63" i="141"/>
  <c r="O63" i="141"/>
  <c r="F64" i="141"/>
  <c r="G64" i="141"/>
  <c r="H64" i="141"/>
  <c r="I64" i="141"/>
  <c r="J64" i="141"/>
  <c r="K64" i="141"/>
  <c r="L64" i="141"/>
  <c r="M64" i="141"/>
  <c r="N64" i="141"/>
  <c r="O64" i="141"/>
  <c r="F65" i="141"/>
  <c r="G65" i="141"/>
  <c r="H65" i="141"/>
  <c r="I65" i="141"/>
  <c r="J65" i="141"/>
  <c r="K65" i="141"/>
  <c r="L65" i="141"/>
  <c r="M65" i="141"/>
  <c r="N65" i="141"/>
  <c r="O65" i="141"/>
  <c r="F66" i="141"/>
  <c r="G66" i="141"/>
  <c r="H66" i="141"/>
  <c r="I66" i="141"/>
  <c r="J66" i="141"/>
  <c r="K66" i="141"/>
  <c r="L66" i="141"/>
  <c r="M66" i="141"/>
  <c r="N66" i="141"/>
  <c r="O66" i="141"/>
  <c r="F67" i="141"/>
  <c r="G67" i="141"/>
  <c r="H67" i="141"/>
  <c r="I67" i="141"/>
  <c r="J67" i="141"/>
  <c r="K67" i="141"/>
  <c r="L67" i="141"/>
  <c r="M67" i="141"/>
  <c r="N67" i="141"/>
  <c r="O67" i="141"/>
  <c r="F68" i="141"/>
  <c r="G68" i="141"/>
  <c r="H68" i="141"/>
  <c r="I68" i="141"/>
  <c r="J68" i="141"/>
  <c r="K68" i="141"/>
  <c r="L68" i="141"/>
  <c r="M68" i="141"/>
  <c r="N68" i="141"/>
  <c r="O68" i="141"/>
  <c r="F69" i="141"/>
  <c r="G69" i="141"/>
  <c r="H69" i="141"/>
  <c r="I69" i="141"/>
  <c r="J69" i="141"/>
  <c r="K69" i="141"/>
  <c r="L69" i="141"/>
  <c r="M69" i="141"/>
  <c r="N69" i="141"/>
  <c r="O69" i="141"/>
  <c r="F70" i="141"/>
  <c r="G70" i="141"/>
  <c r="H70" i="141"/>
  <c r="I70" i="141"/>
  <c r="J70" i="141"/>
  <c r="K70" i="141"/>
  <c r="L70" i="141"/>
  <c r="M70" i="141"/>
  <c r="N70" i="141"/>
  <c r="O70" i="141"/>
  <c r="F71" i="141"/>
  <c r="G71" i="141"/>
  <c r="H71" i="141"/>
  <c r="I71" i="141"/>
  <c r="J71" i="141"/>
  <c r="K71" i="141"/>
  <c r="L71" i="141"/>
  <c r="M71" i="141"/>
  <c r="N71" i="141"/>
  <c r="O71" i="141"/>
  <c r="F72" i="141"/>
  <c r="G72" i="141"/>
  <c r="H72" i="141"/>
  <c r="I72" i="141"/>
  <c r="J72" i="141"/>
  <c r="K72" i="141"/>
  <c r="L72" i="141"/>
  <c r="M72" i="141"/>
  <c r="N72" i="141"/>
  <c r="O72" i="141"/>
  <c r="F73" i="141"/>
  <c r="G73" i="141"/>
  <c r="H73" i="141"/>
  <c r="I73" i="141"/>
  <c r="J73" i="141"/>
  <c r="K73" i="141"/>
  <c r="L73" i="141"/>
  <c r="M73" i="141"/>
  <c r="N73" i="141"/>
  <c r="O73" i="141"/>
  <c r="F74" i="141"/>
  <c r="G74" i="141"/>
  <c r="H74" i="141"/>
  <c r="I74" i="141"/>
  <c r="J74" i="141"/>
  <c r="K74" i="141"/>
  <c r="L74" i="141"/>
  <c r="M74" i="141"/>
  <c r="N74" i="141"/>
  <c r="O74" i="141"/>
  <c r="G75" i="141"/>
  <c r="G75" i="141" a="1"/>
  <c r="I75" i="141"/>
  <c r="I75" i="141" a="1"/>
  <c r="K75" i="141"/>
  <c r="K75" i="141" a="1"/>
  <c r="M75" i="141"/>
  <c r="M75" i="141" a="1"/>
  <c r="O75" i="141"/>
  <c r="O75" i="141" a="1"/>
  <c r="J40" i="128"/>
  <c r="K40" i="128" s="1"/>
  <c r="J45" i="128"/>
  <c r="K45" i="128" s="1"/>
  <c r="N50" i="128"/>
  <c r="O50" i="128" s="1"/>
  <c r="F55" i="128"/>
  <c r="L55" i="128"/>
  <c r="M55" i="128"/>
  <c r="F56" i="128"/>
  <c r="J56" i="128"/>
  <c r="K56" i="128"/>
  <c r="F57" i="128"/>
  <c r="H57" i="128"/>
  <c r="I57" i="128"/>
  <c r="F58" i="128"/>
  <c r="G58" i="128"/>
  <c r="F59" i="128"/>
  <c r="G59" i="128"/>
  <c r="F60" i="128"/>
  <c r="J60" i="128"/>
  <c r="K60" i="128"/>
  <c r="F61" i="128"/>
  <c r="H61" i="128"/>
  <c r="I61" i="128"/>
  <c r="F62" i="128"/>
  <c r="G62" i="128"/>
  <c r="F63" i="128"/>
  <c r="G63" i="128"/>
  <c r="H63" i="128"/>
  <c r="I63" i="128"/>
  <c r="F64" i="128"/>
  <c r="J64" i="128"/>
  <c r="K64" i="128"/>
  <c r="F65" i="128"/>
  <c r="H65" i="128"/>
  <c r="I65" i="128"/>
  <c r="F66" i="128"/>
  <c r="G66" i="128"/>
  <c r="F67" i="128"/>
  <c r="G67" i="128"/>
  <c r="F68" i="128"/>
  <c r="J68" i="128"/>
  <c r="K68" i="128"/>
  <c r="F69" i="128"/>
  <c r="H69" i="128"/>
  <c r="I69" i="128"/>
  <c r="F70" i="128"/>
  <c r="G70" i="128"/>
  <c r="F71" i="128"/>
  <c r="G71" i="128"/>
  <c r="F72" i="128"/>
  <c r="J72" i="128"/>
  <c r="K72" i="128"/>
  <c r="F73" i="128"/>
  <c r="H73" i="128"/>
  <c r="I73" i="128"/>
  <c r="F74" i="128"/>
  <c r="G74" i="128"/>
  <c r="L74" i="128"/>
  <c r="M74" i="128"/>
  <c r="F75" i="128"/>
  <c r="G75" i="128"/>
  <c r="F76" i="128"/>
  <c r="J76" i="128"/>
  <c r="K76" i="128"/>
  <c r="F77" i="128"/>
  <c r="H77" i="128"/>
  <c r="I77" i="128"/>
  <c r="F78" i="128"/>
  <c r="J78" i="128"/>
  <c r="K78" i="128"/>
  <c r="F79" i="128"/>
  <c r="N79" i="128"/>
  <c r="O79" i="128"/>
  <c r="F80" i="128"/>
  <c r="H80" i="128"/>
  <c r="I80" i="128"/>
  <c r="F81" i="128"/>
  <c r="G81" i="128"/>
  <c r="H81" i="128"/>
  <c r="I81" i="128"/>
  <c r="L81" i="128"/>
  <c r="M81" i="128"/>
  <c r="N81" i="128"/>
  <c r="O81" i="128"/>
  <c r="F82" i="128"/>
  <c r="L82" i="128"/>
  <c r="M82" i="128"/>
  <c r="G82" i="128"/>
  <c r="N82" i="128"/>
  <c r="O82" i="128"/>
  <c r="F83" i="128"/>
  <c r="J83" i="128"/>
  <c r="K83" i="128"/>
  <c r="F84" i="128"/>
  <c r="H84" i="128"/>
  <c r="I84" i="128"/>
  <c r="F85" i="128"/>
  <c r="H85" i="128"/>
  <c r="I85" i="128"/>
  <c r="F86" i="128"/>
  <c r="L86" i="128"/>
  <c r="M86" i="128"/>
  <c r="F87" i="128"/>
  <c r="J87" i="128"/>
  <c r="K87" i="128"/>
  <c r="F88" i="128"/>
  <c r="H88" i="128"/>
  <c r="I88" i="128"/>
  <c r="N88" i="128"/>
  <c r="O88" i="128"/>
  <c r="F89" i="128"/>
  <c r="J89" i="128"/>
  <c r="K89" i="128"/>
  <c r="G89" i="128"/>
  <c r="H89" i="128"/>
  <c r="I89" i="128"/>
  <c r="F90" i="128"/>
  <c r="L90" i="128"/>
  <c r="M90" i="128"/>
  <c r="F91" i="128"/>
  <c r="N91" i="128"/>
  <c r="O91" i="128"/>
  <c r="F92" i="128"/>
  <c r="H92" i="128"/>
  <c r="I92" i="128"/>
  <c r="G92" i="128"/>
  <c r="G93" i="128" a="1"/>
  <c r="I93" i="128" a="1"/>
  <c r="K93" i="128" a="1"/>
  <c r="M93" i="128" a="1"/>
  <c r="O93" i="128" a="1"/>
  <c r="F39" i="2"/>
  <c r="H39" i="2" s="1"/>
  <c r="I39" i="2" s="1"/>
  <c r="L39" i="2"/>
  <c r="M39" i="2"/>
  <c r="F42" i="2"/>
  <c r="N42" i="2" s="1"/>
  <c r="O42" i="2" s="1"/>
  <c r="G42" i="2"/>
  <c r="F45" i="2"/>
  <c r="G45" i="2"/>
  <c r="F46" i="2"/>
  <c r="G46" i="2"/>
  <c r="F47" i="2"/>
  <c r="N47" i="2"/>
  <c r="O47" i="2"/>
  <c r="F48" i="2"/>
  <c r="N48" i="2"/>
  <c r="O48" i="2"/>
  <c r="G48" i="2"/>
  <c r="J48" i="2"/>
  <c r="K48" i="2"/>
  <c r="N112" i="83"/>
  <c r="O112" i="83"/>
  <c r="L99" i="83"/>
  <c r="M99" i="83"/>
  <c r="N98" i="83"/>
  <c r="O98" i="83"/>
  <c r="N76" i="83"/>
  <c r="O76" i="83"/>
  <c r="N156" i="83"/>
  <c r="O156" i="83"/>
  <c r="N147" i="83"/>
  <c r="O147" i="83"/>
  <c r="G131" i="83"/>
  <c r="N60" i="83"/>
  <c r="O60" i="83"/>
  <c r="N128" i="83"/>
  <c r="O128" i="83"/>
  <c r="P87" i="83"/>
  <c r="Q87" i="83"/>
  <c r="N59" i="83"/>
  <c r="O59" i="83"/>
  <c r="J164" i="83"/>
  <c r="K164" i="83"/>
  <c r="N160" i="83"/>
  <c r="O160" i="83"/>
  <c r="J60" i="83"/>
  <c r="K60" i="83"/>
  <c r="N81" i="83"/>
  <c r="O81" i="83"/>
  <c r="N87" i="83"/>
  <c r="O87" i="83"/>
  <c r="J160" i="83"/>
  <c r="K160" i="83"/>
  <c r="J100" i="83"/>
  <c r="K100" i="83"/>
  <c r="J87" i="83"/>
  <c r="K87" i="83"/>
  <c r="N118" i="83"/>
  <c r="O118" i="83"/>
  <c r="G160" i="83"/>
  <c r="H60" i="83"/>
  <c r="I60" i="83"/>
  <c r="G100" i="83"/>
  <c r="G87" i="83"/>
  <c r="J89" i="83"/>
  <c r="K89" i="83"/>
  <c r="N137" i="83"/>
  <c r="O137" i="83"/>
  <c r="J118" i="83"/>
  <c r="K118" i="83"/>
  <c r="J86" i="83"/>
  <c r="K86" i="83"/>
  <c r="G79" i="83"/>
  <c r="J110" i="83"/>
  <c r="K110" i="83"/>
  <c r="N38" i="83"/>
  <c r="O38" i="83"/>
  <c r="J117" i="83"/>
  <c r="K117" i="83"/>
  <c r="J151" i="83"/>
  <c r="K151" i="83"/>
  <c r="N119" i="83"/>
  <c r="O119" i="83"/>
  <c r="N155" i="83"/>
  <c r="O155" i="83"/>
  <c r="N36" i="83"/>
  <c r="O36" i="83"/>
  <c r="N78" i="83"/>
  <c r="O78" i="83"/>
  <c r="N149" i="83"/>
  <c r="O149" i="83"/>
  <c r="N153" i="83"/>
  <c r="O153" i="83"/>
  <c r="N134" i="83"/>
  <c r="O134" i="83"/>
  <c r="N77" i="83"/>
  <c r="O77" i="83"/>
  <c r="N132" i="83"/>
  <c r="O132" i="83"/>
  <c r="N143" i="83"/>
  <c r="O143" i="83"/>
  <c r="J131" i="83"/>
  <c r="K131" i="83"/>
  <c r="N84" i="83"/>
  <c r="O84" i="83"/>
  <c r="N163" i="83"/>
  <c r="O163" i="83"/>
  <c r="N162" i="83"/>
  <c r="O162" i="83"/>
  <c r="J119" i="83"/>
  <c r="K119" i="83"/>
  <c r="J36" i="83"/>
  <c r="K36" i="83"/>
  <c r="J78" i="83"/>
  <c r="K78" i="83"/>
  <c r="J153" i="83"/>
  <c r="K153" i="83"/>
  <c r="J134" i="83"/>
  <c r="K134" i="83"/>
  <c r="P100" i="83"/>
  <c r="Q100" i="83"/>
  <c r="J96" i="83"/>
  <c r="K96" i="83"/>
  <c r="P82" i="83"/>
  <c r="Q82" i="83"/>
  <c r="J141" i="83"/>
  <c r="K141" i="83"/>
  <c r="G118" i="83"/>
  <c r="P60" i="83"/>
  <c r="Q60" i="83"/>
  <c r="N100" i="83"/>
  <c r="O100" i="83"/>
  <c r="G96" i="83"/>
  <c r="P58" i="83"/>
  <c r="Q58" i="83"/>
  <c r="L163" i="83"/>
  <c r="M163" i="83"/>
  <c r="J162" i="83"/>
  <c r="K162" i="83"/>
  <c r="J144" i="83"/>
  <c r="K144" i="83"/>
  <c r="N39" i="83"/>
  <c r="O39" i="83"/>
  <c r="N82" i="83"/>
  <c r="O82" i="83"/>
  <c r="N86" i="83"/>
  <c r="O86" i="83"/>
  <c r="P164" i="83"/>
  <c r="Q164" i="83"/>
  <c r="J163" i="83"/>
  <c r="K163" i="83"/>
  <c r="N105" i="83"/>
  <c r="O105" i="83"/>
  <c r="N115" i="83"/>
  <c r="O115" i="83"/>
  <c r="N125" i="83"/>
  <c r="O125" i="83"/>
  <c r="N154" i="83"/>
  <c r="O154" i="83"/>
  <c r="N167" i="83"/>
  <c r="O167" i="83"/>
  <c r="N124" i="83"/>
  <c r="O124" i="83"/>
  <c r="N152" i="83"/>
  <c r="O152" i="83"/>
  <c r="N139" i="83"/>
  <c r="O139" i="83"/>
  <c r="N103" i="83"/>
  <c r="O103" i="83"/>
  <c r="N146" i="83"/>
  <c r="O146" i="83"/>
  <c r="N142" i="83"/>
  <c r="O142" i="83"/>
  <c r="L60" i="83"/>
  <c r="M60" i="83"/>
  <c r="H100" i="83"/>
  <c r="I100" i="83"/>
  <c r="G82" i="83"/>
  <c r="L88" i="83"/>
  <c r="M88" i="83"/>
  <c r="G56" i="83"/>
  <c r="N138" i="83"/>
  <c r="O138" i="83"/>
  <c r="N164" i="83"/>
  <c r="O164" i="83"/>
  <c r="N159" i="83"/>
  <c r="O159" i="83"/>
  <c r="G105" i="83"/>
  <c r="G115" i="83"/>
  <c r="G125" i="83"/>
  <c r="G154" i="83"/>
  <c r="G167" i="83"/>
  <c r="G124" i="83"/>
  <c r="G101" i="83"/>
  <c r="G152" i="83"/>
  <c r="G139" i="83"/>
  <c r="G103" i="83"/>
  <c r="G146" i="83"/>
  <c r="G142" i="83"/>
  <c r="N35" i="83"/>
  <c r="O35" i="83"/>
  <c r="L32" i="83"/>
  <c r="M32" i="83"/>
  <c r="H32" i="83"/>
  <c r="I32" i="83"/>
  <c r="P32" i="83"/>
  <c r="Q32" i="83"/>
  <c r="O161" i="83"/>
  <c r="H113" i="83"/>
  <c r="I113" i="83"/>
  <c r="H34" i="83"/>
  <c r="I34" i="83"/>
  <c r="G57" i="83"/>
  <c r="H57" i="83"/>
  <c r="I57" i="83"/>
  <c r="P57" i="83"/>
  <c r="Q57" i="83"/>
  <c r="P80" i="83"/>
  <c r="Q80" i="83"/>
  <c r="N88" i="83"/>
  <c r="O88" i="83"/>
  <c r="N85" i="83"/>
  <c r="O85" i="83"/>
  <c r="L97" i="83"/>
  <c r="M97" i="83"/>
  <c r="H97" i="83"/>
  <c r="I97" i="83"/>
  <c r="P97" i="83"/>
  <c r="Q97" i="83"/>
  <c r="J128" i="83"/>
  <c r="K128" i="83"/>
  <c r="N56" i="83"/>
  <c r="O56" i="83"/>
  <c r="G122" i="83"/>
  <c r="H122" i="83"/>
  <c r="I122" i="83"/>
  <c r="P122" i="83"/>
  <c r="Q122" i="83"/>
  <c r="L122" i="83"/>
  <c r="M122" i="83"/>
  <c r="L137" i="83"/>
  <c r="M137" i="83"/>
  <c r="H137" i="83"/>
  <c r="I137" i="83"/>
  <c r="P137" i="83"/>
  <c r="Q137" i="83"/>
  <c r="L108" i="83"/>
  <c r="M108" i="83"/>
  <c r="H108" i="83"/>
  <c r="I108" i="83"/>
  <c r="P108" i="83"/>
  <c r="Q108" i="83"/>
  <c r="J33" i="83"/>
  <c r="K33" i="83"/>
  <c r="P113" i="83"/>
  <c r="Q113" i="83"/>
  <c r="G113" i="83"/>
  <c r="J112" i="83"/>
  <c r="K112" i="83"/>
  <c r="H96" i="83"/>
  <c r="I96" i="83"/>
  <c r="G95" i="83"/>
  <c r="H95" i="83"/>
  <c r="I95" i="83"/>
  <c r="P95" i="83"/>
  <c r="Q95" i="83"/>
  <c r="G34" i="83"/>
  <c r="J85" i="83"/>
  <c r="K85" i="83"/>
  <c r="L93" i="83"/>
  <c r="M93" i="83"/>
  <c r="H93" i="83"/>
  <c r="I93" i="83"/>
  <c r="P93" i="83"/>
  <c r="Q93" i="83"/>
  <c r="G90" i="83"/>
  <c r="H90" i="83"/>
  <c r="I90" i="83"/>
  <c r="P90" i="83"/>
  <c r="Q90" i="83"/>
  <c r="L90" i="83"/>
  <c r="M90" i="83"/>
  <c r="L89" i="83"/>
  <c r="M89" i="83"/>
  <c r="H89" i="83"/>
  <c r="I89" i="83"/>
  <c r="P89" i="83"/>
  <c r="Q89" i="83"/>
  <c r="G126" i="83"/>
  <c r="H126" i="83"/>
  <c r="I126" i="83"/>
  <c r="P126" i="83"/>
  <c r="Q126" i="83"/>
  <c r="L126" i="83"/>
  <c r="M126" i="83"/>
  <c r="L161" i="83"/>
  <c r="M161" i="83"/>
  <c r="G99" i="83"/>
  <c r="H99" i="83"/>
  <c r="I99" i="83"/>
  <c r="P99" i="83"/>
  <c r="Q99" i="83"/>
  <c r="N80" i="83"/>
  <c r="O80" i="83"/>
  <c r="G94" i="83"/>
  <c r="H94" i="83"/>
  <c r="I94" i="83"/>
  <c r="P94" i="83"/>
  <c r="Q94" i="83"/>
  <c r="L94" i="83"/>
  <c r="M94" i="83"/>
  <c r="G84" i="83"/>
  <c r="H84" i="83"/>
  <c r="I84" i="83"/>
  <c r="P84" i="83"/>
  <c r="Q84" i="83"/>
  <c r="L84" i="83"/>
  <c r="M84" i="83"/>
  <c r="L128" i="83"/>
  <c r="M128" i="83"/>
  <c r="H128" i="83"/>
  <c r="I128" i="83"/>
  <c r="P128" i="83"/>
  <c r="Q128" i="83"/>
  <c r="G138" i="83"/>
  <c r="H138" i="83"/>
  <c r="I138" i="83"/>
  <c r="P138" i="83"/>
  <c r="Q138" i="83"/>
  <c r="L138" i="83"/>
  <c r="M138" i="83"/>
  <c r="H135" i="83"/>
  <c r="I135" i="83"/>
  <c r="P135" i="83"/>
  <c r="Q135" i="83"/>
  <c r="L135" i="83"/>
  <c r="M135" i="83"/>
  <c r="N135" i="83"/>
  <c r="O135" i="83"/>
  <c r="G135" i="83"/>
  <c r="J135" i="83"/>
  <c r="K135" i="83"/>
  <c r="N113" i="83"/>
  <c r="O113" i="83"/>
  <c r="G111" i="83"/>
  <c r="H111" i="83"/>
  <c r="I111" i="83"/>
  <c r="P111" i="83"/>
  <c r="Q111" i="83"/>
  <c r="P34" i="83"/>
  <c r="Q34" i="83"/>
  <c r="N57" i="83"/>
  <c r="O57" i="83"/>
  <c r="J80" i="83"/>
  <c r="K80" i="83"/>
  <c r="G104" i="83"/>
  <c r="H104" i="83"/>
  <c r="I104" i="83"/>
  <c r="P104" i="83"/>
  <c r="Q104" i="83"/>
  <c r="L104" i="83"/>
  <c r="M104" i="83"/>
  <c r="L56" i="83"/>
  <c r="M56" i="83"/>
  <c r="H56" i="83"/>
  <c r="I56" i="83"/>
  <c r="P56" i="83"/>
  <c r="Q56" i="83"/>
  <c r="J121" i="83"/>
  <c r="K121" i="83"/>
  <c r="G107" i="83"/>
  <c r="H107" i="83"/>
  <c r="I107" i="83"/>
  <c r="P107" i="83"/>
  <c r="Q107" i="83"/>
  <c r="L107" i="83"/>
  <c r="M107" i="83"/>
  <c r="P161" i="83"/>
  <c r="Q161" i="83"/>
  <c r="G83" i="83"/>
  <c r="H83" i="83"/>
  <c r="I83" i="83"/>
  <c r="P83" i="83"/>
  <c r="Q83" i="83"/>
  <c r="P33" i="83"/>
  <c r="Q33" i="83"/>
  <c r="G33" i="83"/>
  <c r="J161" i="83"/>
  <c r="K161" i="83"/>
  <c r="G112" i="83"/>
  <c r="P96" i="83"/>
  <c r="Q96" i="83"/>
  <c r="N95" i="83"/>
  <c r="O95" i="83"/>
  <c r="N58" i="83"/>
  <c r="O58" i="83"/>
  <c r="L83" i="83"/>
  <c r="M83" i="83"/>
  <c r="J82" i="83"/>
  <c r="K82" i="83"/>
  <c r="H87" i="83"/>
  <c r="I87" i="83"/>
  <c r="G86" i="83"/>
  <c r="H86" i="83"/>
  <c r="I86" i="83"/>
  <c r="P86" i="83"/>
  <c r="Q86" i="83"/>
  <c r="G85" i="83"/>
  <c r="N32" i="83"/>
  <c r="O32" i="83"/>
  <c r="G59" i="83"/>
  <c r="H59" i="83"/>
  <c r="I59" i="83"/>
  <c r="P59" i="83"/>
  <c r="Q59" i="83"/>
  <c r="L59" i="83"/>
  <c r="M59" i="83"/>
  <c r="L114" i="83"/>
  <c r="M114" i="83"/>
  <c r="H114" i="83"/>
  <c r="I114" i="83"/>
  <c r="P114" i="83"/>
  <c r="Q114" i="83"/>
  <c r="N108" i="83"/>
  <c r="O108" i="83"/>
  <c r="G110" i="83"/>
  <c r="H110" i="83"/>
  <c r="I110" i="83"/>
  <c r="P110" i="83"/>
  <c r="Q110" i="83"/>
  <c r="L110" i="83"/>
  <c r="M110" i="83"/>
  <c r="G123" i="83"/>
  <c r="H123" i="83"/>
  <c r="I123" i="83"/>
  <c r="P123" i="83"/>
  <c r="Q123" i="83"/>
  <c r="L123" i="83"/>
  <c r="M123" i="83"/>
  <c r="L113" i="83"/>
  <c r="M113" i="83"/>
  <c r="N99" i="83"/>
  <c r="O99" i="83"/>
  <c r="N34" i="83"/>
  <c r="O34" i="83"/>
  <c r="L57" i="83"/>
  <c r="M57" i="83"/>
  <c r="H80" i="83"/>
  <c r="I80" i="83"/>
  <c r="G88" i="83"/>
  <c r="H88" i="83"/>
  <c r="I88" i="83"/>
  <c r="P88" i="83"/>
  <c r="Q88" i="83"/>
  <c r="N93" i="83"/>
  <c r="O93" i="83"/>
  <c r="L91" i="83"/>
  <c r="M91" i="83"/>
  <c r="H91" i="83"/>
  <c r="I91" i="83"/>
  <c r="P91" i="83"/>
  <c r="Q91" i="83"/>
  <c r="J32" i="83"/>
  <c r="K32" i="83"/>
  <c r="N97" i="83"/>
  <c r="O97" i="83"/>
  <c r="G98" i="83"/>
  <c r="H98" i="83"/>
  <c r="I98" i="83"/>
  <c r="P98" i="83"/>
  <c r="Q98" i="83"/>
  <c r="L98" i="83"/>
  <c r="M98" i="83"/>
  <c r="N122" i="83"/>
  <c r="O122" i="83"/>
  <c r="L121" i="83"/>
  <c r="M121" i="83"/>
  <c r="H121" i="83"/>
  <c r="I121" i="83"/>
  <c r="P121" i="83"/>
  <c r="Q121" i="83"/>
  <c r="J108" i="83"/>
  <c r="K108" i="83"/>
  <c r="H37" i="83"/>
  <c r="I37" i="83"/>
  <c r="P37" i="83"/>
  <c r="Q37" i="83"/>
  <c r="L37" i="83"/>
  <c r="M37" i="83"/>
  <c r="G37" i="83"/>
  <c r="J37" i="83"/>
  <c r="K37" i="83"/>
  <c r="N37" i="83"/>
  <c r="O37" i="83"/>
  <c r="H161" i="83"/>
  <c r="I161" i="83"/>
  <c r="P112" i="83"/>
  <c r="Q112" i="83"/>
  <c r="N111" i="83"/>
  <c r="O111" i="83"/>
  <c r="N96" i="83"/>
  <c r="O96" i="83"/>
  <c r="L95" i="83"/>
  <c r="M95" i="83"/>
  <c r="J34" i="83"/>
  <c r="K34" i="83"/>
  <c r="J83" i="83"/>
  <c r="K83" i="83"/>
  <c r="H82" i="83"/>
  <c r="I82" i="83"/>
  <c r="G81" i="83"/>
  <c r="H81" i="83"/>
  <c r="I81" i="83"/>
  <c r="P81" i="83"/>
  <c r="Q81" i="83"/>
  <c r="G80" i="83"/>
  <c r="P85" i="83"/>
  <c r="Q85" i="83"/>
  <c r="N94" i="83"/>
  <c r="O94" i="83"/>
  <c r="J93" i="83"/>
  <c r="K93" i="83"/>
  <c r="G92" i="83"/>
  <c r="H92" i="83"/>
  <c r="I92" i="83"/>
  <c r="P92" i="83"/>
  <c r="Q92" i="83"/>
  <c r="L92" i="83"/>
  <c r="M92" i="83"/>
  <c r="N90" i="83"/>
  <c r="O90" i="83"/>
  <c r="L79" i="83"/>
  <c r="M79" i="83"/>
  <c r="H79" i="83"/>
  <c r="I79" i="83"/>
  <c r="P79" i="83"/>
  <c r="Q79" i="83"/>
  <c r="G32" i="83"/>
  <c r="J97" i="83"/>
  <c r="K97" i="83"/>
  <c r="N89" i="83"/>
  <c r="O89" i="83"/>
  <c r="G127" i="83"/>
  <c r="H127" i="83"/>
  <c r="I127" i="83"/>
  <c r="P127" i="83"/>
  <c r="Q127" i="83"/>
  <c r="L127" i="83"/>
  <c r="M127" i="83"/>
  <c r="J123" i="83"/>
  <c r="K123" i="83"/>
  <c r="N126" i="83"/>
  <c r="O126" i="83"/>
  <c r="L76" i="83"/>
  <c r="M76" i="83"/>
  <c r="H76" i="83"/>
  <c r="I76" i="83"/>
  <c r="P76" i="83"/>
  <c r="Q76" i="83"/>
  <c r="G108" i="83"/>
  <c r="J137" i="83"/>
  <c r="K137" i="83"/>
  <c r="H165" i="83"/>
  <c r="I165" i="83"/>
  <c r="P165" i="83"/>
  <c r="Q165" i="83"/>
  <c r="L165" i="83"/>
  <c r="M165" i="83"/>
  <c r="N165" i="83"/>
  <c r="O165" i="83"/>
  <c r="G165" i="83"/>
  <c r="J165" i="83"/>
  <c r="K165" i="83"/>
  <c r="L130" i="83"/>
  <c r="M130" i="83"/>
  <c r="G130" i="83"/>
  <c r="H130" i="83"/>
  <c r="I130" i="83"/>
  <c r="P130" i="83"/>
  <c r="Q130" i="83"/>
  <c r="L116" i="83"/>
  <c r="M116" i="83"/>
  <c r="G116" i="83"/>
  <c r="H116" i="83"/>
  <c r="I116" i="83"/>
  <c r="P116" i="83"/>
  <c r="Q116" i="83"/>
  <c r="H133" i="83"/>
  <c r="I133" i="83"/>
  <c r="P133" i="83"/>
  <c r="Q133" i="83"/>
  <c r="L133" i="83"/>
  <c r="M133" i="83"/>
  <c r="H151" i="83"/>
  <c r="I151" i="83"/>
  <c r="P151" i="83"/>
  <c r="Q151" i="83"/>
  <c r="L151" i="83"/>
  <c r="M151" i="83"/>
  <c r="H159" i="83"/>
  <c r="I159" i="83"/>
  <c r="P159" i="83"/>
  <c r="Q159" i="83"/>
  <c r="J159" i="83"/>
  <c r="K159" i="83"/>
  <c r="L159" i="83"/>
  <c r="M159" i="83"/>
  <c r="L158" i="83"/>
  <c r="M158" i="83"/>
  <c r="G158" i="83"/>
  <c r="H158" i="83"/>
  <c r="I158" i="83"/>
  <c r="P158" i="83"/>
  <c r="Q158" i="83"/>
  <c r="L117" i="83"/>
  <c r="M117" i="83"/>
  <c r="G117" i="83"/>
  <c r="H117" i="83"/>
  <c r="I117" i="83"/>
  <c r="P117" i="83"/>
  <c r="Q117" i="83"/>
  <c r="H163" i="83"/>
  <c r="I163" i="83"/>
  <c r="P163" i="83"/>
  <c r="Q163" i="83"/>
  <c r="L136" i="83"/>
  <c r="M136" i="83"/>
  <c r="G136" i="83"/>
  <c r="N130" i="83"/>
  <c r="O130" i="83"/>
  <c r="L166" i="83"/>
  <c r="M166" i="83"/>
  <c r="G166" i="83"/>
  <c r="H166" i="83"/>
  <c r="I166" i="83"/>
  <c r="P166" i="83"/>
  <c r="Q166" i="83"/>
  <c r="N116" i="83"/>
  <c r="O116" i="83"/>
  <c r="L140" i="83"/>
  <c r="M140" i="83"/>
  <c r="G140" i="83"/>
  <c r="H140" i="83"/>
  <c r="I140" i="83"/>
  <c r="P140" i="83"/>
  <c r="Q140" i="83"/>
  <c r="H120" i="83"/>
  <c r="I120" i="83"/>
  <c r="P120" i="83"/>
  <c r="Q120" i="83"/>
  <c r="L164" i="83"/>
  <c r="M164" i="83"/>
  <c r="G164" i="83"/>
  <c r="N133" i="83"/>
  <c r="O133" i="83"/>
  <c r="P136" i="83"/>
  <c r="Q136" i="83"/>
  <c r="J130" i="83"/>
  <c r="K130" i="83"/>
  <c r="H38" i="83"/>
  <c r="I38" i="83"/>
  <c r="P38" i="83"/>
  <c r="Q38" i="83"/>
  <c r="L38" i="83"/>
  <c r="M38" i="83"/>
  <c r="J116" i="83"/>
  <c r="K116" i="83"/>
  <c r="H129" i="83"/>
  <c r="I129" i="83"/>
  <c r="P129" i="83"/>
  <c r="Q129" i="83"/>
  <c r="L129" i="83"/>
  <c r="M129" i="83"/>
  <c r="J133" i="83"/>
  <c r="K133" i="83"/>
  <c r="N151" i="83"/>
  <c r="O151" i="83"/>
  <c r="J143" i="83"/>
  <c r="K143" i="83"/>
  <c r="J147" i="83"/>
  <c r="K147" i="83"/>
  <c r="J35" i="83"/>
  <c r="K35" i="83"/>
  <c r="J156" i="83"/>
  <c r="K156" i="83"/>
  <c r="J39" i="83"/>
  <c r="K39" i="83"/>
  <c r="J29" i="83"/>
  <c r="K29" i="83"/>
  <c r="P162" i="83"/>
  <c r="Q162" i="83"/>
  <c r="H162" i="83"/>
  <c r="I162" i="83"/>
  <c r="P119" i="83"/>
  <c r="Q119" i="83"/>
  <c r="H119" i="83"/>
  <c r="I119" i="83"/>
  <c r="L105" i="83"/>
  <c r="M105" i="83"/>
  <c r="P150" i="83"/>
  <c r="Q150" i="83"/>
  <c r="H150" i="83"/>
  <c r="I150" i="83"/>
  <c r="L115" i="83"/>
  <c r="M115" i="83"/>
  <c r="P155" i="83"/>
  <c r="Q155" i="83"/>
  <c r="H155" i="83"/>
  <c r="I155" i="83"/>
  <c r="L125" i="83"/>
  <c r="M125" i="83"/>
  <c r="P36" i="83"/>
  <c r="Q36" i="83"/>
  <c r="H36" i="83"/>
  <c r="I36" i="83"/>
  <c r="L157" i="83"/>
  <c r="M157" i="83"/>
  <c r="P78" i="83"/>
  <c r="Q78" i="83"/>
  <c r="H78" i="83"/>
  <c r="I78" i="83"/>
  <c r="L154" i="83"/>
  <c r="M154" i="83"/>
  <c r="P109" i="83"/>
  <c r="Q109" i="83"/>
  <c r="H109" i="83"/>
  <c r="I109" i="83"/>
  <c r="L167" i="83"/>
  <c r="M167" i="83"/>
  <c r="P149" i="83"/>
  <c r="Q149" i="83"/>
  <c r="H149" i="83"/>
  <c r="I149" i="83"/>
  <c r="L124" i="83"/>
  <c r="M124" i="83"/>
  <c r="P153" i="83"/>
  <c r="Q153" i="83"/>
  <c r="H153" i="83"/>
  <c r="I153" i="83"/>
  <c r="L101" i="83"/>
  <c r="M101" i="83"/>
  <c r="P134" i="83"/>
  <c r="Q134" i="83"/>
  <c r="H134" i="83"/>
  <c r="I134" i="83"/>
  <c r="L152" i="83"/>
  <c r="M152" i="83"/>
  <c r="P77" i="83"/>
  <c r="Q77" i="83"/>
  <c r="H77" i="83"/>
  <c r="I77" i="83"/>
  <c r="L139" i="83"/>
  <c r="M139" i="83"/>
  <c r="P132" i="83"/>
  <c r="Q132" i="83"/>
  <c r="H132" i="83"/>
  <c r="I132" i="83"/>
  <c r="L103" i="83"/>
  <c r="M103" i="83"/>
  <c r="P145" i="83"/>
  <c r="Q145" i="83"/>
  <c r="H145" i="83"/>
  <c r="I145" i="83"/>
  <c r="L146" i="83"/>
  <c r="M146" i="83"/>
  <c r="P148" i="83"/>
  <c r="Q148" i="83"/>
  <c r="H148" i="83"/>
  <c r="I148" i="83"/>
  <c r="L142" i="83"/>
  <c r="M142" i="83"/>
  <c r="P143" i="83"/>
  <c r="Q143" i="83"/>
  <c r="H143" i="83"/>
  <c r="I143" i="83"/>
  <c r="L144" i="83"/>
  <c r="M144" i="83"/>
  <c r="P147" i="83"/>
  <c r="Q147" i="83"/>
  <c r="H147" i="83"/>
  <c r="I147" i="83"/>
  <c r="L141" i="83"/>
  <c r="M141" i="83"/>
  <c r="P35" i="83"/>
  <c r="Q35" i="83"/>
  <c r="H35" i="83"/>
  <c r="I35" i="83"/>
  <c r="L118" i="83"/>
  <c r="M118" i="83"/>
  <c r="P156" i="83"/>
  <c r="Q156" i="83"/>
  <c r="H156" i="83"/>
  <c r="I156" i="83"/>
  <c r="L160" i="83"/>
  <c r="M160" i="83"/>
  <c r="P39" i="83"/>
  <c r="Q39" i="83"/>
  <c r="H39" i="83"/>
  <c r="I39" i="83"/>
  <c r="L131" i="83"/>
  <c r="M131" i="83"/>
  <c r="P29" i="83"/>
  <c r="Q29" i="83"/>
  <c r="H29" i="83"/>
  <c r="I29" i="83"/>
  <c r="G162" i="83"/>
  <c r="G119" i="83"/>
  <c r="G150" i="83"/>
  <c r="G155" i="83"/>
  <c r="G36" i="83"/>
  <c r="G78" i="83"/>
  <c r="G109" i="83"/>
  <c r="G149" i="83"/>
  <c r="G153" i="83"/>
  <c r="G134" i="83"/>
  <c r="G77" i="83"/>
  <c r="G132" i="83"/>
  <c r="G145" i="83"/>
  <c r="G148" i="83"/>
  <c r="G143" i="83"/>
  <c r="G147" i="83"/>
  <c r="G35" i="83"/>
  <c r="G156" i="83"/>
  <c r="G39" i="83"/>
  <c r="G29" i="83"/>
  <c r="J105" i="83"/>
  <c r="K105" i="83"/>
  <c r="J115" i="83"/>
  <c r="K115" i="83"/>
  <c r="J125" i="83"/>
  <c r="K125" i="83"/>
  <c r="J157" i="83"/>
  <c r="K157" i="83"/>
  <c r="J154" i="83"/>
  <c r="K154" i="83"/>
  <c r="J167" i="83"/>
  <c r="K167" i="83"/>
  <c r="J124" i="83"/>
  <c r="K124" i="83"/>
  <c r="J101" i="83"/>
  <c r="K101" i="83"/>
  <c r="J152" i="83"/>
  <c r="K152" i="83"/>
  <c r="J139" i="83"/>
  <c r="K139" i="83"/>
  <c r="J103" i="83"/>
  <c r="K103" i="83"/>
  <c r="J146" i="83"/>
  <c r="K146" i="83"/>
  <c r="J142" i="83"/>
  <c r="K142" i="83"/>
  <c r="P105" i="83"/>
  <c r="Q105" i="83"/>
  <c r="P115" i="83"/>
  <c r="Q115" i="83"/>
  <c r="P125" i="83"/>
  <c r="Q125" i="83"/>
  <c r="P157" i="83"/>
  <c r="Q157" i="83"/>
  <c r="P154" i="83"/>
  <c r="Q154" i="83"/>
  <c r="P167" i="83"/>
  <c r="Q167" i="83"/>
  <c r="P124" i="83"/>
  <c r="Q124" i="83"/>
  <c r="P101" i="83"/>
  <c r="Q101" i="83"/>
  <c r="P152" i="83"/>
  <c r="Q152" i="83"/>
  <c r="P139" i="83"/>
  <c r="Q139" i="83"/>
  <c r="P103" i="83"/>
  <c r="Q103" i="83"/>
  <c r="P146" i="83"/>
  <c r="Q146" i="83"/>
  <c r="P142" i="83"/>
  <c r="Q142" i="83"/>
  <c r="P144" i="83"/>
  <c r="Q144" i="83"/>
  <c r="P141" i="83"/>
  <c r="Q141" i="83"/>
  <c r="P118" i="83"/>
  <c r="Q118" i="83"/>
  <c r="P160" i="83"/>
  <c r="Q160" i="83"/>
  <c r="P131" i="83"/>
  <c r="Q131" i="83"/>
  <c r="P38" i="143"/>
  <c r="Q38" i="143"/>
  <c r="J129" i="143"/>
  <c r="K129" i="143"/>
  <c r="H34" i="143"/>
  <c r="I34" i="143"/>
  <c r="L81" i="143"/>
  <c r="M81" i="143"/>
  <c r="P34" i="143"/>
  <c r="Q34" i="143"/>
  <c r="J61" i="143"/>
  <c r="K61" i="143"/>
  <c r="H79" i="143"/>
  <c r="I79" i="143"/>
  <c r="J41" i="143"/>
  <c r="K41" i="143"/>
  <c r="J55" i="143"/>
  <c r="K55" i="143"/>
  <c r="N53" i="143"/>
  <c r="O53" i="143"/>
  <c r="J63" i="143"/>
  <c r="K63" i="143"/>
  <c r="J76" i="143"/>
  <c r="K76" i="143"/>
  <c r="P114" i="143"/>
  <c r="Q114" i="143"/>
  <c r="P89" i="143"/>
  <c r="Q89" i="143"/>
  <c r="J54" i="143"/>
  <c r="K54" i="143"/>
  <c r="L66" i="143"/>
  <c r="M66" i="143"/>
  <c r="P119" i="143"/>
  <c r="Q119" i="143"/>
  <c r="N59" i="143"/>
  <c r="O59" i="143"/>
  <c r="L63" i="143"/>
  <c r="M63" i="143"/>
  <c r="L45" i="143"/>
  <c r="M45" i="143"/>
  <c r="L54" i="143"/>
  <c r="M54" i="143"/>
  <c r="N64" i="143"/>
  <c r="O64" i="143"/>
  <c r="J165" i="143"/>
  <c r="K165" i="143"/>
  <c r="J120" i="143"/>
  <c r="K120" i="143"/>
  <c r="H56" i="143"/>
  <c r="I56" i="143"/>
  <c r="J33" i="143"/>
  <c r="K33" i="143"/>
  <c r="L165" i="143"/>
  <c r="M165" i="143"/>
  <c r="P120" i="143"/>
  <c r="Q120" i="143"/>
  <c r="J87" i="143"/>
  <c r="K87" i="143"/>
  <c r="H82" i="143"/>
  <c r="I82" i="143"/>
  <c r="J51" i="143"/>
  <c r="K51" i="143"/>
  <c r="J157" i="143"/>
  <c r="K157" i="143"/>
  <c r="P135" i="143"/>
  <c r="Q135" i="143"/>
  <c r="P87" i="143"/>
  <c r="Q87" i="143"/>
  <c r="H96" i="143"/>
  <c r="I96" i="143"/>
  <c r="P112" i="143"/>
  <c r="Q112" i="143"/>
  <c r="J40" i="143"/>
  <c r="K40" i="143"/>
  <c r="L157" i="143"/>
  <c r="M157" i="143"/>
  <c r="H38" i="143"/>
  <c r="I38" i="143"/>
  <c r="L121" i="143"/>
  <c r="M121" i="143"/>
  <c r="J155" i="143"/>
  <c r="K155" i="143"/>
  <c r="N48" i="143"/>
  <c r="O48" i="143"/>
  <c r="J134" i="143"/>
  <c r="K134" i="143"/>
  <c r="G163" i="143"/>
  <c r="H127" i="143"/>
  <c r="I127" i="143"/>
  <c r="L92" i="143"/>
  <c r="M92" i="143"/>
  <c r="H85" i="143"/>
  <c r="I85" i="143"/>
  <c r="H58" i="143"/>
  <c r="I58" i="143"/>
  <c r="L29" i="143"/>
  <c r="M29" i="143"/>
  <c r="L155" i="143"/>
  <c r="M155" i="143"/>
  <c r="J143" i="143"/>
  <c r="K143" i="143"/>
  <c r="J145" i="143"/>
  <c r="K145" i="143"/>
  <c r="J46" i="143"/>
  <c r="K46" i="143"/>
  <c r="J73" i="143"/>
  <c r="K73" i="143"/>
  <c r="N68" i="143"/>
  <c r="O68" i="143"/>
  <c r="H129" i="143"/>
  <c r="I129" i="143"/>
  <c r="L134" i="143"/>
  <c r="M134" i="143"/>
  <c r="H163" i="143"/>
  <c r="I163" i="143"/>
  <c r="H76" i="143"/>
  <c r="I76" i="143"/>
  <c r="J127" i="143"/>
  <c r="K127" i="143"/>
  <c r="J85" i="143"/>
  <c r="K85" i="143"/>
  <c r="J58" i="143"/>
  <c r="K58" i="143"/>
  <c r="H100" i="143"/>
  <c r="I100" i="143"/>
  <c r="H33" i="143"/>
  <c r="I33" i="143"/>
  <c r="L143" i="143"/>
  <c r="M143" i="143"/>
  <c r="L145" i="143"/>
  <c r="M145" i="143"/>
  <c r="L46" i="143"/>
  <c r="M46" i="143"/>
  <c r="L73" i="143"/>
  <c r="M73" i="143"/>
  <c r="N134" i="143"/>
  <c r="O134" i="143"/>
  <c r="P163" i="143"/>
  <c r="Q163" i="143"/>
  <c r="P127" i="143"/>
  <c r="Q127" i="143"/>
  <c r="P85" i="143"/>
  <c r="Q85" i="143"/>
  <c r="P58" i="143"/>
  <c r="Q58" i="143"/>
  <c r="L55" i="143"/>
  <c r="M55" i="143"/>
  <c r="L40" i="143"/>
  <c r="M40" i="143"/>
  <c r="J50" i="143"/>
  <c r="K50" i="143"/>
  <c r="J72" i="143"/>
  <c r="K72" i="143"/>
  <c r="J117" i="143"/>
  <c r="K117" i="143"/>
  <c r="J116" i="143"/>
  <c r="K116" i="143"/>
  <c r="J38" i="143"/>
  <c r="K38" i="143"/>
  <c r="L129" i="143"/>
  <c r="M129" i="143"/>
  <c r="P134" i="143"/>
  <c r="Q134" i="143"/>
  <c r="J162" i="143"/>
  <c r="K162" i="143"/>
  <c r="P76" i="143"/>
  <c r="Q76" i="143"/>
  <c r="J56" i="143"/>
  <c r="K56" i="143"/>
  <c r="H93" i="143"/>
  <c r="I93" i="143"/>
  <c r="H80" i="143"/>
  <c r="I80" i="143"/>
  <c r="J82" i="143"/>
  <c r="K82" i="143"/>
  <c r="J96" i="143"/>
  <c r="K96" i="143"/>
  <c r="P100" i="143"/>
  <c r="Q100" i="143"/>
  <c r="P33" i="143"/>
  <c r="Q33" i="143"/>
  <c r="J39" i="143"/>
  <c r="K39" i="143"/>
  <c r="L50" i="143"/>
  <c r="M50" i="143"/>
  <c r="J67" i="143"/>
  <c r="K67" i="143"/>
  <c r="N62" i="143"/>
  <c r="O62" i="143"/>
  <c r="L72" i="143"/>
  <c r="M72" i="143"/>
  <c r="L117" i="143"/>
  <c r="M117" i="143"/>
  <c r="L116" i="143"/>
  <c r="M116" i="143"/>
  <c r="N129" i="143"/>
  <c r="O129" i="143"/>
  <c r="H119" i="143"/>
  <c r="I119" i="143"/>
  <c r="H108" i="143"/>
  <c r="I108" i="143"/>
  <c r="P56" i="143"/>
  <c r="Q56" i="143"/>
  <c r="H97" i="143"/>
  <c r="I97" i="143"/>
  <c r="H91" i="143"/>
  <c r="I91" i="143"/>
  <c r="J93" i="143"/>
  <c r="K93" i="143"/>
  <c r="J80" i="143"/>
  <c r="K80" i="143"/>
  <c r="P82" i="143"/>
  <c r="Q82" i="143"/>
  <c r="P96" i="143"/>
  <c r="Q96" i="143"/>
  <c r="H113" i="143"/>
  <c r="I113" i="143"/>
  <c r="L39" i="143"/>
  <c r="M39" i="143"/>
  <c r="J140" i="143"/>
  <c r="K140" i="143"/>
  <c r="J141" i="143"/>
  <c r="K141" i="143"/>
  <c r="L67" i="143"/>
  <c r="M67" i="143"/>
  <c r="L38" i="143"/>
  <c r="M38" i="143"/>
  <c r="L162" i="143"/>
  <c r="M162" i="143"/>
  <c r="J119" i="143"/>
  <c r="K119" i="143"/>
  <c r="J108" i="143"/>
  <c r="K108" i="143"/>
  <c r="H114" i="143"/>
  <c r="I114" i="143"/>
  <c r="H89" i="143"/>
  <c r="I89" i="143"/>
  <c r="J97" i="143"/>
  <c r="K97" i="143"/>
  <c r="J91" i="143"/>
  <c r="K91" i="143"/>
  <c r="P93" i="143"/>
  <c r="Q93" i="143"/>
  <c r="P80" i="143"/>
  <c r="Q80" i="143"/>
  <c r="J113" i="143"/>
  <c r="K113" i="143"/>
  <c r="L140" i="143"/>
  <c r="M140" i="143"/>
  <c r="L141" i="143"/>
  <c r="M141" i="143"/>
  <c r="L41" i="143"/>
  <c r="M41" i="143"/>
  <c r="L51" i="143"/>
  <c r="M51" i="143"/>
  <c r="J45" i="143"/>
  <c r="K45" i="143"/>
  <c r="J66" i="143"/>
  <c r="K66" i="143"/>
  <c r="N38" i="143"/>
  <c r="O38" i="143"/>
  <c r="P129" i="143"/>
  <c r="Q129" i="143"/>
  <c r="L135" i="143"/>
  <c r="M135" i="143"/>
  <c r="P162" i="143"/>
  <c r="Q162" i="143"/>
  <c r="L119" i="143"/>
  <c r="M119" i="143"/>
  <c r="P108" i="143"/>
  <c r="Q108" i="143"/>
  <c r="H120" i="143"/>
  <c r="I120" i="143"/>
  <c r="J114" i="143"/>
  <c r="K114" i="143"/>
  <c r="J89" i="143"/>
  <c r="K89" i="143"/>
  <c r="P97" i="143"/>
  <c r="Q97" i="143"/>
  <c r="P91" i="143"/>
  <c r="Q91" i="143"/>
  <c r="H87" i="143"/>
  <c r="I87" i="143"/>
  <c r="J34" i="143"/>
  <c r="K34" i="143"/>
  <c r="H112" i="143"/>
  <c r="I112" i="143"/>
  <c r="P113" i="143"/>
  <c r="Q113" i="143"/>
  <c r="J29" i="143"/>
  <c r="K29" i="143"/>
  <c r="J74" i="142"/>
  <c r="K74" i="142"/>
  <c r="H52" i="142"/>
  <c r="I52" i="142"/>
  <c r="H76" i="142"/>
  <c r="I76" i="142"/>
  <c r="H86" i="142"/>
  <c r="I86" i="142"/>
  <c r="G56" i="142"/>
  <c r="P40" i="142"/>
  <c r="Q40" i="142"/>
  <c r="G40" i="142"/>
  <c r="J80" i="142"/>
  <c r="K80" i="142"/>
  <c r="N32" i="142"/>
  <c r="O32" i="142"/>
  <c r="J54" i="142"/>
  <c r="K54" i="142"/>
  <c r="L61" i="142"/>
  <c r="M61" i="142"/>
  <c r="H35" i="142"/>
  <c r="I35" i="142"/>
  <c r="J75" i="142"/>
  <c r="K75" i="142"/>
  <c r="G86" i="142"/>
  <c r="H34" i="142"/>
  <c r="I34" i="142"/>
  <c r="J60" i="142"/>
  <c r="K60" i="142"/>
  <c r="N48" i="142"/>
  <c r="O48" i="142"/>
  <c r="N33" i="142"/>
  <c r="O33" i="142"/>
  <c r="L76" i="142"/>
  <c r="M76" i="142"/>
  <c r="G80" i="142"/>
  <c r="J72" i="142"/>
  <c r="K72" i="142"/>
  <c r="L72" i="142"/>
  <c r="M72" i="142"/>
  <c r="L75" i="142"/>
  <c r="M75" i="142"/>
  <c r="N76" i="142"/>
  <c r="O76" i="142"/>
  <c r="G38" i="142"/>
  <c r="P47" i="142"/>
  <c r="Q47" i="142"/>
  <c r="G58" i="142"/>
  <c r="J86" i="142"/>
  <c r="K86" i="142"/>
  <c r="L68" i="142"/>
  <c r="M68" i="142"/>
  <c r="L73" i="142"/>
  <c r="M73" i="142"/>
  <c r="G87" i="142"/>
  <c r="L70" i="142"/>
  <c r="M70" i="142"/>
  <c r="G52" i="142"/>
  <c r="G48" i="142"/>
  <c r="G51" i="142"/>
  <c r="J46" i="142"/>
  <c r="K46" i="142"/>
  <c r="J58" i="142"/>
  <c r="K58" i="142"/>
  <c r="N70" i="142"/>
  <c r="O70" i="142"/>
  <c r="L38" i="142"/>
  <c r="M38" i="142"/>
  <c r="G34" i="142"/>
  <c r="L69" i="142"/>
  <c r="M69" i="142"/>
  <c r="H80" i="142"/>
  <c r="I80" i="142"/>
  <c r="G76" i="142"/>
  <c r="H55" i="142"/>
  <c r="I55" i="142"/>
  <c r="J52" i="142"/>
  <c r="K52" i="142"/>
  <c r="N38" i="142"/>
  <c r="O38" i="142"/>
  <c r="G35" i="142"/>
  <c r="G43" i="142"/>
  <c r="L46" i="142"/>
  <c r="M46" i="142"/>
  <c r="H54" i="142"/>
  <c r="I54" i="142"/>
  <c r="H32" i="142"/>
  <c r="I32" i="142"/>
  <c r="L36" i="142"/>
  <c r="M36" i="142"/>
  <c r="H40" i="142"/>
  <c r="I40" i="142"/>
  <c r="J34" i="142"/>
  <c r="K34" i="142"/>
  <c r="G84" i="142"/>
  <c r="G60" i="142"/>
  <c r="P80" i="142"/>
  <c r="Q80" i="142"/>
  <c r="L74" i="142"/>
  <c r="M74" i="142"/>
  <c r="G75" i="142"/>
  <c r="L55" i="142"/>
  <c r="M55" i="142"/>
  <c r="L52" i="142"/>
  <c r="M52" i="142"/>
  <c r="G47" i="142"/>
  <c r="J35" i="142"/>
  <c r="K35" i="142"/>
  <c r="J33" i="142"/>
  <c r="K33" i="142"/>
  <c r="J40" i="142"/>
  <c r="K40" i="142"/>
  <c r="P34" i="142"/>
  <c r="Q34" i="142"/>
  <c r="J84" i="142"/>
  <c r="K84" i="142"/>
  <c r="H60" i="142"/>
  <c r="I60" i="142"/>
  <c r="H75" i="142"/>
  <c r="I75" i="142"/>
  <c r="P55" i="142"/>
  <c r="Q55" i="142"/>
  <c r="P52" i="142"/>
  <c r="Q52" i="142"/>
  <c r="L47" i="142"/>
  <c r="M47" i="142"/>
  <c r="L35" i="142"/>
  <c r="M35" i="142"/>
  <c r="P44" i="142"/>
  <c r="Q44" i="142"/>
  <c r="L33" i="142"/>
  <c r="M33" i="142"/>
  <c r="L59" i="142"/>
  <c r="M59" i="142"/>
  <c r="G83" i="142"/>
  <c r="H87" i="142"/>
  <c r="I87" i="142"/>
  <c r="H51" i="142"/>
  <c r="I51" i="142"/>
  <c r="H56" i="142"/>
  <c r="I56" i="142"/>
  <c r="G65" i="142"/>
  <c r="P86" i="142"/>
  <c r="Q86" i="142"/>
  <c r="L78" i="142"/>
  <c r="M78" i="142"/>
  <c r="G88" i="142"/>
  <c r="H83" i="142"/>
  <c r="I83" i="142"/>
  <c r="J87" i="142"/>
  <c r="K87" i="142"/>
  <c r="P60" i="142"/>
  <c r="Q60" i="142"/>
  <c r="P74" i="142"/>
  <c r="Q74" i="142"/>
  <c r="G71" i="142"/>
  <c r="G67" i="142"/>
  <c r="P72" i="142"/>
  <c r="Q72" i="142"/>
  <c r="G42" i="142"/>
  <c r="H50" i="142"/>
  <c r="I50" i="142"/>
  <c r="J51" i="142"/>
  <c r="K51" i="142"/>
  <c r="G44" i="142"/>
  <c r="N45" i="142"/>
  <c r="O45" i="142"/>
  <c r="P46" i="142"/>
  <c r="Q46" i="142"/>
  <c r="P33" i="142"/>
  <c r="Q33" i="142"/>
  <c r="J56" i="142"/>
  <c r="K56" i="142"/>
  <c r="H65" i="142"/>
  <c r="I65" i="142"/>
  <c r="H88" i="142"/>
  <c r="I88" i="142"/>
  <c r="J83" i="142"/>
  <c r="K83" i="142"/>
  <c r="P87" i="142"/>
  <c r="Q87" i="142"/>
  <c r="H71" i="142"/>
  <c r="I71" i="142"/>
  <c r="H42" i="142"/>
  <c r="I42" i="142"/>
  <c r="H44" i="142"/>
  <c r="I44" i="142"/>
  <c r="L54" i="142"/>
  <c r="M54" i="142"/>
  <c r="N56" i="142"/>
  <c r="O56" i="142"/>
  <c r="L65" i="142"/>
  <c r="M65" i="142"/>
  <c r="L85" i="142"/>
  <c r="M85" i="142"/>
  <c r="H84" i="142"/>
  <c r="I84" i="142"/>
  <c r="J88" i="142"/>
  <c r="K88" i="142"/>
  <c r="P83" i="142"/>
  <c r="Q83" i="142"/>
  <c r="L64" i="142"/>
  <c r="M64" i="142"/>
  <c r="G74" i="142"/>
  <c r="H70" i="142"/>
  <c r="I70" i="142"/>
  <c r="J71" i="142"/>
  <c r="K71" i="142"/>
  <c r="G72" i="142"/>
  <c r="N37" i="142"/>
  <c r="O37" i="142"/>
  <c r="P75" i="142"/>
  <c r="Q75" i="142"/>
  <c r="H47" i="142"/>
  <c r="I47" i="142"/>
  <c r="P35" i="142"/>
  <c r="Q35" i="142"/>
  <c r="L51" i="142"/>
  <c r="M51" i="142"/>
  <c r="J44" i="142"/>
  <c r="K44" i="142"/>
  <c r="G46" i="142"/>
  <c r="G33" i="142"/>
  <c r="N54" i="142"/>
  <c r="O54" i="142"/>
  <c r="P56" i="142"/>
  <c r="Q56" i="142"/>
  <c r="P88" i="142"/>
  <c r="Q88" i="142"/>
  <c r="H74" i="142"/>
  <c r="I74" i="142"/>
  <c r="H72" i="142"/>
  <c r="I72" i="142"/>
  <c r="J47" i="142"/>
  <c r="K47" i="142"/>
  <c r="L50" i="142"/>
  <c r="M50" i="142"/>
  <c r="L44" i="142"/>
  <c r="M44" i="142"/>
  <c r="H46" i="142"/>
  <c r="I46" i="142"/>
  <c r="N65" i="142"/>
  <c r="O65" i="142"/>
  <c r="G32" i="142"/>
  <c r="J29" i="142"/>
  <c r="K29" i="142"/>
  <c r="H29" i="142"/>
  <c r="I29" i="142"/>
  <c r="L71" i="142"/>
  <c r="M71" i="142"/>
  <c r="N50" i="142"/>
  <c r="O50" i="142"/>
  <c r="P51" i="142"/>
  <c r="Q51" i="142"/>
  <c r="P65" i="142"/>
  <c r="Q65" i="142"/>
  <c r="L29" i="142"/>
  <c r="M29" i="142"/>
  <c r="L146" i="143"/>
  <c r="M146" i="143"/>
  <c r="J146" i="143"/>
  <c r="K146" i="143"/>
  <c r="P146" i="143"/>
  <c r="Q146" i="143"/>
  <c r="H146" i="143"/>
  <c r="I146" i="143"/>
  <c r="G146" i="143"/>
  <c r="L130" i="143"/>
  <c r="M130" i="143"/>
  <c r="J130" i="143"/>
  <c r="K130" i="143"/>
  <c r="P130" i="143"/>
  <c r="Q130" i="143"/>
  <c r="H130" i="143"/>
  <c r="I130" i="143"/>
  <c r="G130" i="143"/>
  <c r="N146" i="143"/>
  <c r="O146" i="143"/>
  <c r="L159" i="143"/>
  <c r="M159" i="143"/>
  <c r="J159" i="143"/>
  <c r="K159" i="143"/>
  <c r="P159" i="143"/>
  <c r="Q159" i="143"/>
  <c r="H159" i="143"/>
  <c r="I159" i="143"/>
  <c r="G159" i="143"/>
  <c r="N130" i="143"/>
  <c r="O130" i="143"/>
  <c r="J35" i="143"/>
  <c r="K35" i="143"/>
  <c r="L142" i="143"/>
  <c r="M142" i="143"/>
  <c r="H142" i="143"/>
  <c r="I142" i="143"/>
  <c r="N142" i="143"/>
  <c r="O142" i="143"/>
  <c r="N164" i="143"/>
  <c r="O164" i="143"/>
  <c r="J160" i="143"/>
  <c r="K160" i="143"/>
  <c r="P160" i="143"/>
  <c r="Q160" i="143"/>
  <c r="H160" i="143"/>
  <c r="I160" i="143"/>
  <c r="G160" i="143"/>
  <c r="G147" i="143"/>
  <c r="G144" i="143"/>
  <c r="G44" i="143"/>
  <c r="G49" i="143"/>
  <c r="G48" i="143"/>
  <c r="G43" i="143"/>
  <c r="G47" i="143"/>
  <c r="G53" i="143"/>
  <c r="G42" i="143"/>
  <c r="G52" i="143"/>
  <c r="G64" i="143"/>
  <c r="G69" i="143"/>
  <c r="G62" i="143"/>
  <c r="G68" i="143"/>
  <c r="G75" i="143"/>
  <c r="G65" i="143"/>
  <c r="G37" i="143"/>
  <c r="G128" i="143"/>
  <c r="G164" i="143"/>
  <c r="J126" i="143"/>
  <c r="K126" i="143"/>
  <c r="P126" i="143"/>
  <c r="Q126" i="143"/>
  <c r="H126" i="143"/>
  <c r="I126" i="143"/>
  <c r="G126" i="143"/>
  <c r="L98" i="143"/>
  <c r="M98" i="143"/>
  <c r="J86" i="143"/>
  <c r="K86" i="143"/>
  <c r="P86" i="143"/>
  <c r="Q86" i="143"/>
  <c r="H86" i="143"/>
  <c r="I86" i="143"/>
  <c r="G86" i="143"/>
  <c r="L88" i="143"/>
  <c r="M88" i="143"/>
  <c r="J60" i="143"/>
  <c r="K60" i="143"/>
  <c r="P60" i="143"/>
  <c r="Q60" i="143"/>
  <c r="H60" i="143"/>
  <c r="I60" i="143"/>
  <c r="G60" i="143"/>
  <c r="L160" i="143"/>
  <c r="M160" i="143"/>
  <c r="N147" i="143"/>
  <c r="O147" i="143"/>
  <c r="N75" i="143"/>
  <c r="O75" i="143"/>
  <c r="N65" i="143"/>
  <c r="O65" i="143"/>
  <c r="N128" i="143"/>
  <c r="O128" i="143"/>
  <c r="H147" i="143"/>
  <c r="I147" i="143"/>
  <c r="P147" i="143"/>
  <c r="Q147" i="143"/>
  <c r="H144" i="143"/>
  <c r="I144" i="143"/>
  <c r="P144" i="143"/>
  <c r="Q144" i="143"/>
  <c r="H44" i="143"/>
  <c r="I44" i="143"/>
  <c r="P44" i="143"/>
  <c r="Q44" i="143"/>
  <c r="H49" i="143"/>
  <c r="I49" i="143"/>
  <c r="H48" i="143"/>
  <c r="I48" i="143"/>
  <c r="P48" i="143"/>
  <c r="Q48" i="143"/>
  <c r="H43" i="143"/>
  <c r="I43" i="143"/>
  <c r="P43" i="143"/>
  <c r="Q43" i="143"/>
  <c r="H47" i="143"/>
  <c r="I47" i="143"/>
  <c r="P47" i="143"/>
  <c r="Q47" i="143"/>
  <c r="H53" i="143"/>
  <c r="I53" i="143"/>
  <c r="H42" i="143"/>
  <c r="I42" i="143"/>
  <c r="P42" i="143"/>
  <c r="Q42" i="143"/>
  <c r="H52" i="143"/>
  <c r="I52" i="143"/>
  <c r="P52" i="143"/>
  <c r="Q52" i="143"/>
  <c r="H64" i="143"/>
  <c r="I64" i="143"/>
  <c r="P64" i="143"/>
  <c r="Q64" i="143"/>
  <c r="H69" i="143"/>
  <c r="I69" i="143"/>
  <c r="H62" i="143"/>
  <c r="I62" i="143"/>
  <c r="P62" i="143"/>
  <c r="Q62" i="143"/>
  <c r="H68" i="143"/>
  <c r="I68" i="143"/>
  <c r="P68" i="143"/>
  <c r="Q68" i="143"/>
  <c r="H75" i="143"/>
  <c r="I75" i="143"/>
  <c r="P75" i="143"/>
  <c r="Q75" i="143"/>
  <c r="H65" i="143"/>
  <c r="I65" i="143"/>
  <c r="P65" i="143"/>
  <c r="Q65" i="143"/>
  <c r="P37" i="143"/>
  <c r="Q37" i="143"/>
  <c r="H128" i="143"/>
  <c r="I128" i="143"/>
  <c r="P128" i="143"/>
  <c r="Q128" i="143"/>
  <c r="H164" i="143"/>
  <c r="I164" i="143"/>
  <c r="P164" i="143"/>
  <c r="Q164" i="143"/>
  <c r="G136" i="143"/>
  <c r="N136" i="143"/>
  <c r="O136" i="143"/>
  <c r="L136" i="143"/>
  <c r="M136" i="143"/>
  <c r="J122" i="143"/>
  <c r="K122" i="143"/>
  <c r="P122" i="143"/>
  <c r="Q122" i="143"/>
  <c r="H122" i="143"/>
  <c r="I122" i="143"/>
  <c r="G122" i="143"/>
  <c r="P94" i="143"/>
  <c r="Q94" i="143"/>
  <c r="H94" i="143"/>
  <c r="I94" i="143"/>
  <c r="J111" i="143"/>
  <c r="K111" i="143"/>
  <c r="P111" i="143"/>
  <c r="Q111" i="143"/>
  <c r="H111" i="143"/>
  <c r="I111" i="143"/>
  <c r="G111" i="143"/>
  <c r="N160" i="143"/>
  <c r="O160" i="143"/>
  <c r="N144" i="143"/>
  <c r="O144" i="143"/>
  <c r="N43" i="143"/>
  <c r="O43" i="143"/>
  <c r="N52" i="143"/>
  <c r="O52" i="143"/>
  <c r="H136" i="143"/>
  <c r="I136" i="143"/>
  <c r="J121" i="143"/>
  <c r="K121" i="143"/>
  <c r="P121" i="143"/>
  <c r="Q121" i="143"/>
  <c r="H121" i="143"/>
  <c r="I121" i="143"/>
  <c r="G121" i="143"/>
  <c r="L122" i="143"/>
  <c r="M122" i="143"/>
  <c r="N126" i="143"/>
  <c r="O126" i="143"/>
  <c r="J92" i="143"/>
  <c r="K92" i="143"/>
  <c r="P92" i="143"/>
  <c r="Q92" i="143"/>
  <c r="H92" i="143"/>
  <c r="I92" i="143"/>
  <c r="G92" i="143"/>
  <c r="L94" i="143"/>
  <c r="M94" i="143"/>
  <c r="N86" i="143"/>
  <c r="O86" i="143"/>
  <c r="J99" i="143"/>
  <c r="K99" i="143"/>
  <c r="P99" i="143"/>
  <c r="Q99" i="143"/>
  <c r="H99" i="143"/>
  <c r="I99" i="143"/>
  <c r="G99" i="143"/>
  <c r="L111" i="143"/>
  <c r="M111" i="143"/>
  <c r="N60" i="143"/>
  <c r="O60" i="143"/>
  <c r="N47" i="143"/>
  <c r="O47" i="143"/>
  <c r="N37" i="143"/>
  <c r="O37" i="143"/>
  <c r="N29" i="143"/>
  <c r="O29" i="143"/>
  <c r="N39" i="143"/>
  <c r="O39" i="143"/>
  <c r="N155" i="143"/>
  <c r="O155" i="143"/>
  <c r="N140" i="143"/>
  <c r="O140" i="143"/>
  <c r="N143" i="143"/>
  <c r="O143" i="143"/>
  <c r="N141" i="143"/>
  <c r="O141" i="143"/>
  <c r="J147" i="143"/>
  <c r="K147" i="143"/>
  <c r="N145" i="143"/>
  <c r="O145" i="143"/>
  <c r="J144" i="143"/>
  <c r="K144" i="143"/>
  <c r="N41" i="143"/>
  <c r="O41" i="143"/>
  <c r="J44" i="143"/>
  <c r="K44" i="143"/>
  <c r="N46" i="143"/>
  <c r="O46" i="143"/>
  <c r="J49" i="143"/>
  <c r="K49" i="143"/>
  <c r="N51" i="143"/>
  <c r="O51" i="143"/>
  <c r="J48" i="143"/>
  <c r="K48" i="143"/>
  <c r="N55" i="143"/>
  <c r="O55" i="143"/>
  <c r="J43" i="143"/>
  <c r="K43" i="143"/>
  <c r="N45" i="143"/>
  <c r="O45" i="143"/>
  <c r="J47" i="143"/>
  <c r="K47" i="143"/>
  <c r="N40" i="143"/>
  <c r="O40" i="143"/>
  <c r="J53" i="143"/>
  <c r="K53" i="143"/>
  <c r="N54" i="143"/>
  <c r="O54" i="143"/>
  <c r="J42" i="143"/>
  <c r="K42" i="143"/>
  <c r="N50" i="143"/>
  <c r="O50" i="143"/>
  <c r="J52" i="143"/>
  <c r="K52" i="143"/>
  <c r="N63" i="143"/>
  <c r="O63" i="143"/>
  <c r="J64" i="143"/>
  <c r="K64" i="143"/>
  <c r="N67" i="143"/>
  <c r="O67" i="143"/>
  <c r="J69" i="143"/>
  <c r="K69" i="143"/>
  <c r="N73" i="143"/>
  <c r="O73" i="143"/>
  <c r="J62" i="143"/>
  <c r="K62" i="143"/>
  <c r="N66" i="143"/>
  <c r="O66" i="143"/>
  <c r="J68" i="143"/>
  <c r="K68" i="143"/>
  <c r="N72" i="143"/>
  <c r="O72" i="143"/>
  <c r="J75" i="143"/>
  <c r="K75" i="143"/>
  <c r="N61" i="143"/>
  <c r="O61" i="143"/>
  <c r="J65" i="143"/>
  <c r="K65" i="143"/>
  <c r="N117" i="143"/>
  <c r="O117" i="143"/>
  <c r="J37" i="143"/>
  <c r="K37" i="143"/>
  <c r="N157" i="143"/>
  <c r="O157" i="143"/>
  <c r="J128" i="143"/>
  <c r="K128" i="143"/>
  <c r="N116" i="143"/>
  <c r="O116" i="143"/>
  <c r="J164" i="143"/>
  <c r="K164" i="143"/>
  <c r="N165" i="143"/>
  <c r="O165" i="143"/>
  <c r="J136" i="143"/>
  <c r="K136" i="143"/>
  <c r="J125" i="143"/>
  <c r="K125" i="143"/>
  <c r="P125" i="143"/>
  <c r="Q125" i="143"/>
  <c r="H125" i="143"/>
  <c r="I125" i="143"/>
  <c r="G125" i="143"/>
  <c r="N122" i="143"/>
  <c r="O122" i="143"/>
  <c r="J90" i="143"/>
  <c r="K90" i="143"/>
  <c r="P90" i="143"/>
  <c r="Q90" i="143"/>
  <c r="H90" i="143"/>
  <c r="I90" i="143"/>
  <c r="G90" i="143"/>
  <c r="N94" i="143"/>
  <c r="O94" i="143"/>
  <c r="J95" i="143"/>
  <c r="K95" i="143"/>
  <c r="P95" i="143"/>
  <c r="Q95" i="143"/>
  <c r="H95" i="143"/>
  <c r="I95" i="143"/>
  <c r="G95" i="143"/>
  <c r="N111" i="143"/>
  <c r="O111" i="143"/>
  <c r="N42" i="143"/>
  <c r="O42" i="143"/>
  <c r="G29" i="143"/>
  <c r="G39" i="143"/>
  <c r="G155" i="143"/>
  <c r="G140" i="143"/>
  <c r="G143" i="143"/>
  <c r="G141" i="143"/>
  <c r="G145" i="143"/>
  <c r="G41" i="143"/>
  <c r="G46" i="143"/>
  <c r="G51" i="143"/>
  <c r="G55" i="143"/>
  <c r="G45" i="143"/>
  <c r="G40" i="143"/>
  <c r="G54" i="143"/>
  <c r="G50" i="143"/>
  <c r="G63" i="143"/>
  <c r="G67" i="143"/>
  <c r="G73" i="143"/>
  <c r="G66" i="143"/>
  <c r="G72" i="143"/>
  <c r="G61" i="143"/>
  <c r="G117" i="143"/>
  <c r="G157" i="143"/>
  <c r="G116" i="143"/>
  <c r="G165" i="143"/>
  <c r="P136" i="143"/>
  <c r="Q136" i="143"/>
  <c r="J137" i="143"/>
  <c r="K137" i="143"/>
  <c r="P137" i="143"/>
  <c r="Q137" i="143"/>
  <c r="H137" i="143"/>
  <c r="I137" i="143"/>
  <c r="G137" i="143"/>
  <c r="L125" i="143"/>
  <c r="M125" i="143"/>
  <c r="J84" i="143"/>
  <c r="K84" i="143"/>
  <c r="P84" i="143"/>
  <c r="Q84" i="143"/>
  <c r="H84" i="143"/>
  <c r="I84" i="143"/>
  <c r="G84" i="143"/>
  <c r="L90" i="143"/>
  <c r="M90" i="143"/>
  <c r="J57" i="143"/>
  <c r="K57" i="143"/>
  <c r="P57" i="143"/>
  <c r="Q57" i="143"/>
  <c r="H57" i="143"/>
  <c r="I57" i="143"/>
  <c r="G57" i="143"/>
  <c r="L95" i="143"/>
  <c r="M95" i="143"/>
  <c r="N44" i="143"/>
  <c r="O44" i="143"/>
  <c r="J98" i="143"/>
  <c r="K98" i="143"/>
  <c r="P98" i="143"/>
  <c r="Q98" i="143"/>
  <c r="H98" i="143"/>
  <c r="I98" i="143"/>
  <c r="G98" i="143"/>
  <c r="J88" i="143"/>
  <c r="K88" i="143"/>
  <c r="P88" i="143"/>
  <c r="Q88" i="143"/>
  <c r="H88" i="143"/>
  <c r="I88" i="143"/>
  <c r="G88" i="143"/>
  <c r="H29" i="143"/>
  <c r="I29" i="143"/>
  <c r="H39" i="143"/>
  <c r="I39" i="143"/>
  <c r="H155" i="143"/>
  <c r="I155" i="143"/>
  <c r="H140" i="143"/>
  <c r="I140" i="143"/>
  <c r="H143" i="143"/>
  <c r="I143" i="143"/>
  <c r="H141" i="143"/>
  <c r="I141" i="143"/>
  <c r="H145" i="143"/>
  <c r="I145" i="143"/>
  <c r="H41" i="143"/>
  <c r="I41" i="143"/>
  <c r="H46" i="143"/>
  <c r="I46" i="143"/>
  <c r="H51" i="143"/>
  <c r="I51" i="143"/>
  <c r="H55" i="143"/>
  <c r="I55" i="143"/>
  <c r="H45" i="143"/>
  <c r="I45" i="143"/>
  <c r="H40" i="143"/>
  <c r="I40" i="143"/>
  <c r="H54" i="143"/>
  <c r="I54" i="143"/>
  <c r="H50" i="143"/>
  <c r="I50" i="143"/>
  <c r="H63" i="143"/>
  <c r="I63" i="143"/>
  <c r="H67" i="143"/>
  <c r="I67" i="143"/>
  <c r="H73" i="143"/>
  <c r="I73" i="143"/>
  <c r="H66" i="143"/>
  <c r="I66" i="143"/>
  <c r="H72" i="143"/>
  <c r="I72" i="143"/>
  <c r="H61" i="143"/>
  <c r="I61" i="143"/>
  <c r="H117" i="143"/>
  <c r="I117" i="143"/>
  <c r="H157" i="143"/>
  <c r="I157" i="143"/>
  <c r="H116" i="143"/>
  <c r="I116" i="143"/>
  <c r="H165" i="143"/>
  <c r="I165" i="143"/>
  <c r="G135" i="143"/>
  <c r="L163" i="143"/>
  <c r="M163" i="143"/>
  <c r="P110" i="143"/>
  <c r="Q110" i="143"/>
  <c r="H110" i="143"/>
  <c r="I110" i="143"/>
  <c r="G110" i="143"/>
  <c r="J107" i="143"/>
  <c r="K107" i="143"/>
  <c r="P107" i="143"/>
  <c r="Q107" i="143"/>
  <c r="H107" i="143"/>
  <c r="I107" i="143"/>
  <c r="G107" i="143"/>
  <c r="L137" i="143"/>
  <c r="M137" i="143"/>
  <c r="N125" i="143"/>
  <c r="O125" i="143"/>
  <c r="J104" i="143"/>
  <c r="K104" i="143"/>
  <c r="P104" i="143"/>
  <c r="Q104" i="143"/>
  <c r="H104" i="143"/>
  <c r="I104" i="143"/>
  <c r="G104" i="143"/>
  <c r="L84" i="143"/>
  <c r="M84" i="143"/>
  <c r="N90" i="143"/>
  <c r="O90" i="143"/>
  <c r="J83" i="143"/>
  <c r="K83" i="143"/>
  <c r="P83" i="143"/>
  <c r="Q83" i="143"/>
  <c r="H83" i="143"/>
  <c r="I83" i="143"/>
  <c r="G83" i="143"/>
  <c r="L57" i="143"/>
  <c r="M57" i="143"/>
  <c r="N95" i="143"/>
  <c r="O95" i="143"/>
  <c r="H134" i="143"/>
  <c r="I134" i="143"/>
  <c r="N163" i="143"/>
  <c r="O163" i="143"/>
  <c r="J110" i="143"/>
  <c r="K110" i="143"/>
  <c r="L107" i="143"/>
  <c r="M107" i="143"/>
  <c r="N137" i="143"/>
  <c r="O137" i="143"/>
  <c r="J59" i="143"/>
  <c r="K59" i="143"/>
  <c r="P59" i="143"/>
  <c r="Q59" i="143"/>
  <c r="H59" i="143"/>
  <c r="I59" i="143"/>
  <c r="G59" i="143"/>
  <c r="L104" i="143"/>
  <c r="M104" i="143"/>
  <c r="N84" i="143"/>
  <c r="O84" i="143"/>
  <c r="J81" i="143"/>
  <c r="K81" i="143"/>
  <c r="P81" i="143"/>
  <c r="Q81" i="143"/>
  <c r="H81" i="143"/>
  <c r="I81" i="143"/>
  <c r="G81" i="143"/>
  <c r="L83" i="143"/>
  <c r="M83" i="143"/>
  <c r="N57" i="143"/>
  <c r="O57" i="143"/>
  <c r="N162" i="143"/>
  <c r="O162" i="143"/>
  <c r="N119" i="143"/>
  <c r="O119" i="143"/>
  <c r="L108" i="143"/>
  <c r="M108" i="143"/>
  <c r="L76" i="143"/>
  <c r="M76" i="143"/>
  <c r="L120" i="143"/>
  <c r="M120" i="143"/>
  <c r="L114" i="143"/>
  <c r="M114" i="143"/>
  <c r="L56" i="143"/>
  <c r="M56" i="143"/>
  <c r="L127" i="143"/>
  <c r="M127" i="143"/>
  <c r="L89" i="143"/>
  <c r="M89" i="143"/>
  <c r="L97" i="143"/>
  <c r="M97" i="143"/>
  <c r="L79" i="143"/>
  <c r="M79" i="143"/>
  <c r="L91" i="143"/>
  <c r="M91" i="143"/>
  <c r="L93" i="143"/>
  <c r="M93" i="143"/>
  <c r="L85" i="143"/>
  <c r="M85" i="143"/>
  <c r="L87" i="143"/>
  <c r="M87" i="143"/>
  <c r="L80" i="143"/>
  <c r="M80" i="143"/>
  <c r="L82" i="143"/>
  <c r="M82" i="143"/>
  <c r="L58" i="143"/>
  <c r="M58" i="143"/>
  <c r="L34" i="143"/>
  <c r="M34" i="143"/>
  <c r="L96" i="143"/>
  <c r="M96" i="143"/>
  <c r="L100" i="143"/>
  <c r="M100" i="143"/>
  <c r="L112" i="143"/>
  <c r="M112" i="143"/>
  <c r="L113" i="143"/>
  <c r="M113" i="143"/>
  <c r="L33" i="143"/>
  <c r="M33" i="143"/>
  <c r="N108" i="143"/>
  <c r="O108" i="143"/>
  <c r="N76" i="143"/>
  <c r="O76" i="143"/>
  <c r="N120" i="143"/>
  <c r="O120" i="143"/>
  <c r="N114" i="143"/>
  <c r="O114" i="143"/>
  <c r="N56" i="143"/>
  <c r="O56" i="143"/>
  <c r="N127" i="143"/>
  <c r="O127" i="143"/>
  <c r="N89" i="143"/>
  <c r="O89" i="143"/>
  <c r="N97" i="143"/>
  <c r="O97" i="143"/>
  <c r="N79" i="143"/>
  <c r="O79" i="143"/>
  <c r="N91" i="143"/>
  <c r="O91" i="143"/>
  <c r="N93" i="143"/>
  <c r="O93" i="143"/>
  <c r="N85" i="143"/>
  <c r="O85" i="143"/>
  <c r="N87" i="143"/>
  <c r="O87" i="143"/>
  <c r="N80" i="143"/>
  <c r="O80" i="143"/>
  <c r="N82" i="143"/>
  <c r="O82" i="143"/>
  <c r="N58" i="143"/>
  <c r="O58" i="143"/>
  <c r="N34" i="143"/>
  <c r="O34" i="143"/>
  <c r="N96" i="143"/>
  <c r="O96" i="143"/>
  <c r="N100" i="143"/>
  <c r="O100" i="143"/>
  <c r="N112" i="143"/>
  <c r="O112" i="143"/>
  <c r="N113" i="143"/>
  <c r="O113" i="143"/>
  <c r="N33" i="143"/>
  <c r="O33" i="143"/>
  <c r="P81" i="142"/>
  <c r="Q81" i="142"/>
  <c r="P57" i="142"/>
  <c r="Q57" i="142"/>
  <c r="P39" i="142"/>
  <c r="Q39" i="142"/>
  <c r="G39" i="142"/>
  <c r="L39" i="142"/>
  <c r="M39" i="142"/>
  <c r="G81" i="142"/>
  <c r="H67" i="142"/>
  <c r="I67" i="142"/>
  <c r="G57" i="142"/>
  <c r="P48" i="142"/>
  <c r="Q48" i="142"/>
  <c r="H43" i="142"/>
  <c r="I43" i="142"/>
  <c r="H58" i="142"/>
  <c r="I58" i="142"/>
  <c r="H39" i="142"/>
  <c r="I39" i="142"/>
  <c r="N29" i="142"/>
  <c r="O29" i="142"/>
  <c r="N36" i="142"/>
  <c r="O36" i="142"/>
  <c r="N85" i="142"/>
  <c r="O85" i="142"/>
  <c r="N68" i="142"/>
  <c r="O68" i="142"/>
  <c r="N78" i="142"/>
  <c r="O78" i="142"/>
  <c r="N59" i="142"/>
  <c r="O59" i="142"/>
  <c r="N73" i="142"/>
  <c r="O73" i="142"/>
  <c r="N63" i="142"/>
  <c r="O63" i="142"/>
  <c r="N79" i="142"/>
  <c r="O79" i="142"/>
  <c r="N69" i="142"/>
  <c r="O69" i="142"/>
  <c r="N64" i="142"/>
  <c r="O64" i="142"/>
  <c r="N61" i="142"/>
  <c r="O61" i="142"/>
  <c r="H81" i="142"/>
  <c r="I81" i="142"/>
  <c r="P37" i="142"/>
  <c r="Q37" i="142"/>
  <c r="H57" i="142"/>
  <c r="I57" i="142"/>
  <c r="P45" i="142"/>
  <c r="Q45" i="142"/>
  <c r="G29" i="142"/>
  <c r="G36" i="142"/>
  <c r="G85" i="142"/>
  <c r="G68" i="142"/>
  <c r="G78" i="142"/>
  <c r="G59" i="142"/>
  <c r="G73" i="142"/>
  <c r="G63" i="142"/>
  <c r="G79" i="142"/>
  <c r="G69" i="142"/>
  <c r="G64" i="142"/>
  <c r="G61" i="142"/>
  <c r="J81" i="142"/>
  <c r="K81" i="142"/>
  <c r="G37" i="142"/>
  <c r="P38" i="142"/>
  <c r="Q38" i="142"/>
  <c r="L42" i="142"/>
  <c r="M42" i="142"/>
  <c r="H48" i="142"/>
  <c r="I48" i="142"/>
  <c r="G45" i="142"/>
  <c r="N53" i="142"/>
  <c r="O53" i="142"/>
  <c r="J39" i="142"/>
  <c r="K39" i="142"/>
  <c r="P29" i="142"/>
  <c r="Q29" i="142"/>
  <c r="H36" i="142"/>
  <c r="I36" i="142"/>
  <c r="P36" i="142"/>
  <c r="Q36" i="142"/>
  <c r="L86" i="142"/>
  <c r="M86" i="142"/>
  <c r="H85" i="142"/>
  <c r="I85" i="142"/>
  <c r="P85" i="142"/>
  <c r="Q85" i="142"/>
  <c r="L40" i="142"/>
  <c r="M40" i="142"/>
  <c r="H68" i="142"/>
  <c r="I68" i="142"/>
  <c r="P68" i="142"/>
  <c r="Q68" i="142"/>
  <c r="L34" i="142"/>
  <c r="M34" i="142"/>
  <c r="H78" i="142"/>
  <c r="I78" i="142"/>
  <c r="P78" i="142"/>
  <c r="Q78" i="142"/>
  <c r="H59" i="142"/>
  <c r="I59" i="142"/>
  <c r="P59" i="142"/>
  <c r="Q59" i="142"/>
  <c r="L84" i="142"/>
  <c r="M84" i="142"/>
  <c r="H73" i="142"/>
  <c r="I73" i="142"/>
  <c r="P73" i="142"/>
  <c r="Q73" i="142"/>
  <c r="L88" i="142"/>
  <c r="M88" i="142"/>
  <c r="H63" i="142"/>
  <c r="I63" i="142"/>
  <c r="P63" i="142"/>
  <c r="Q63" i="142"/>
  <c r="L83" i="142"/>
  <c r="M83" i="142"/>
  <c r="H79" i="142"/>
  <c r="I79" i="142"/>
  <c r="P79" i="142"/>
  <c r="Q79" i="142"/>
  <c r="L87" i="142"/>
  <c r="M87" i="142"/>
  <c r="H69" i="142"/>
  <c r="I69" i="142"/>
  <c r="P69" i="142"/>
  <c r="Q69" i="142"/>
  <c r="L60" i="142"/>
  <c r="M60" i="142"/>
  <c r="H64" i="142"/>
  <c r="I64" i="142"/>
  <c r="P64" i="142"/>
  <c r="Q64" i="142"/>
  <c r="L80" i="142"/>
  <c r="M80" i="142"/>
  <c r="H61" i="142"/>
  <c r="I61" i="142"/>
  <c r="P61" i="142"/>
  <c r="Q61" i="142"/>
  <c r="P70" i="142"/>
  <c r="Q70" i="142"/>
  <c r="L67" i="142"/>
  <c r="M67" i="142"/>
  <c r="H37" i="142"/>
  <c r="I37" i="142"/>
  <c r="N42" i="142"/>
  <c r="O42" i="142"/>
  <c r="P50" i="142"/>
  <c r="Q50" i="142"/>
  <c r="L43" i="142"/>
  <c r="M43" i="142"/>
  <c r="H45" i="142"/>
  <c r="I45" i="142"/>
  <c r="N58" i="142"/>
  <c r="O58" i="142"/>
  <c r="L81" i="142"/>
  <c r="M81" i="142"/>
  <c r="G70" i="142"/>
  <c r="N67" i="142"/>
  <c r="O67" i="142"/>
  <c r="P76" i="142"/>
  <c r="Q76" i="142"/>
  <c r="L57" i="142"/>
  <c r="M57" i="142"/>
  <c r="H38" i="142"/>
  <c r="I38" i="142"/>
  <c r="G50" i="142"/>
  <c r="N43" i="142"/>
  <c r="O43" i="142"/>
  <c r="N39" i="142"/>
  <c r="O39" i="142"/>
  <c r="N57" i="142"/>
  <c r="O57" i="142"/>
  <c r="P42" i="142"/>
  <c r="Q42" i="142"/>
  <c r="L48" i="142"/>
  <c r="M48" i="142"/>
  <c r="P58" i="142"/>
  <c r="Q58" i="142"/>
  <c r="P67" i="142"/>
  <c r="Q67" i="142"/>
  <c r="L37" i="142"/>
  <c r="M37" i="142"/>
  <c r="P43" i="142"/>
  <c r="Q43" i="142"/>
  <c r="L45" i="142"/>
  <c r="M45" i="142"/>
  <c r="L32" i="142"/>
  <c r="M32" i="142"/>
  <c r="H44" i="104"/>
  <c r="J44" i="104"/>
  <c r="K44" i="104"/>
  <c r="L44" i="104"/>
  <c r="M44" i="104"/>
  <c r="N44" i="104"/>
  <c r="O44" i="104"/>
  <c r="O49" i="104"/>
  <c r="G49" i="104"/>
  <c r="I44" i="104"/>
  <c r="M49" i="104"/>
  <c r="K41" i="104"/>
  <c r="K49" i="104"/>
  <c r="I41" i="104"/>
  <c r="L41" i="116"/>
  <c r="M41" i="116"/>
  <c r="M46" i="116"/>
  <c r="I46" i="116"/>
  <c r="J39" i="2"/>
  <c r="K39" i="2" s="1"/>
  <c r="N45" i="2"/>
  <c r="O45" i="2"/>
  <c r="O49" i="2" a="1"/>
  <c r="G49" i="2" a="1"/>
  <c r="L45" i="2"/>
  <c r="M45" i="2"/>
  <c r="J45" i="2"/>
  <c r="K45" i="2"/>
  <c r="L48" i="2"/>
  <c r="M48" i="2"/>
  <c r="L46" i="2"/>
  <c r="M46" i="2"/>
  <c r="H45" i="2"/>
  <c r="I45" i="2"/>
  <c r="J46" i="2"/>
  <c r="K46" i="2"/>
  <c r="H46" i="2"/>
  <c r="I46" i="2"/>
  <c r="H48" i="2"/>
  <c r="I48" i="2"/>
  <c r="H47" i="2"/>
  <c r="I47" i="2"/>
  <c r="G47" i="2"/>
  <c r="I49" i="104"/>
  <c r="I49" i="2" a="1"/>
  <c r="K49" i="2" a="1"/>
  <c r="M49" i="2" a="1"/>
  <c r="G46" i="116"/>
  <c r="K46" i="116"/>
  <c r="P32" i="110"/>
  <c r="Q32" i="110"/>
  <c r="H32" i="110"/>
  <c r="I32" i="110"/>
  <c r="L31" i="110"/>
  <c r="M31" i="110"/>
  <c r="P30" i="110"/>
  <c r="Q30" i="110"/>
  <c r="H30" i="110"/>
  <c r="I30" i="110"/>
  <c r="L29" i="110"/>
  <c r="M29" i="110"/>
  <c r="P28" i="110"/>
  <c r="Q28" i="110"/>
  <c r="H28" i="110"/>
  <c r="I28" i="110"/>
  <c r="L27" i="110"/>
  <c r="M27" i="110"/>
  <c r="P26" i="110"/>
  <c r="Q26" i="110"/>
  <c r="H26" i="110"/>
  <c r="I26" i="110"/>
  <c r="L25" i="110"/>
  <c r="M25" i="110"/>
  <c r="P24" i="110"/>
  <c r="Q24" i="110"/>
  <c r="H24" i="110"/>
  <c r="I24" i="110"/>
  <c r="L23" i="110"/>
  <c r="M23" i="110"/>
  <c r="P22" i="110"/>
  <c r="Q22" i="110"/>
  <c r="H22" i="110"/>
  <c r="I22" i="110"/>
  <c r="L21" i="110"/>
  <c r="M21" i="110"/>
  <c r="P20" i="110"/>
  <c r="Q20" i="110"/>
  <c r="H20" i="110"/>
  <c r="I20" i="110"/>
  <c r="G32" i="110"/>
  <c r="G30" i="110"/>
  <c r="G28" i="110"/>
  <c r="G26" i="110"/>
  <c r="G24" i="110"/>
  <c r="G22" i="110"/>
  <c r="G20" i="110"/>
  <c r="J31" i="110"/>
  <c r="K31" i="110"/>
  <c r="J29" i="110"/>
  <c r="K29" i="110"/>
  <c r="J27" i="110"/>
  <c r="K27" i="110"/>
  <c r="J25" i="110"/>
  <c r="K25" i="110"/>
  <c r="J23" i="110"/>
  <c r="K23" i="110"/>
  <c r="J21" i="110"/>
  <c r="K21" i="110"/>
  <c r="P31" i="110"/>
  <c r="Q31" i="110"/>
  <c r="P29" i="110"/>
  <c r="Q29" i="110"/>
  <c r="P27" i="110"/>
  <c r="Q27" i="110"/>
  <c r="P25" i="110"/>
  <c r="Q25" i="110"/>
  <c r="P23" i="110"/>
  <c r="Q23" i="110"/>
  <c r="P21" i="110"/>
  <c r="Q21" i="110"/>
  <c r="N28" i="109"/>
  <c r="O28" i="109"/>
  <c r="L28" i="109"/>
  <c r="M28" i="109"/>
  <c r="N25" i="109"/>
  <c r="O25" i="109"/>
  <c r="J25" i="109"/>
  <c r="K25" i="109"/>
  <c r="P27" i="109"/>
  <c r="Q27" i="109"/>
  <c r="H25" i="109"/>
  <c r="I25" i="109"/>
  <c r="L30" i="109"/>
  <c r="M30" i="109"/>
  <c r="N27" i="109"/>
  <c r="O27" i="109"/>
  <c r="N32" i="109"/>
  <c r="O32" i="109"/>
  <c r="G29" i="109"/>
  <c r="J27" i="109"/>
  <c r="K27" i="109"/>
  <c r="G27" i="109"/>
  <c r="P29" i="109"/>
  <c r="Q29" i="109"/>
  <c r="N20" i="109"/>
  <c r="O20" i="109"/>
  <c r="N26" i="109"/>
  <c r="O26" i="109"/>
  <c r="L20" i="109"/>
  <c r="M20" i="109"/>
  <c r="N31" i="109"/>
  <c r="O31" i="109"/>
  <c r="N29" i="109"/>
  <c r="O29" i="109"/>
  <c r="L26" i="109"/>
  <c r="M26" i="109"/>
  <c r="L31" i="109"/>
  <c r="M31" i="109"/>
  <c r="J29" i="109"/>
  <c r="K29" i="109"/>
  <c r="L23" i="109"/>
  <c r="M23" i="109"/>
  <c r="J31" i="109"/>
  <c r="K31" i="109"/>
  <c r="J30" i="109"/>
  <c r="K30" i="109"/>
  <c r="J28" i="109"/>
  <c r="K28" i="109"/>
  <c r="J26" i="109"/>
  <c r="K26" i="109"/>
  <c r="J24" i="109"/>
  <c r="K24" i="109"/>
  <c r="N21" i="109"/>
  <c r="O21" i="109"/>
  <c r="J20" i="109"/>
  <c r="K20" i="109"/>
  <c r="K33" i="109"/>
  <c r="P31" i="109"/>
  <c r="Q31" i="109"/>
  <c r="H31" i="109"/>
  <c r="I31" i="109"/>
  <c r="P30" i="109"/>
  <c r="Q30" i="109"/>
  <c r="P28" i="109"/>
  <c r="Q28" i="109"/>
  <c r="H28" i="109"/>
  <c r="I28" i="109"/>
  <c r="P26" i="109"/>
  <c r="Q26" i="109"/>
  <c r="H26" i="109"/>
  <c r="I26" i="109"/>
  <c r="P24" i="109"/>
  <c r="Q24" i="109"/>
  <c r="H24" i="109"/>
  <c r="I24" i="109"/>
  <c r="P20" i="109"/>
  <c r="Q20" i="109"/>
  <c r="Q33" i="109"/>
  <c r="H20" i="109"/>
  <c r="I20" i="109"/>
  <c r="N23" i="109"/>
  <c r="O23" i="109"/>
  <c r="G23" i="109"/>
  <c r="N22" i="109"/>
  <c r="O22" i="109"/>
  <c r="H23" i="109"/>
  <c r="I23" i="109"/>
  <c r="P22" i="109"/>
  <c r="Q22" i="109"/>
  <c r="H22" i="109"/>
  <c r="I22" i="109"/>
  <c r="G22" i="109"/>
  <c r="L22" i="109"/>
  <c r="M22" i="109"/>
  <c r="L21" i="109"/>
  <c r="M21" i="109"/>
  <c r="J21" i="109"/>
  <c r="K21" i="109"/>
  <c r="P21" i="109"/>
  <c r="Q21" i="109"/>
  <c r="H21" i="109"/>
  <c r="I21" i="109"/>
  <c r="N17" i="109"/>
  <c r="O17" i="109"/>
  <c r="L17" i="109"/>
  <c r="M17" i="109"/>
  <c r="J17" i="109"/>
  <c r="K17" i="109"/>
  <c r="P17" i="109"/>
  <c r="Q17" i="109"/>
  <c r="H17" i="109"/>
  <c r="I17" i="109"/>
  <c r="P17" i="110"/>
  <c r="Q17" i="110"/>
  <c r="Q33" i="110"/>
  <c r="H17" i="110"/>
  <c r="I17" i="110"/>
  <c r="I33" i="110"/>
  <c r="G17" i="110"/>
  <c r="G33" i="110"/>
  <c r="N17" i="110"/>
  <c r="O17" i="110"/>
  <c r="O33" i="110"/>
  <c r="L17" i="110"/>
  <c r="M17" i="110"/>
  <c r="M33" i="110"/>
  <c r="K35" i="19"/>
  <c r="K41" i="19" s="1"/>
  <c r="K41" i="20"/>
  <c r="K55" i="20"/>
  <c r="J76" i="136"/>
  <c r="K76" i="136"/>
  <c r="H76" i="136"/>
  <c r="I76" i="136"/>
  <c r="G76" i="136"/>
  <c r="L79" i="46"/>
  <c r="M79" i="46"/>
  <c r="H78" i="128"/>
  <c r="I78" i="128"/>
  <c r="G78" i="128"/>
  <c r="L78" i="128"/>
  <c r="M78" i="128"/>
  <c r="J43" i="115"/>
  <c r="J46" i="115"/>
  <c r="J52" i="113"/>
  <c r="J38" i="113"/>
  <c r="J55" i="113"/>
  <c r="J51" i="113"/>
  <c r="J42" i="113"/>
  <c r="L46" i="145"/>
  <c r="M46" i="145"/>
  <c r="N46" i="145"/>
  <c r="O46" i="145"/>
  <c r="K49" i="145" a="1"/>
  <c r="J48" i="145"/>
  <c r="K48" i="145"/>
  <c r="L48" i="145"/>
  <c r="M48" i="145"/>
  <c r="L42" i="145"/>
  <c r="M42" i="145"/>
  <c r="G47" i="145"/>
  <c r="L39" i="145"/>
  <c r="M39" i="145"/>
  <c r="M49" i="145" s="1"/>
  <c r="J42" i="145"/>
  <c r="K42" i="145"/>
  <c r="L47" i="145"/>
  <c r="M47" i="145"/>
  <c r="G39" i="145"/>
  <c r="N39" i="145"/>
  <c r="O39" i="145"/>
  <c r="N47" i="145"/>
  <c r="O47" i="145"/>
  <c r="H39" i="145"/>
  <c r="I39" i="145"/>
  <c r="N42" i="145"/>
  <c r="O42" i="145"/>
  <c r="H47" i="145"/>
  <c r="I47" i="145"/>
  <c r="N48" i="145"/>
  <c r="O48" i="145"/>
  <c r="G48" i="145"/>
  <c r="G49" i="145" a="1"/>
  <c r="M49" i="145" a="1"/>
  <c r="I49" i="145" a="1"/>
  <c r="O49" i="145" a="1"/>
  <c r="N58" i="63"/>
  <c r="O58" i="63"/>
  <c r="J56" i="63"/>
  <c r="K56" i="63"/>
  <c r="G54" i="63"/>
  <c r="N44" i="63"/>
  <c r="O44" i="63"/>
  <c r="J42" i="63"/>
  <c r="K42" i="63"/>
  <c r="J40" i="63"/>
  <c r="K40" i="63"/>
  <c r="N38" i="63"/>
  <c r="O38" i="63"/>
  <c r="N60" i="63"/>
  <c r="O60" i="63"/>
  <c r="J58" i="63"/>
  <c r="K58" i="63"/>
  <c r="G56" i="63"/>
  <c r="N46" i="63"/>
  <c r="O46" i="63"/>
  <c r="J44" i="63"/>
  <c r="K44" i="63"/>
  <c r="G42" i="63"/>
  <c r="G40" i="63"/>
  <c r="G89" i="63"/>
  <c r="J62" i="63"/>
  <c r="K62" i="63"/>
  <c r="N57" i="63"/>
  <c r="O57" i="63"/>
  <c r="J50" i="63"/>
  <c r="K50" i="63"/>
  <c r="G48" i="63"/>
  <c r="N43" i="63"/>
  <c r="O43" i="63"/>
  <c r="N40" i="63"/>
  <c r="O40" i="63"/>
  <c r="N56" i="63"/>
  <c r="O56" i="63"/>
  <c r="N42" i="63"/>
  <c r="O42" i="63"/>
  <c r="G37" i="63"/>
  <c r="H92" i="63"/>
  <c r="I92" i="63"/>
  <c r="H80" i="63"/>
  <c r="I80" i="63"/>
  <c r="P80" i="63"/>
  <c r="Q80" i="63"/>
  <c r="L80" i="63"/>
  <c r="M80" i="63"/>
  <c r="H76" i="63"/>
  <c r="I76" i="63"/>
  <c r="P76" i="63"/>
  <c r="Q76" i="63"/>
  <c r="L76" i="63"/>
  <c r="M76" i="63"/>
  <c r="H72" i="63"/>
  <c r="I72" i="63"/>
  <c r="P72" i="63"/>
  <c r="Q72" i="63"/>
  <c r="L72" i="63"/>
  <c r="M72" i="63"/>
  <c r="H68" i="63"/>
  <c r="I68" i="63"/>
  <c r="P68" i="63"/>
  <c r="Q68" i="63"/>
  <c r="L68" i="63"/>
  <c r="M68" i="63"/>
  <c r="P92" i="63"/>
  <c r="Q92" i="63"/>
  <c r="G92" i="63"/>
  <c r="J91" i="63"/>
  <c r="K91" i="63"/>
  <c r="J83" i="63"/>
  <c r="K83" i="63"/>
  <c r="L61" i="63"/>
  <c r="M61" i="63"/>
  <c r="G61" i="63"/>
  <c r="H61" i="63"/>
  <c r="I61" i="63"/>
  <c r="P61" i="63"/>
  <c r="Q61" i="63"/>
  <c r="J61" i="63"/>
  <c r="K61" i="63"/>
  <c r="L81" i="63"/>
  <c r="M81" i="63"/>
  <c r="G81" i="63"/>
  <c r="H81" i="63"/>
  <c r="I81" i="63"/>
  <c r="P81" i="63"/>
  <c r="Q81" i="63"/>
  <c r="L77" i="63"/>
  <c r="M77" i="63"/>
  <c r="G77" i="63"/>
  <c r="H77" i="63"/>
  <c r="I77" i="63"/>
  <c r="P77" i="63"/>
  <c r="Q77" i="63"/>
  <c r="L73" i="63"/>
  <c r="M73" i="63"/>
  <c r="G73" i="63"/>
  <c r="H73" i="63"/>
  <c r="I73" i="63"/>
  <c r="P73" i="63"/>
  <c r="Q73" i="63"/>
  <c r="L69" i="63"/>
  <c r="M69" i="63"/>
  <c r="L65" i="63"/>
  <c r="M65" i="63"/>
  <c r="G65" i="63"/>
  <c r="H65" i="63"/>
  <c r="I65" i="63"/>
  <c r="P65" i="63"/>
  <c r="Q65" i="63"/>
  <c r="N92" i="63"/>
  <c r="O92" i="63"/>
  <c r="J90" i="63"/>
  <c r="K90" i="63"/>
  <c r="H91" i="63"/>
  <c r="I91" i="63"/>
  <c r="P91" i="63"/>
  <c r="Q91" i="63"/>
  <c r="L86" i="63"/>
  <c r="M86" i="63"/>
  <c r="L83" i="63"/>
  <c r="M83" i="63"/>
  <c r="H83" i="63"/>
  <c r="I83" i="63"/>
  <c r="P83" i="63"/>
  <c r="Q83" i="63"/>
  <c r="N80" i="63"/>
  <c r="O80" i="63"/>
  <c r="H78" i="63"/>
  <c r="I78" i="63"/>
  <c r="P78" i="63"/>
  <c r="Q78" i="63"/>
  <c r="L78" i="63"/>
  <c r="M78" i="63"/>
  <c r="N76" i="63"/>
  <c r="O76" i="63"/>
  <c r="H74" i="63"/>
  <c r="I74" i="63"/>
  <c r="P74" i="63"/>
  <c r="Q74" i="63"/>
  <c r="L74" i="63"/>
  <c r="M74" i="63"/>
  <c r="N72" i="63"/>
  <c r="O72" i="63"/>
  <c r="H70" i="63"/>
  <c r="I70" i="63"/>
  <c r="P70" i="63"/>
  <c r="Q70" i="63"/>
  <c r="L70" i="63"/>
  <c r="M70" i="63"/>
  <c r="N68" i="63"/>
  <c r="O68" i="63"/>
  <c r="H66" i="63"/>
  <c r="I66" i="63"/>
  <c r="P66" i="63"/>
  <c r="Q66" i="63"/>
  <c r="L66" i="63"/>
  <c r="M66" i="63"/>
  <c r="N64" i="63"/>
  <c r="O64" i="63"/>
  <c r="N91" i="63"/>
  <c r="O91" i="63"/>
  <c r="H88" i="63"/>
  <c r="I88" i="63"/>
  <c r="P88" i="63"/>
  <c r="Q88" i="63"/>
  <c r="L88" i="63"/>
  <c r="M88" i="63"/>
  <c r="L87" i="63"/>
  <c r="M87" i="63"/>
  <c r="H87" i="63"/>
  <c r="I87" i="63"/>
  <c r="P87" i="63"/>
  <c r="Q87" i="63"/>
  <c r="J92" i="63"/>
  <c r="K92" i="63"/>
  <c r="N81" i="63"/>
  <c r="O81" i="63"/>
  <c r="J80" i="63"/>
  <c r="K80" i="63"/>
  <c r="L79" i="63"/>
  <c r="M79" i="63"/>
  <c r="G79" i="63"/>
  <c r="H79" i="63"/>
  <c r="I79" i="63"/>
  <c r="P79" i="63"/>
  <c r="Q79" i="63"/>
  <c r="N77" i="63"/>
  <c r="O77" i="63"/>
  <c r="J76" i="63"/>
  <c r="K76" i="63"/>
  <c r="N73" i="63"/>
  <c r="O73" i="63"/>
  <c r="J72" i="63"/>
  <c r="K72" i="63"/>
  <c r="L71" i="63"/>
  <c r="M71" i="63"/>
  <c r="G71" i="63"/>
  <c r="H71" i="63"/>
  <c r="I71" i="63"/>
  <c r="P71" i="63"/>
  <c r="Q71" i="63"/>
  <c r="J68" i="63"/>
  <c r="K68" i="63"/>
  <c r="L67" i="63"/>
  <c r="M67" i="63"/>
  <c r="G67" i="63"/>
  <c r="H67" i="63"/>
  <c r="I67" i="63"/>
  <c r="P67" i="63"/>
  <c r="Q67" i="63"/>
  <c r="N65" i="63"/>
  <c r="O65" i="63"/>
  <c r="L63" i="63"/>
  <c r="M63" i="63"/>
  <c r="G63" i="63"/>
  <c r="H63" i="63"/>
  <c r="I63" i="63"/>
  <c r="P63" i="63"/>
  <c r="Q63" i="63"/>
  <c r="N61" i="63"/>
  <c r="O61" i="63"/>
  <c r="L91" i="63"/>
  <c r="M91" i="63"/>
  <c r="N83" i="63"/>
  <c r="O83" i="63"/>
  <c r="G80" i="63"/>
  <c r="G76" i="63"/>
  <c r="G72" i="63"/>
  <c r="G68" i="63"/>
  <c r="J59" i="63"/>
  <c r="K59" i="63"/>
  <c r="J57" i="63"/>
  <c r="K57" i="63"/>
  <c r="J55" i="63"/>
  <c r="K55" i="63"/>
  <c r="J53" i="63"/>
  <c r="K53" i="63"/>
  <c r="J51" i="63"/>
  <c r="K51" i="63"/>
  <c r="J47" i="63"/>
  <c r="K47" i="63"/>
  <c r="J45" i="63"/>
  <c r="K45" i="63"/>
  <c r="J43" i="63"/>
  <c r="K43" i="63"/>
  <c r="J41" i="63"/>
  <c r="K41" i="63"/>
  <c r="J39" i="63"/>
  <c r="K39" i="63"/>
  <c r="J37" i="63"/>
  <c r="K37" i="63"/>
  <c r="J33" i="63"/>
  <c r="K33" i="63"/>
  <c r="L62" i="63"/>
  <c r="M62" i="63"/>
  <c r="L60" i="63"/>
  <c r="M60" i="63"/>
  <c r="P59" i="63"/>
  <c r="Q59" i="63"/>
  <c r="H59" i="63"/>
  <c r="I59" i="63"/>
  <c r="L58" i="63"/>
  <c r="M58" i="63"/>
  <c r="P57" i="63"/>
  <c r="Q57" i="63"/>
  <c r="H57" i="63"/>
  <c r="I57" i="63"/>
  <c r="L56" i="63"/>
  <c r="M56" i="63"/>
  <c r="P55" i="63"/>
  <c r="Q55" i="63"/>
  <c r="H55" i="63"/>
  <c r="I55" i="63"/>
  <c r="L54" i="63"/>
  <c r="M54" i="63"/>
  <c r="P53" i="63"/>
  <c r="Q53" i="63"/>
  <c r="H53" i="63"/>
  <c r="I53" i="63"/>
  <c r="P51" i="63"/>
  <c r="Q51" i="63"/>
  <c r="H51" i="63"/>
  <c r="I51" i="63"/>
  <c r="L50" i="63"/>
  <c r="M50" i="63"/>
  <c r="L48" i="63"/>
  <c r="M48" i="63"/>
  <c r="P47" i="63"/>
  <c r="Q47" i="63"/>
  <c r="H47" i="63"/>
  <c r="I47" i="63"/>
  <c r="L46" i="63"/>
  <c r="M46" i="63"/>
  <c r="P45" i="63"/>
  <c r="Q45" i="63"/>
  <c r="H45" i="63"/>
  <c r="I45" i="63"/>
  <c r="L44" i="63"/>
  <c r="M44" i="63"/>
  <c r="P43" i="63"/>
  <c r="Q43" i="63"/>
  <c r="H43" i="63"/>
  <c r="I43" i="63"/>
  <c r="L42" i="63"/>
  <c r="M42" i="63"/>
  <c r="P41" i="63"/>
  <c r="Q41" i="63"/>
  <c r="H41" i="63"/>
  <c r="I41" i="63"/>
  <c r="L40" i="63"/>
  <c r="M40" i="63"/>
  <c r="P39" i="63"/>
  <c r="Q39" i="63"/>
  <c r="H39" i="63"/>
  <c r="I39" i="63"/>
  <c r="L38" i="63"/>
  <c r="M38" i="63"/>
  <c r="P37" i="63"/>
  <c r="Q37" i="63"/>
  <c r="H37" i="63"/>
  <c r="I37" i="63"/>
  <c r="P33" i="63"/>
  <c r="Q33" i="63"/>
  <c r="H33" i="63"/>
  <c r="I33" i="63"/>
  <c r="G59" i="63"/>
  <c r="G57" i="63"/>
  <c r="G55" i="63"/>
  <c r="G53" i="63"/>
  <c r="G51" i="63"/>
  <c r="G47" i="63"/>
  <c r="G45" i="63"/>
  <c r="G43" i="63"/>
  <c r="G41" i="63"/>
  <c r="G33" i="63"/>
  <c r="P62" i="63"/>
  <c r="Q62" i="63"/>
  <c r="P60" i="63"/>
  <c r="Q60" i="63"/>
  <c r="P58" i="63"/>
  <c r="Q58" i="63"/>
  <c r="P56" i="63"/>
  <c r="Q56" i="63"/>
  <c r="P54" i="63"/>
  <c r="Q54" i="63"/>
  <c r="P50" i="63"/>
  <c r="Q50" i="63"/>
  <c r="P48" i="63"/>
  <c r="Q48" i="63"/>
  <c r="P46" i="63"/>
  <c r="Q46" i="63"/>
  <c r="P44" i="63"/>
  <c r="Q44" i="63"/>
  <c r="P42" i="63"/>
  <c r="Q42" i="63"/>
  <c r="P40" i="63"/>
  <c r="Q40" i="63"/>
  <c r="P38" i="63"/>
  <c r="Q38" i="63"/>
  <c r="N29" i="83"/>
  <c r="O29" i="83"/>
  <c r="J33" i="106"/>
  <c r="L21" i="134"/>
  <c r="M21" i="134"/>
  <c r="P20" i="134"/>
  <c r="Q20" i="134"/>
  <c r="H20" i="134"/>
  <c r="I20" i="134"/>
  <c r="G20" i="134"/>
  <c r="J21" i="134"/>
  <c r="K21" i="134"/>
  <c r="O22" i="134"/>
  <c r="M22" i="134"/>
  <c r="G22" i="134"/>
  <c r="J17" i="134"/>
  <c r="K17" i="134"/>
  <c r="P17" i="134"/>
  <c r="Q17" i="134"/>
  <c r="Q22" i="134"/>
  <c r="H17" i="134"/>
  <c r="I17" i="134"/>
  <c r="I22" i="134"/>
  <c r="P17" i="133"/>
  <c r="Q17" i="133"/>
  <c r="Q20" i="133"/>
  <c r="H17" i="133"/>
  <c r="I17" i="133"/>
  <c r="I20" i="133"/>
  <c r="G17" i="133"/>
  <c r="G20" i="133"/>
  <c r="L17" i="133"/>
  <c r="M17" i="133"/>
  <c r="M20" i="133"/>
  <c r="G35" i="112"/>
  <c r="G33" i="112"/>
  <c r="G31" i="112"/>
  <c r="G29" i="112"/>
  <c r="G27" i="112"/>
  <c r="G25" i="112"/>
  <c r="G23" i="112"/>
  <c r="G21" i="112"/>
  <c r="J36" i="112"/>
  <c r="K36" i="112"/>
  <c r="J34" i="112"/>
  <c r="K34" i="112"/>
  <c r="J32" i="112"/>
  <c r="K32" i="112"/>
  <c r="J30" i="112"/>
  <c r="K30" i="112"/>
  <c r="J28" i="112"/>
  <c r="K28" i="112"/>
  <c r="J26" i="112"/>
  <c r="K26" i="112"/>
  <c r="J24" i="112"/>
  <c r="K24" i="112"/>
  <c r="J22" i="112"/>
  <c r="K22" i="112"/>
  <c r="J20" i="112"/>
  <c r="K20" i="112"/>
  <c r="P36" i="112"/>
  <c r="Q36" i="112"/>
  <c r="H36" i="112"/>
  <c r="I36" i="112"/>
  <c r="L35" i="112"/>
  <c r="M35" i="112"/>
  <c r="P34" i="112"/>
  <c r="Q34" i="112"/>
  <c r="H34" i="112"/>
  <c r="I34" i="112"/>
  <c r="L33" i="112"/>
  <c r="M33" i="112"/>
  <c r="P32" i="112"/>
  <c r="Q32" i="112"/>
  <c r="H32" i="112"/>
  <c r="I32" i="112"/>
  <c r="L31" i="112"/>
  <c r="M31" i="112"/>
  <c r="P30" i="112"/>
  <c r="Q30" i="112"/>
  <c r="H30" i="112"/>
  <c r="I30" i="112"/>
  <c r="L29" i="112"/>
  <c r="M29" i="112"/>
  <c r="P28" i="112"/>
  <c r="Q28" i="112"/>
  <c r="H28" i="112"/>
  <c r="I28" i="112"/>
  <c r="L27" i="112"/>
  <c r="M27" i="112"/>
  <c r="P26" i="112"/>
  <c r="Q26" i="112"/>
  <c r="H26" i="112"/>
  <c r="I26" i="112"/>
  <c r="L25" i="112"/>
  <c r="M25" i="112"/>
  <c r="P24" i="112"/>
  <c r="Q24" i="112"/>
  <c r="H24" i="112"/>
  <c r="I24" i="112"/>
  <c r="L23" i="112"/>
  <c r="M23" i="112"/>
  <c r="P22" i="112"/>
  <c r="Q22" i="112"/>
  <c r="H22" i="112"/>
  <c r="I22" i="112"/>
  <c r="L21" i="112"/>
  <c r="M21" i="112"/>
  <c r="P20" i="112"/>
  <c r="Q20" i="112"/>
  <c r="H20" i="112"/>
  <c r="I20" i="112"/>
  <c r="I37" i="112"/>
  <c r="G36" i="112"/>
  <c r="G34" i="112"/>
  <c r="G32" i="112"/>
  <c r="G30" i="112"/>
  <c r="G28" i="112"/>
  <c r="G26" i="112"/>
  <c r="G24" i="112"/>
  <c r="G22" i="112"/>
  <c r="G20" i="112"/>
  <c r="G37" i="112"/>
  <c r="O37" i="112"/>
  <c r="P35" i="112"/>
  <c r="Q35" i="112"/>
  <c r="P33" i="112"/>
  <c r="Q33" i="112"/>
  <c r="P31" i="112"/>
  <c r="Q31" i="112"/>
  <c r="P29" i="112"/>
  <c r="Q29" i="112"/>
  <c r="P27" i="112"/>
  <c r="Q27" i="112"/>
  <c r="P25" i="112"/>
  <c r="Q25" i="112"/>
  <c r="P23" i="112"/>
  <c r="Q23" i="112"/>
  <c r="P21" i="112"/>
  <c r="Q21" i="112"/>
  <c r="L17" i="112"/>
  <c r="M17" i="112"/>
  <c r="M37" i="112"/>
  <c r="J17" i="112"/>
  <c r="K17" i="112"/>
  <c r="P17" i="112"/>
  <c r="Q17" i="112"/>
  <c r="G31" i="111"/>
  <c r="G29" i="111"/>
  <c r="G27" i="111"/>
  <c r="G25" i="111"/>
  <c r="G23" i="111"/>
  <c r="G21" i="111"/>
  <c r="J22" i="111"/>
  <c r="K22" i="111"/>
  <c r="K33" i="111"/>
  <c r="J20" i="111"/>
  <c r="K20" i="111"/>
  <c r="P32" i="111"/>
  <c r="Q32" i="111"/>
  <c r="H32" i="111"/>
  <c r="I32" i="111"/>
  <c r="L31" i="111"/>
  <c r="M31" i="111"/>
  <c r="P30" i="111"/>
  <c r="Q30" i="111"/>
  <c r="H30" i="111"/>
  <c r="I30" i="111"/>
  <c r="L29" i="111"/>
  <c r="M29" i="111"/>
  <c r="P28" i="111"/>
  <c r="Q28" i="111"/>
  <c r="H28" i="111"/>
  <c r="I28" i="111"/>
  <c r="L27" i="111"/>
  <c r="M27" i="111"/>
  <c r="P26" i="111"/>
  <c r="Q26" i="111"/>
  <c r="H26" i="111"/>
  <c r="I26" i="111"/>
  <c r="L25" i="111"/>
  <c r="M25" i="111"/>
  <c r="P24" i="111"/>
  <c r="Q24" i="111"/>
  <c r="Q33" i="111"/>
  <c r="H24" i="111"/>
  <c r="I24" i="111"/>
  <c r="I33" i="111"/>
  <c r="P22" i="111"/>
  <c r="Q22" i="111"/>
  <c r="H22" i="111"/>
  <c r="I22" i="111"/>
  <c r="P20" i="111"/>
  <c r="Q20" i="111"/>
  <c r="H20" i="111"/>
  <c r="I20" i="111"/>
  <c r="O33" i="111"/>
  <c r="G17" i="111"/>
  <c r="G33" i="111"/>
  <c r="L17" i="111"/>
  <c r="M17" i="111"/>
  <c r="I33" i="109"/>
  <c r="M33" i="109"/>
  <c r="O33" i="109"/>
  <c r="G25" i="109"/>
  <c r="G33" i="109"/>
  <c r="G30" i="109"/>
  <c r="N30" i="109"/>
  <c r="O30" i="109"/>
  <c r="P29" i="107"/>
  <c r="Q29" i="107"/>
  <c r="H29" i="107"/>
  <c r="I29" i="107"/>
  <c r="L28" i="107"/>
  <c r="M28" i="107"/>
  <c r="P27" i="107"/>
  <c r="Q27" i="107"/>
  <c r="H27" i="107"/>
  <c r="I27" i="107"/>
  <c r="N30" i="107"/>
  <c r="O30" i="107"/>
  <c r="O38" i="107"/>
  <c r="L36" i="107"/>
  <c r="M36" i="107"/>
  <c r="L34" i="107"/>
  <c r="M34" i="107"/>
  <c r="L32" i="107"/>
  <c r="M32" i="107"/>
  <c r="L30" i="107"/>
  <c r="M30" i="107"/>
  <c r="J36" i="107"/>
  <c r="K36" i="107"/>
  <c r="J34" i="107"/>
  <c r="K34" i="107"/>
  <c r="J32" i="107"/>
  <c r="K32" i="107"/>
  <c r="J30" i="107"/>
  <c r="K30" i="107"/>
  <c r="J28" i="107"/>
  <c r="K28" i="107"/>
  <c r="P36" i="107"/>
  <c r="Q36" i="107"/>
  <c r="H36" i="107"/>
  <c r="I36" i="107"/>
  <c r="P34" i="107"/>
  <c r="Q34" i="107"/>
  <c r="H34" i="107"/>
  <c r="I34" i="107"/>
  <c r="P32" i="107"/>
  <c r="Q32" i="107"/>
  <c r="H32" i="107"/>
  <c r="I32" i="107"/>
  <c r="P30" i="107"/>
  <c r="Q30" i="107"/>
  <c r="H30" i="107"/>
  <c r="I30" i="107"/>
  <c r="P28" i="107"/>
  <c r="Q28" i="107"/>
  <c r="Q38" i="107"/>
  <c r="H28" i="107"/>
  <c r="I28" i="107"/>
  <c r="G38" i="107"/>
  <c r="L24" i="107"/>
  <c r="M24" i="107"/>
  <c r="J24" i="107"/>
  <c r="K24" i="107"/>
  <c r="H24" i="107"/>
  <c r="I24" i="107"/>
  <c r="J55" i="100"/>
  <c r="J26" i="97"/>
  <c r="K26" i="97"/>
  <c r="J24" i="97"/>
  <c r="K24" i="97"/>
  <c r="J22" i="97"/>
  <c r="K22" i="97"/>
  <c r="L27" i="97"/>
  <c r="M27" i="97"/>
  <c r="P26" i="97"/>
  <c r="Q26" i="97"/>
  <c r="H26" i="97"/>
  <c r="I26" i="97"/>
  <c r="L25" i="97"/>
  <c r="M25" i="97"/>
  <c r="M28" i="97"/>
  <c r="P24" i="97"/>
  <c r="Q24" i="97"/>
  <c r="H24" i="97"/>
  <c r="I24" i="97"/>
  <c r="L23" i="97"/>
  <c r="M23" i="97"/>
  <c r="P22" i="97"/>
  <c r="Q22" i="97"/>
  <c r="H22" i="97"/>
  <c r="I22" i="97"/>
  <c r="L21" i="97"/>
  <c r="M21" i="97"/>
  <c r="G26" i="97"/>
  <c r="G24" i="97"/>
  <c r="G22" i="97"/>
  <c r="G28" i="97"/>
  <c r="K28" i="97"/>
  <c r="N22" i="97"/>
  <c r="O22" i="97"/>
  <c r="O28" i="97"/>
  <c r="P27" i="97"/>
  <c r="Q27" i="97"/>
  <c r="H27" i="97"/>
  <c r="I27" i="97"/>
  <c r="P25" i="97"/>
  <c r="Q25" i="97"/>
  <c r="H25" i="97"/>
  <c r="I25" i="97"/>
  <c r="P23" i="97"/>
  <c r="Q23" i="97"/>
  <c r="H23" i="97"/>
  <c r="I23" i="97"/>
  <c r="P21" i="97"/>
  <c r="Q21" i="97"/>
  <c r="H21" i="97"/>
  <c r="I21" i="97"/>
  <c r="P19" i="97"/>
  <c r="Q19" i="97"/>
  <c r="H19" i="97"/>
  <c r="I19" i="97"/>
  <c r="I28" i="97"/>
  <c r="Q26" i="96"/>
  <c r="L24" i="96"/>
  <c r="M24" i="96"/>
  <c r="L20" i="96"/>
  <c r="M20" i="96"/>
  <c r="I26" i="96"/>
  <c r="J24" i="96"/>
  <c r="K24" i="96"/>
  <c r="J22" i="96"/>
  <c r="K22" i="96"/>
  <c r="K26" i="96"/>
  <c r="J20" i="96"/>
  <c r="K20" i="96"/>
  <c r="G18" i="96"/>
  <c r="G26" i="96"/>
  <c r="N18" i="96"/>
  <c r="O18" i="96"/>
  <c r="O26" i="96"/>
  <c r="L18" i="96"/>
  <c r="M18" i="96"/>
  <c r="M26" i="96"/>
  <c r="G27" i="95"/>
  <c r="P26" i="95"/>
  <c r="Q26" i="95"/>
  <c r="H26" i="95"/>
  <c r="I26" i="95"/>
  <c r="L25" i="95"/>
  <c r="M25" i="95"/>
  <c r="P24" i="95"/>
  <c r="Q24" i="95"/>
  <c r="H24" i="95"/>
  <c r="I24" i="95"/>
  <c r="L23" i="95"/>
  <c r="M23" i="95"/>
  <c r="P22" i="95"/>
  <c r="Q22" i="95"/>
  <c r="H22" i="95"/>
  <c r="I22" i="95"/>
  <c r="L21" i="95"/>
  <c r="M21" i="95"/>
  <c r="J25" i="95"/>
  <c r="K25" i="95"/>
  <c r="J23" i="95"/>
  <c r="K23" i="95"/>
  <c r="J21" i="95"/>
  <c r="K21" i="95"/>
  <c r="P25" i="95"/>
  <c r="Q25" i="95"/>
  <c r="H25" i="95"/>
  <c r="I25" i="95"/>
  <c r="P23" i="95"/>
  <c r="Q23" i="95"/>
  <c r="H23" i="95"/>
  <c r="I23" i="95"/>
  <c r="P21" i="95"/>
  <c r="Q21" i="95"/>
  <c r="H21" i="95"/>
  <c r="I21" i="95"/>
  <c r="L19" i="95"/>
  <c r="M19" i="95"/>
  <c r="J19" i="95"/>
  <c r="K19" i="95"/>
  <c r="K27" i="95"/>
  <c r="N19" i="95"/>
  <c r="O19" i="95"/>
  <c r="O27" i="95"/>
  <c r="P19" i="95"/>
  <c r="Q19" i="95"/>
  <c r="H19" i="95"/>
  <c r="I19" i="95"/>
  <c r="J26" i="29"/>
  <c r="K26" i="29"/>
  <c r="J24" i="29"/>
  <c r="K24" i="29"/>
  <c r="J22" i="29"/>
  <c r="K22" i="29"/>
  <c r="G28" i="29"/>
  <c r="P26" i="29"/>
  <c r="Q26" i="29"/>
  <c r="H26" i="29"/>
  <c r="I26" i="29"/>
  <c r="P24" i="29"/>
  <c r="Q24" i="29"/>
  <c r="H24" i="29"/>
  <c r="I24" i="29"/>
  <c r="I28" i="29"/>
  <c r="P22" i="29"/>
  <c r="Q22" i="29"/>
  <c r="H22" i="29"/>
  <c r="I22" i="29"/>
  <c r="P19" i="29"/>
  <c r="Q19" i="29"/>
  <c r="N19" i="29"/>
  <c r="O19" i="29"/>
  <c r="O28" i="29"/>
  <c r="L19" i="29"/>
  <c r="M19" i="29"/>
  <c r="M28" i="29"/>
  <c r="J19" i="29"/>
  <c r="K19" i="29"/>
  <c r="K28" i="29"/>
  <c r="K24" i="94"/>
  <c r="K35" i="93"/>
  <c r="J48" i="115"/>
  <c r="J46" i="114"/>
  <c r="K65" i="86"/>
  <c r="K57" i="85"/>
  <c r="K53" i="84"/>
  <c r="N160" i="59"/>
  <c r="O160" i="59"/>
  <c r="N152" i="59"/>
  <c r="O152" i="59"/>
  <c r="N149" i="59"/>
  <c r="O149" i="59"/>
  <c r="N147" i="59"/>
  <c r="O147" i="59"/>
  <c r="N134" i="59"/>
  <c r="O134" i="59"/>
  <c r="H118" i="59"/>
  <c r="I118" i="59"/>
  <c r="H69" i="59"/>
  <c r="I69" i="59"/>
  <c r="L31" i="59"/>
  <c r="M31" i="59"/>
  <c r="N28" i="59"/>
  <c r="O28" i="59"/>
  <c r="L160" i="59"/>
  <c r="M160" i="59"/>
  <c r="J158" i="59"/>
  <c r="K158" i="59"/>
  <c r="G143" i="59"/>
  <c r="G118" i="59"/>
  <c r="G69" i="59"/>
  <c r="N65" i="59"/>
  <c r="O65" i="59"/>
  <c r="G58" i="59"/>
  <c r="G54" i="59"/>
  <c r="N47" i="59"/>
  <c r="O47" i="59"/>
  <c r="N43" i="59"/>
  <c r="O43" i="59"/>
  <c r="G34" i="59"/>
  <c r="J31" i="59"/>
  <c r="K31" i="59"/>
  <c r="G28" i="59"/>
  <c r="N162" i="59"/>
  <c r="O162" i="59"/>
  <c r="P50" i="59"/>
  <c r="Q50" i="59"/>
  <c r="L43" i="59"/>
  <c r="M43" i="59"/>
  <c r="L162" i="59"/>
  <c r="M162" i="59"/>
  <c r="J160" i="59"/>
  <c r="K160" i="59"/>
  <c r="N157" i="59"/>
  <c r="O157" i="59"/>
  <c r="J151" i="59"/>
  <c r="K151" i="59"/>
  <c r="N121" i="59"/>
  <c r="O121" i="59"/>
  <c r="J117" i="59"/>
  <c r="K117" i="59"/>
  <c r="H65" i="59"/>
  <c r="I65" i="59"/>
  <c r="G57" i="59"/>
  <c r="L53" i="59"/>
  <c r="M53" i="59"/>
  <c r="G50" i="59"/>
  <c r="G43" i="59"/>
  <c r="G33" i="59"/>
  <c r="G30" i="59"/>
  <c r="L166" i="59"/>
  <c r="M166" i="59"/>
  <c r="G157" i="59"/>
  <c r="L67" i="59"/>
  <c r="M67" i="59"/>
  <c r="P35" i="59"/>
  <c r="Q35" i="59"/>
  <c r="J162" i="59"/>
  <c r="K162" i="59"/>
  <c r="G131" i="59"/>
  <c r="J70" i="59"/>
  <c r="K70" i="59"/>
  <c r="J67" i="59"/>
  <c r="K67" i="59"/>
  <c r="L49" i="59"/>
  <c r="M49" i="59"/>
  <c r="G42" i="59"/>
  <c r="L35" i="59"/>
  <c r="M35" i="59"/>
  <c r="P32" i="59"/>
  <c r="Q32" i="59"/>
  <c r="G29" i="59"/>
  <c r="N69" i="41"/>
  <c r="O69" i="41"/>
  <c r="G35" i="41"/>
  <c r="H146" i="41"/>
  <c r="I146" i="41"/>
  <c r="J42" i="41"/>
  <c r="K42" i="41"/>
  <c r="I49" i="59"/>
  <c r="P49" i="59"/>
  <c r="Q49" i="59"/>
  <c r="I29" i="59"/>
  <c r="P29" i="59"/>
  <c r="Q29" i="59"/>
  <c r="I41" i="59"/>
  <c r="P41" i="59"/>
  <c r="Q41" i="59"/>
  <c r="I37" i="59"/>
  <c r="P37" i="59"/>
  <c r="Q37" i="59"/>
  <c r="I57" i="59"/>
  <c r="P57" i="59"/>
  <c r="Q57" i="59"/>
  <c r="I43" i="59"/>
  <c r="P43" i="59"/>
  <c r="Q43" i="59"/>
  <c r="I33" i="59"/>
  <c r="P33" i="59"/>
  <c r="Q33" i="59"/>
  <c r="I53" i="59"/>
  <c r="P53" i="59"/>
  <c r="Q53" i="59"/>
  <c r="N25" i="59"/>
  <c r="O25" i="59"/>
  <c r="J166" i="59"/>
  <c r="K166" i="59"/>
  <c r="J164" i="59"/>
  <c r="K164" i="59"/>
  <c r="N154" i="59"/>
  <c r="O154" i="59"/>
  <c r="N132" i="59"/>
  <c r="O132" i="59"/>
  <c r="L123" i="59"/>
  <c r="M123" i="59"/>
  <c r="L121" i="59"/>
  <c r="M121" i="59"/>
  <c r="J119" i="59"/>
  <c r="K119" i="59"/>
  <c r="L115" i="59"/>
  <c r="M115" i="59"/>
  <c r="H67" i="59"/>
  <c r="J63" i="59"/>
  <c r="K63" i="59"/>
  <c r="J59" i="59"/>
  <c r="K59" i="59"/>
  <c r="N56" i="59"/>
  <c r="O56" i="59"/>
  <c r="H55" i="59"/>
  <c r="N52" i="59"/>
  <c r="O52" i="59"/>
  <c r="H51" i="59"/>
  <c r="P48" i="59"/>
  <c r="Q48" i="59"/>
  <c r="J47" i="59"/>
  <c r="K47" i="59"/>
  <c r="J43" i="59"/>
  <c r="K43" i="59"/>
  <c r="N40" i="59"/>
  <c r="O40" i="59"/>
  <c r="H39" i="59"/>
  <c r="L25" i="59"/>
  <c r="M25" i="59"/>
  <c r="N155" i="59"/>
  <c r="O155" i="59"/>
  <c r="N124" i="59"/>
  <c r="O124" i="59"/>
  <c r="H123" i="59"/>
  <c r="I123" i="59"/>
  <c r="J121" i="59"/>
  <c r="K121" i="59"/>
  <c r="N69" i="59"/>
  <c r="O69" i="59"/>
  <c r="G67" i="59"/>
  <c r="N64" i="59"/>
  <c r="O64" i="59"/>
  <c r="H63" i="59"/>
  <c r="N61" i="59"/>
  <c r="O61" i="59"/>
  <c r="N60" i="59"/>
  <c r="O60" i="59"/>
  <c r="H59" i="59"/>
  <c r="G56" i="59"/>
  <c r="G55" i="59"/>
  <c r="G52" i="59"/>
  <c r="G51" i="59"/>
  <c r="N48" i="59"/>
  <c r="O48" i="59"/>
  <c r="H47" i="59"/>
  <c r="N45" i="59"/>
  <c r="O45" i="59"/>
  <c r="N44" i="59"/>
  <c r="O44" i="59"/>
  <c r="G40" i="59"/>
  <c r="G39" i="59"/>
  <c r="G36" i="59"/>
  <c r="G35" i="59"/>
  <c r="N32" i="59"/>
  <c r="O32" i="59"/>
  <c r="H31" i="59"/>
  <c r="J25" i="59"/>
  <c r="K25" i="59"/>
  <c r="G167" i="59"/>
  <c r="G165" i="59"/>
  <c r="G163" i="59"/>
  <c r="G161" i="59"/>
  <c r="G159" i="59"/>
  <c r="N136" i="59"/>
  <c r="O136" i="59"/>
  <c r="G129" i="59"/>
  <c r="G123" i="59"/>
  <c r="H121" i="59"/>
  <c r="P121" i="59"/>
  <c r="Q121" i="59"/>
  <c r="J115" i="59"/>
  <c r="K115" i="59"/>
  <c r="L112" i="59"/>
  <c r="M112" i="59"/>
  <c r="L61" i="59"/>
  <c r="M61" i="59"/>
  <c r="G60" i="59"/>
  <c r="N57" i="59"/>
  <c r="O57" i="59"/>
  <c r="N53" i="59"/>
  <c r="O53" i="59"/>
  <c r="N49" i="59"/>
  <c r="O49" i="59"/>
  <c r="G48" i="59"/>
  <c r="L45" i="59"/>
  <c r="M45" i="59"/>
  <c r="N37" i="59"/>
  <c r="O37" i="59"/>
  <c r="N33" i="59"/>
  <c r="O33" i="59"/>
  <c r="G32" i="59"/>
  <c r="N29" i="59"/>
  <c r="O29" i="59"/>
  <c r="G25" i="59"/>
  <c r="L124" i="59"/>
  <c r="M124" i="59"/>
  <c r="J61" i="59"/>
  <c r="K61" i="59"/>
  <c r="L57" i="59"/>
  <c r="M57" i="59"/>
  <c r="P54" i="59"/>
  <c r="Q54" i="59"/>
  <c r="J45" i="59"/>
  <c r="K45" i="59"/>
  <c r="L41" i="59"/>
  <c r="M41" i="59"/>
  <c r="P38" i="59"/>
  <c r="Q38" i="59"/>
  <c r="L37" i="59"/>
  <c r="M37" i="59"/>
  <c r="P34" i="59"/>
  <c r="Q34" i="59"/>
  <c r="L33" i="59"/>
  <c r="M33" i="59"/>
  <c r="L29" i="59"/>
  <c r="M29" i="59"/>
  <c r="N166" i="59"/>
  <c r="O166" i="59"/>
  <c r="N164" i="59"/>
  <c r="O164" i="59"/>
  <c r="N135" i="59"/>
  <c r="O135" i="59"/>
  <c r="N133" i="59"/>
  <c r="O133" i="59"/>
  <c r="N131" i="59"/>
  <c r="O131" i="59"/>
  <c r="J124" i="59"/>
  <c r="K124" i="59"/>
  <c r="L118" i="59"/>
  <c r="M118" i="59"/>
  <c r="H115" i="59"/>
  <c r="N66" i="59"/>
  <c r="O66" i="59"/>
  <c r="N62" i="59"/>
  <c r="O62" i="59"/>
  <c r="H61" i="59"/>
  <c r="J57" i="59"/>
  <c r="K57" i="59"/>
  <c r="J53" i="59"/>
  <c r="K53" i="59"/>
  <c r="J49" i="59"/>
  <c r="K49" i="59"/>
  <c r="N46" i="59"/>
  <c r="O46" i="59"/>
  <c r="H45" i="59"/>
  <c r="J41" i="59"/>
  <c r="K41" i="59"/>
  <c r="J37" i="59"/>
  <c r="K37" i="59"/>
  <c r="J33" i="59"/>
  <c r="K33" i="59"/>
  <c r="J29" i="59"/>
  <c r="K29" i="59"/>
  <c r="H155" i="59"/>
  <c r="N153" i="59"/>
  <c r="O153" i="59"/>
  <c r="J135" i="59"/>
  <c r="K135" i="59"/>
  <c r="G127" i="59"/>
  <c r="H124" i="59"/>
  <c r="I124" i="59"/>
  <c r="L120" i="59"/>
  <c r="M120" i="59"/>
  <c r="J118" i="59"/>
  <c r="K118" i="59"/>
  <c r="G115" i="59"/>
  <c r="I66" i="59"/>
  <c r="G62" i="59"/>
  <c r="N58" i="59"/>
  <c r="O58" i="59"/>
  <c r="N54" i="59"/>
  <c r="O54" i="59"/>
  <c r="N50" i="59"/>
  <c r="O50" i="59"/>
  <c r="G46" i="59"/>
  <c r="N42" i="59"/>
  <c r="O42" i="59"/>
  <c r="N38" i="59"/>
  <c r="O38" i="59"/>
  <c r="N34" i="59"/>
  <c r="O34" i="59"/>
  <c r="N30" i="59"/>
  <c r="O30" i="59"/>
  <c r="P25" i="59"/>
  <c r="Q25" i="59"/>
  <c r="P86" i="41"/>
  <c r="Q86" i="41"/>
  <c r="L101" i="41"/>
  <c r="M101" i="41"/>
  <c r="H145" i="41"/>
  <c r="I145" i="41"/>
  <c r="N58" i="41"/>
  <c r="O58" i="41"/>
  <c r="H31" i="41"/>
  <c r="I31" i="41"/>
  <c r="G109" i="41"/>
  <c r="H28" i="41"/>
  <c r="I28" i="41"/>
  <c r="N38" i="41"/>
  <c r="O38" i="41"/>
  <c r="P146" i="41"/>
  <c r="Q146" i="41"/>
  <c r="G146" i="41"/>
  <c r="P160" i="41"/>
  <c r="Q160" i="41"/>
  <c r="P83" i="41"/>
  <c r="Q83" i="41"/>
  <c r="J96" i="41"/>
  <c r="K96" i="41"/>
  <c r="H139" i="41"/>
  <c r="I139" i="41"/>
  <c r="N75" i="41"/>
  <c r="O75" i="41"/>
  <c r="L59" i="41"/>
  <c r="M59" i="41"/>
  <c r="L30" i="41"/>
  <c r="M30" i="41"/>
  <c r="N148" i="41"/>
  <c r="O148" i="41"/>
  <c r="N160" i="41"/>
  <c r="O160" i="41"/>
  <c r="P148" i="41"/>
  <c r="Q148" i="41"/>
  <c r="P57" i="41"/>
  <c r="Q57" i="41"/>
  <c r="P120" i="41"/>
  <c r="Q120" i="41"/>
  <c r="G139" i="41"/>
  <c r="H75" i="41"/>
  <c r="I75" i="41"/>
  <c r="J30" i="41"/>
  <c r="K30" i="41"/>
  <c r="L148" i="41"/>
  <c r="M148" i="41"/>
  <c r="J160" i="41"/>
  <c r="K160" i="41"/>
  <c r="N120" i="41"/>
  <c r="O120" i="41"/>
  <c r="J148" i="41"/>
  <c r="K148" i="41"/>
  <c r="L156" i="41"/>
  <c r="M156" i="41"/>
  <c r="H160" i="41"/>
  <c r="I160" i="41"/>
  <c r="H120" i="41"/>
  <c r="I120" i="41"/>
  <c r="P61" i="41"/>
  <c r="Q61" i="41"/>
  <c r="H148" i="41"/>
  <c r="I148" i="41"/>
  <c r="P25" i="41"/>
  <c r="Q25" i="41"/>
  <c r="N25" i="41"/>
  <c r="O25" i="41"/>
  <c r="I116" i="59"/>
  <c r="P116" i="59"/>
  <c r="Q116" i="59"/>
  <c r="J143" i="59"/>
  <c r="K143" i="59"/>
  <c r="J142" i="59"/>
  <c r="K142" i="59"/>
  <c r="L138" i="59"/>
  <c r="M138" i="59"/>
  <c r="G138" i="59"/>
  <c r="H138" i="59"/>
  <c r="H137" i="59"/>
  <c r="L137" i="59"/>
  <c r="M137" i="59"/>
  <c r="J116" i="59"/>
  <c r="K116" i="59"/>
  <c r="G113" i="59"/>
  <c r="J113" i="59"/>
  <c r="K113" i="59"/>
  <c r="H167" i="59"/>
  <c r="H165" i="59"/>
  <c r="H163" i="59"/>
  <c r="H161" i="59"/>
  <c r="H159" i="59"/>
  <c r="H157" i="59"/>
  <c r="L140" i="59"/>
  <c r="M140" i="59"/>
  <c r="G140" i="59"/>
  <c r="H140" i="59"/>
  <c r="H139" i="59"/>
  <c r="L139" i="59"/>
  <c r="M139" i="59"/>
  <c r="G125" i="59"/>
  <c r="H122" i="59"/>
  <c r="L122" i="59"/>
  <c r="M122" i="59"/>
  <c r="G114" i="59"/>
  <c r="H114" i="59"/>
  <c r="G156" i="59"/>
  <c r="H156" i="59"/>
  <c r="J153" i="59"/>
  <c r="K153" i="59"/>
  <c r="L146" i="59"/>
  <c r="M146" i="59"/>
  <c r="G146" i="59"/>
  <c r="H146" i="59"/>
  <c r="H145" i="59"/>
  <c r="L145" i="59"/>
  <c r="M145" i="59"/>
  <c r="L130" i="59"/>
  <c r="M130" i="59"/>
  <c r="G130" i="59"/>
  <c r="H130" i="59"/>
  <c r="H129" i="59"/>
  <c r="L129" i="59"/>
  <c r="M129" i="59"/>
  <c r="P123" i="59"/>
  <c r="Q123" i="59"/>
  <c r="N117" i="59"/>
  <c r="O117" i="59"/>
  <c r="H117" i="59"/>
  <c r="N113" i="59"/>
  <c r="O113" i="59"/>
  <c r="J64" i="59"/>
  <c r="K64" i="59"/>
  <c r="L64" i="59"/>
  <c r="M64" i="59"/>
  <c r="H64" i="59"/>
  <c r="P56" i="59"/>
  <c r="Q56" i="59"/>
  <c r="P40" i="59"/>
  <c r="Q40" i="59"/>
  <c r="H141" i="59"/>
  <c r="L141" i="59"/>
  <c r="M141" i="59"/>
  <c r="L126" i="59"/>
  <c r="M126" i="59"/>
  <c r="G126" i="59"/>
  <c r="H126" i="59"/>
  <c r="G116" i="59"/>
  <c r="L116" i="59"/>
  <c r="M116" i="59"/>
  <c r="H127" i="59"/>
  <c r="L127" i="59"/>
  <c r="M127" i="59"/>
  <c r="L167" i="59"/>
  <c r="M167" i="59"/>
  <c r="H166" i="59"/>
  <c r="L165" i="59"/>
  <c r="M165" i="59"/>
  <c r="H164" i="59"/>
  <c r="L163" i="59"/>
  <c r="M163" i="59"/>
  <c r="H162" i="59"/>
  <c r="L161" i="59"/>
  <c r="M161" i="59"/>
  <c r="H160" i="59"/>
  <c r="L159" i="59"/>
  <c r="M159" i="59"/>
  <c r="H158" i="59"/>
  <c r="L157" i="59"/>
  <c r="M157" i="59"/>
  <c r="L148" i="59"/>
  <c r="M148" i="59"/>
  <c r="G148" i="59"/>
  <c r="H148" i="59"/>
  <c r="H147" i="59"/>
  <c r="L147" i="59"/>
  <c r="M147" i="59"/>
  <c r="N141" i="59"/>
  <c r="O141" i="59"/>
  <c r="J137" i="59"/>
  <c r="K137" i="59"/>
  <c r="L132" i="59"/>
  <c r="M132" i="59"/>
  <c r="G132" i="59"/>
  <c r="H132" i="59"/>
  <c r="H131" i="59"/>
  <c r="L131" i="59"/>
  <c r="M131" i="59"/>
  <c r="N126" i="59"/>
  <c r="O126" i="59"/>
  <c r="N122" i="59"/>
  <c r="O122" i="59"/>
  <c r="N114" i="59"/>
  <c r="O114" i="59"/>
  <c r="L113" i="59"/>
  <c r="M113" i="59"/>
  <c r="H112" i="59"/>
  <c r="L70" i="59"/>
  <c r="M70" i="59"/>
  <c r="G70" i="59"/>
  <c r="H70" i="59"/>
  <c r="J68" i="59"/>
  <c r="K68" i="59"/>
  <c r="H68" i="59"/>
  <c r="L68" i="59"/>
  <c r="M68" i="59"/>
  <c r="N68" i="59"/>
  <c r="O68" i="59"/>
  <c r="P62" i="59"/>
  <c r="Q62" i="59"/>
  <c r="P46" i="59"/>
  <c r="Q46" i="59"/>
  <c r="P30" i="59"/>
  <c r="Q30" i="59"/>
  <c r="L144" i="59"/>
  <c r="M144" i="59"/>
  <c r="G144" i="59"/>
  <c r="H144" i="59"/>
  <c r="L128" i="59"/>
  <c r="M128" i="59"/>
  <c r="G128" i="59"/>
  <c r="H128" i="59"/>
  <c r="N156" i="59"/>
  <c r="O156" i="59"/>
  <c r="G154" i="59"/>
  <c r="H154" i="59"/>
  <c r="H153" i="59"/>
  <c r="L150" i="59"/>
  <c r="M150" i="59"/>
  <c r="G150" i="59"/>
  <c r="H150" i="59"/>
  <c r="H149" i="59"/>
  <c r="L149" i="59"/>
  <c r="M149" i="59"/>
  <c r="N144" i="59"/>
  <c r="O144" i="59"/>
  <c r="J139" i="59"/>
  <c r="K139" i="59"/>
  <c r="J138" i="59"/>
  <c r="K138" i="59"/>
  <c r="L134" i="59"/>
  <c r="M134" i="59"/>
  <c r="G134" i="59"/>
  <c r="H134" i="59"/>
  <c r="H133" i="59"/>
  <c r="L133" i="59"/>
  <c r="M133" i="59"/>
  <c r="N128" i="59"/>
  <c r="O128" i="59"/>
  <c r="N127" i="59"/>
  <c r="O127" i="59"/>
  <c r="I121" i="59"/>
  <c r="H119" i="59"/>
  <c r="L119" i="59"/>
  <c r="M119" i="59"/>
  <c r="N116" i="59"/>
  <c r="O116" i="59"/>
  <c r="L114" i="59"/>
  <c r="M114" i="59"/>
  <c r="P69" i="59"/>
  <c r="Q69" i="59"/>
  <c r="P52" i="59"/>
  <c r="Q52" i="59"/>
  <c r="P36" i="59"/>
  <c r="Q36" i="59"/>
  <c r="L142" i="59"/>
  <c r="M142" i="59"/>
  <c r="G142" i="59"/>
  <c r="H142" i="59"/>
  <c r="H125" i="59"/>
  <c r="L125" i="59"/>
  <c r="M125" i="59"/>
  <c r="N165" i="59"/>
  <c r="O165" i="59"/>
  <c r="N163" i="59"/>
  <c r="O163" i="59"/>
  <c r="N161" i="59"/>
  <c r="O161" i="59"/>
  <c r="N159" i="59"/>
  <c r="O159" i="59"/>
  <c r="H143" i="59"/>
  <c r="L143" i="59"/>
  <c r="M143" i="59"/>
  <c r="G153" i="59"/>
  <c r="L152" i="59"/>
  <c r="M152" i="59"/>
  <c r="G152" i="59"/>
  <c r="H152" i="59"/>
  <c r="H151" i="59"/>
  <c r="L151" i="59"/>
  <c r="M151" i="59"/>
  <c r="N146" i="59"/>
  <c r="O146" i="59"/>
  <c r="N145" i="59"/>
  <c r="O145" i="59"/>
  <c r="J141" i="59"/>
  <c r="K141" i="59"/>
  <c r="J140" i="59"/>
  <c r="K140" i="59"/>
  <c r="G137" i="59"/>
  <c r="L136" i="59"/>
  <c r="M136" i="59"/>
  <c r="G136" i="59"/>
  <c r="H136" i="59"/>
  <c r="H135" i="59"/>
  <c r="L135" i="59"/>
  <c r="M135" i="59"/>
  <c r="N130" i="59"/>
  <c r="O130" i="59"/>
  <c r="N129" i="59"/>
  <c r="O129" i="59"/>
  <c r="J125" i="59"/>
  <c r="K125" i="59"/>
  <c r="J122" i="59"/>
  <c r="K122" i="59"/>
  <c r="N120" i="59"/>
  <c r="O120" i="59"/>
  <c r="H120" i="59"/>
  <c r="J120" i="59"/>
  <c r="K120" i="59"/>
  <c r="P118" i="59"/>
  <c r="Q118" i="59"/>
  <c r="H113" i="59"/>
  <c r="J112" i="59"/>
  <c r="K112" i="59"/>
  <c r="N112" i="59"/>
  <c r="O112" i="59"/>
  <c r="P58" i="59"/>
  <c r="Q58" i="59"/>
  <c r="P42" i="59"/>
  <c r="Q42" i="59"/>
  <c r="J66" i="59"/>
  <c r="K66" i="59"/>
  <c r="L66" i="59"/>
  <c r="M66" i="59"/>
  <c r="J62" i="59"/>
  <c r="K62" i="59"/>
  <c r="L62" i="59"/>
  <c r="M62" i="59"/>
  <c r="J60" i="59"/>
  <c r="K60" i="59"/>
  <c r="L60" i="59"/>
  <c r="M60" i="59"/>
  <c r="J58" i="59"/>
  <c r="K58" i="59"/>
  <c r="L58" i="59"/>
  <c r="M58" i="59"/>
  <c r="J56" i="59"/>
  <c r="K56" i="59"/>
  <c r="L56" i="59"/>
  <c r="M56" i="59"/>
  <c r="J54" i="59"/>
  <c r="K54" i="59"/>
  <c r="L54" i="59"/>
  <c r="M54" i="59"/>
  <c r="J52" i="59"/>
  <c r="K52" i="59"/>
  <c r="L52" i="59"/>
  <c r="M52" i="59"/>
  <c r="J50" i="59"/>
  <c r="K50" i="59"/>
  <c r="L50" i="59"/>
  <c r="M50" i="59"/>
  <c r="J48" i="59"/>
  <c r="K48" i="59"/>
  <c r="L48" i="59"/>
  <c r="M48" i="59"/>
  <c r="J46" i="59"/>
  <c r="K46" i="59"/>
  <c r="L46" i="59"/>
  <c r="M46" i="59"/>
  <c r="J44" i="59"/>
  <c r="K44" i="59"/>
  <c r="L44" i="59"/>
  <c r="M44" i="59"/>
  <c r="J42" i="59"/>
  <c r="K42" i="59"/>
  <c r="L42" i="59"/>
  <c r="M42" i="59"/>
  <c r="J40" i="59"/>
  <c r="K40" i="59"/>
  <c r="L40" i="59"/>
  <c r="M40" i="59"/>
  <c r="J38" i="59"/>
  <c r="K38" i="59"/>
  <c r="L38" i="59"/>
  <c r="M38" i="59"/>
  <c r="J36" i="59"/>
  <c r="K36" i="59"/>
  <c r="L36" i="59"/>
  <c r="M36" i="59"/>
  <c r="J34" i="59"/>
  <c r="K34" i="59"/>
  <c r="L34" i="59"/>
  <c r="M34" i="59"/>
  <c r="J32" i="59"/>
  <c r="K32" i="59"/>
  <c r="L32" i="59"/>
  <c r="M32" i="59"/>
  <c r="J30" i="59"/>
  <c r="K30" i="59"/>
  <c r="L30" i="59"/>
  <c r="M30" i="59"/>
  <c r="J28" i="59"/>
  <c r="K28" i="59"/>
  <c r="L28" i="59"/>
  <c r="M28" i="59"/>
  <c r="N83" i="41"/>
  <c r="O83" i="41"/>
  <c r="G120" i="41"/>
  <c r="H103" i="41"/>
  <c r="I103" i="41"/>
  <c r="N67" i="41"/>
  <c r="O67" i="41"/>
  <c r="N36" i="41"/>
  <c r="O36" i="41"/>
  <c r="L58" i="41"/>
  <c r="M58" i="41"/>
  <c r="N82" i="41"/>
  <c r="O82" i="41"/>
  <c r="J109" i="41"/>
  <c r="K109" i="41"/>
  <c r="L75" i="41"/>
  <c r="M75" i="41"/>
  <c r="J142" i="41"/>
  <c r="K142" i="41"/>
  <c r="L36" i="41"/>
  <c r="M36" i="41"/>
  <c r="P89" i="41"/>
  <c r="Q89" i="41"/>
  <c r="N122" i="41"/>
  <c r="O122" i="41"/>
  <c r="H54" i="41"/>
  <c r="I54" i="41"/>
  <c r="P48" i="41"/>
  <c r="Q48" i="41"/>
  <c r="P30" i="41"/>
  <c r="Q30" i="41"/>
  <c r="N89" i="41"/>
  <c r="O89" i="41"/>
  <c r="N30" i="41"/>
  <c r="O30" i="41"/>
  <c r="N146" i="41"/>
  <c r="O146" i="41"/>
  <c r="P156" i="41"/>
  <c r="Q156" i="41"/>
  <c r="L160" i="41"/>
  <c r="M160" i="41"/>
  <c r="H121" i="41"/>
  <c r="I121" i="41"/>
  <c r="G122" i="41"/>
  <c r="G75" i="41"/>
  <c r="N51" i="41"/>
  <c r="O51" i="41"/>
  <c r="N48" i="41"/>
  <c r="O48" i="41"/>
  <c r="P144" i="41"/>
  <c r="Q144" i="41"/>
  <c r="H36" i="41"/>
  <c r="I36" i="41"/>
  <c r="P49" i="41"/>
  <c r="Q49" i="41"/>
  <c r="N144" i="41"/>
  <c r="O144" i="41"/>
  <c r="L105" i="41"/>
  <c r="M105" i="41"/>
  <c r="P106" i="41"/>
  <c r="Q106" i="41"/>
  <c r="N57" i="41"/>
  <c r="O57" i="41"/>
  <c r="J85" i="41"/>
  <c r="K85" i="41"/>
  <c r="G96" i="41"/>
  <c r="L88" i="41"/>
  <c r="M88" i="41"/>
  <c r="J86" i="41"/>
  <c r="K86" i="41"/>
  <c r="N112" i="41"/>
  <c r="O112" i="41"/>
  <c r="P77" i="41"/>
  <c r="Q77" i="41"/>
  <c r="P139" i="41"/>
  <c r="Q139" i="41"/>
  <c r="L125" i="41"/>
  <c r="M125" i="41"/>
  <c r="J76" i="41"/>
  <c r="K76" i="41"/>
  <c r="P74" i="41"/>
  <c r="Q74" i="41"/>
  <c r="L67" i="41"/>
  <c r="M67" i="41"/>
  <c r="P64" i="41"/>
  <c r="Q64" i="41"/>
  <c r="N49" i="41"/>
  <c r="O49" i="41"/>
  <c r="P50" i="41"/>
  <c r="Q50" i="41"/>
  <c r="G46" i="41"/>
  <c r="L144" i="41"/>
  <c r="M144" i="41"/>
  <c r="L146" i="41"/>
  <c r="M146" i="41"/>
  <c r="N106" i="41"/>
  <c r="O106" i="41"/>
  <c r="J57" i="41"/>
  <c r="K57" i="41"/>
  <c r="H86" i="41"/>
  <c r="I86" i="41"/>
  <c r="N77" i="41"/>
  <c r="O77" i="41"/>
  <c r="N139" i="41"/>
  <c r="O139" i="41"/>
  <c r="H125" i="41"/>
  <c r="I125" i="41"/>
  <c r="N74" i="41"/>
  <c r="O74" i="41"/>
  <c r="H67" i="41"/>
  <c r="I67" i="41"/>
  <c r="H68" i="41"/>
  <c r="I68" i="41"/>
  <c r="J49" i="41"/>
  <c r="K49" i="41"/>
  <c r="L50" i="41"/>
  <c r="M50" i="41"/>
  <c r="J55" i="41"/>
  <c r="K55" i="41"/>
  <c r="J144" i="41"/>
  <c r="K144" i="41"/>
  <c r="N84" i="41"/>
  <c r="O84" i="41"/>
  <c r="L130" i="41"/>
  <c r="M130" i="41"/>
  <c r="P109" i="41"/>
  <c r="Q109" i="41"/>
  <c r="J77" i="41"/>
  <c r="K77" i="41"/>
  <c r="J139" i="41"/>
  <c r="K139" i="41"/>
  <c r="P53" i="41"/>
  <c r="Q53" i="41"/>
  <c r="P75" i="41"/>
  <c r="Q75" i="41"/>
  <c r="L74" i="41"/>
  <c r="M74" i="41"/>
  <c r="G68" i="41"/>
  <c r="G49" i="41"/>
  <c r="H55" i="41"/>
  <c r="I55" i="41"/>
  <c r="G144" i="41"/>
  <c r="P142" i="41"/>
  <c r="Q142" i="41"/>
  <c r="N93" i="41"/>
  <c r="O93" i="41"/>
  <c r="H77" i="41"/>
  <c r="I77" i="41"/>
  <c r="J74" i="41"/>
  <c r="K74" i="41"/>
  <c r="H65" i="41"/>
  <c r="I65" i="41"/>
  <c r="P62" i="41"/>
  <c r="Q62" i="41"/>
  <c r="L142" i="41"/>
  <c r="M142" i="41"/>
  <c r="J105" i="41"/>
  <c r="K105" i="41"/>
  <c r="H107" i="41"/>
  <c r="I107" i="41"/>
  <c r="G85" i="41"/>
  <c r="J130" i="41"/>
  <c r="K130" i="41"/>
  <c r="G28" i="41"/>
  <c r="H96" i="41"/>
  <c r="I96" i="41"/>
  <c r="P90" i="41"/>
  <c r="Q90" i="41"/>
  <c r="H109" i="41"/>
  <c r="I109" i="41"/>
  <c r="N86" i="41"/>
  <c r="O86" i="41"/>
  <c r="P127" i="41"/>
  <c r="Q127" i="41"/>
  <c r="G126" i="41"/>
  <c r="G121" i="41"/>
  <c r="J120" i="41"/>
  <c r="K120" i="41"/>
  <c r="J125" i="41"/>
  <c r="K125" i="41"/>
  <c r="N76" i="41"/>
  <c r="O76" i="41"/>
  <c r="J67" i="41"/>
  <c r="K67" i="41"/>
  <c r="G65" i="41"/>
  <c r="P68" i="41"/>
  <c r="Q68" i="41"/>
  <c r="L49" i="41"/>
  <c r="M49" i="41"/>
  <c r="J47" i="41"/>
  <c r="K47" i="41"/>
  <c r="P51" i="41"/>
  <c r="Q51" i="41"/>
  <c r="N50" i="41"/>
  <c r="O50" i="41"/>
  <c r="P38" i="41"/>
  <c r="Q38" i="41"/>
  <c r="N142" i="41"/>
  <c r="O142" i="41"/>
  <c r="J36" i="41"/>
  <c r="K36" i="41"/>
  <c r="N156" i="41"/>
  <c r="O156" i="41"/>
  <c r="P110" i="41"/>
  <c r="Q110" i="41"/>
  <c r="N104" i="41"/>
  <c r="O104" i="41"/>
  <c r="J89" i="41"/>
  <c r="K89" i="41"/>
  <c r="N90" i="41"/>
  <c r="O90" i="41"/>
  <c r="N127" i="41"/>
  <c r="O127" i="41"/>
  <c r="P121" i="41"/>
  <c r="Q121" i="41"/>
  <c r="J53" i="41"/>
  <c r="K53" i="41"/>
  <c r="N52" i="41"/>
  <c r="O52" i="41"/>
  <c r="L69" i="41"/>
  <c r="M69" i="41"/>
  <c r="N61" i="41"/>
  <c r="O61" i="41"/>
  <c r="L51" i="41"/>
  <c r="M51" i="41"/>
  <c r="J50" i="41"/>
  <c r="K50" i="41"/>
  <c r="L38" i="41"/>
  <c r="M38" i="41"/>
  <c r="N147" i="41"/>
  <c r="O147" i="41"/>
  <c r="J156" i="41"/>
  <c r="K156" i="41"/>
  <c r="P52" i="41"/>
  <c r="Q52" i="41"/>
  <c r="L104" i="41"/>
  <c r="M104" i="41"/>
  <c r="P91" i="41"/>
  <c r="Q91" i="41"/>
  <c r="H57" i="41"/>
  <c r="I57" i="41"/>
  <c r="L84" i="41"/>
  <c r="M84" i="41"/>
  <c r="P81" i="41"/>
  <c r="Q81" i="41"/>
  <c r="P28" i="41"/>
  <c r="Q28" i="41"/>
  <c r="P96" i="41"/>
  <c r="Q96" i="41"/>
  <c r="N99" i="41"/>
  <c r="O99" i="41"/>
  <c r="J90" i="41"/>
  <c r="K90" i="41"/>
  <c r="N87" i="41"/>
  <c r="O87" i="41"/>
  <c r="G86" i="41"/>
  <c r="G77" i="41"/>
  <c r="P97" i="41"/>
  <c r="Q97" i="41"/>
  <c r="L52" i="41"/>
  <c r="M52" i="41"/>
  <c r="J69" i="41"/>
  <c r="K69" i="41"/>
  <c r="P65" i="41"/>
  <c r="Q65" i="41"/>
  <c r="N64" i="41"/>
  <c r="O64" i="41"/>
  <c r="L61" i="41"/>
  <c r="M61" i="41"/>
  <c r="N39" i="41"/>
  <c r="O39" i="41"/>
  <c r="H50" i="41"/>
  <c r="I50" i="41"/>
  <c r="H38" i="41"/>
  <c r="I38" i="41"/>
  <c r="L147" i="41"/>
  <c r="M147" i="41"/>
  <c r="H142" i="41"/>
  <c r="I142" i="41"/>
  <c r="P117" i="41"/>
  <c r="Q117" i="41"/>
  <c r="H156" i="41"/>
  <c r="I156" i="41"/>
  <c r="J110" i="41"/>
  <c r="K110" i="41"/>
  <c r="G104" i="41"/>
  <c r="G57" i="41"/>
  <c r="G84" i="41"/>
  <c r="H81" i="41"/>
  <c r="I81" i="41"/>
  <c r="H89" i="41"/>
  <c r="I89" i="41"/>
  <c r="H90" i="41"/>
  <c r="I90" i="41"/>
  <c r="N109" i="41"/>
  <c r="O109" i="41"/>
  <c r="J127" i="41"/>
  <c r="K127" i="41"/>
  <c r="N121" i="41"/>
  <c r="O121" i="41"/>
  <c r="N102" i="41"/>
  <c r="O102" i="41"/>
  <c r="N97" i="41"/>
  <c r="O97" i="41"/>
  <c r="H53" i="41"/>
  <c r="I53" i="41"/>
  <c r="J52" i="41"/>
  <c r="K52" i="41"/>
  <c r="H69" i="41"/>
  <c r="I69" i="41"/>
  <c r="N65" i="41"/>
  <c r="O65" i="41"/>
  <c r="J73" i="41"/>
  <c r="K73" i="41"/>
  <c r="H61" i="41"/>
  <c r="I61" i="41"/>
  <c r="P47" i="41"/>
  <c r="Q47" i="41"/>
  <c r="L39" i="41"/>
  <c r="M39" i="41"/>
  <c r="J51" i="41"/>
  <c r="K51" i="41"/>
  <c r="P40" i="41"/>
  <c r="Q40" i="41"/>
  <c r="H45" i="41"/>
  <c r="I45" i="41"/>
  <c r="P41" i="41"/>
  <c r="Q41" i="41"/>
  <c r="J147" i="41"/>
  <c r="K147" i="41"/>
  <c r="P36" i="41"/>
  <c r="Q36" i="41"/>
  <c r="H117" i="41"/>
  <c r="I117" i="41"/>
  <c r="G110" i="41"/>
  <c r="N108" i="41"/>
  <c r="O108" i="41"/>
  <c r="P85" i="41"/>
  <c r="Q85" i="41"/>
  <c r="N28" i="41"/>
  <c r="O28" i="41"/>
  <c r="N96" i="41"/>
  <c r="O96" i="41"/>
  <c r="G89" i="41"/>
  <c r="G90" i="41"/>
  <c r="N114" i="41"/>
  <c r="O114" i="41"/>
  <c r="H127" i="41"/>
  <c r="I127" i="41"/>
  <c r="J121" i="41"/>
  <c r="K121" i="41"/>
  <c r="H137" i="41"/>
  <c r="I137" i="41"/>
  <c r="J97" i="41"/>
  <c r="K97" i="41"/>
  <c r="L65" i="41"/>
  <c r="M65" i="41"/>
  <c r="G73" i="41"/>
  <c r="H60" i="41"/>
  <c r="I60" i="41"/>
  <c r="N66" i="41"/>
  <c r="O66" i="41"/>
  <c r="N47" i="41"/>
  <c r="O47" i="41"/>
  <c r="J39" i="41"/>
  <c r="K39" i="41"/>
  <c r="H51" i="41"/>
  <c r="I51" i="41"/>
  <c r="H40" i="41"/>
  <c r="I40" i="41"/>
  <c r="N41" i="41"/>
  <c r="O41" i="41"/>
  <c r="H147" i="41"/>
  <c r="I147" i="41"/>
  <c r="L108" i="41"/>
  <c r="M108" i="41"/>
  <c r="N85" i="41"/>
  <c r="O85" i="41"/>
  <c r="J28" i="41"/>
  <c r="K28" i="41"/>
  <c r="L114" i="41"/>
  <c r="M114" i="41"/>
  <c r="G127" i="41"/>
  <c r="H52" i="41"/>
  <c r="I52" i="41"/>
  <c r="L47" i="41"/>
  <c r="M47" i="41"/>
  <c r="H39" i="41"/>
  <c r="I39" i="41"/>
  <c r="H37" i="41"/>
  <c r="I37" i="41"/>
  <c r="H29" i="41"/>
  <c r="I29" i="41"/>
  <c r="P29" i="41"/>
  <c r="Q29" i="41"/>
  <c r="H131" i="41"/>
  <c r="I131" i="41"/>
  <c r="P131" i="41"/>
  <c r="Q131" i="41"/>
  <c r="J131" i="41"/>
  <c r="K131" i="41"/>
  <c r="H119" i="41"/>
  <c r="I119" i="41"/>
  <c r="P119" i="41"/>
  <c r="Q119" i="41"/>
  <c r="J119" i="41"/>
  <c r="K119" i="41"/>
  <c r="G63" i="41"/>
  <c r="L63" i="41"/>
  <c r="M63" i="41"/>
  <c r="N63" i="41"/>
  <c r="O63" i="41"/>
  <c r="N44" i="41"/>
  <c r="O44" i="41"/>
  <c r="P44" i="41"/>
  <c r="Q44" i="41"/>
  <c r="G143" i="41"/>
  <c r="N143" i="41"/>
  <c r="O143" i="41"/>
  <c r="P143" i="41"/>
  <c r="Q143" i="41"/>
  <c r="N29" i="41"/>
  <c r="O29" i="41"/>
  <c r="H110" i="41"/>
  <c r="I110" i="41"/>
  <c r="N166" i="41"/>
  <c r="O166" i="41"/>
  <c r="J111" i="41"/>
  <c r="K111" i="41"/>
  <c r="P107" i="41"/>
  <c r="Q107" i="41"/>
  <c r="G107" i="41"/>
  <c r="J106" i="41"/>
  <c r="K106" i="41"/>
  <c r="L93" i="41"/>
  <c r="M93" i="41"/>
  <c r="N91" i="41"/>
  <c r="O91" i="41"/>
  <c r="N80" i="41"/>
  <c r="O80" i="41"/>
  <c r="H58" i="41"/>
  <c r="I58" i="41"/>
  <c r="P58" i="41"/>
  <c r="Q58" i="41"/>
  <c r="H85" i="41"/>
  <c r="I85" i="41"/>
  <c r="J83" i="41"/>
  <c r="K83" i="41"/>
  <c r="L82" i="41"/>
  <c r="M82" i="41"/>
  <c r="N81" i="41"/>
  <c r="O81" i="41"/>
  <c r="N130" i="41"/>
  <c r="O130" i="41"/>
  <c r="H99" i="41"/>
  <c r="I99" i="41"/>
  <c r="P99" i="41"/>
  <c r="Q99" i="41"/>
  <c r="J99" i="41"/>
  <c r="K99" i="41"/>
  <c r="L87" i="41"/>
  <c r="M87" i="41"/>
  <c r="N126" i="41"/>
  <c r="O126" i="41"/>
  <c r="H122" i="41"/>
  <c r="I122" i="41"/>
  <c r="P122" i="41"/>
  <c r="Q122" i="41"/>
  <c r="J122" i="41"/>
  <c r="K122" i="41"/>
  <c r="P102" i="41"/>
  <c r="Q102" i="41"/>
  <c r="P60" i="41"/>
  <c r="Q60" i="41"/>
  <c r="G71" i="41"/>
  <c r="J71" i="41"/>
  <c r="K71" i="41"/>
  <c r="L71" i="41"/>
  <c r="M71" i="41"/>
  <c r="L40" i="41"/>
  <c r="M40" i="41"/>
  <c r="N40" i="41"/>
  <c r="O40" i="41"/>
  <c r="J35" i="41"/>
  <c r="K35" i="41"/>
  <c r="N35" i="41"/>
  <c r="O35" i="41"/>
  <c r="P35" i="41"/>
  <c r="Q35" i="41"/>
  <c r="J31" i="41"/>
  <c r="K31" i="41"/>
  <c r="L31" i="41"/>
  <c r="M31" i="41"/>
  <c r="N31" i="41"/>
  <c r="O31" i="41"/>
  <c r="H161" i="41"/>
  <c r="I161" i="41"/>
  <c r="P161" i="41"/>
  <c r="Q161" i="41"/>
  <c r="H92" i="41"/>
  <c r="I92" i="41"/>
  <c r="P92" i="41"/>
  <c r="Q92" i="41"/>
  <c r="J92" i="41"/>
  <c r="K92" i="41"/>
  <c r="H138" i="41"/>
  <c r="I138" i="41"/>
  <c r="P138" i="41"/>
  <c r="Q138" i="41"/>
  <c r="J138" i="41"/>
  <c r="K138" i="41"/>
  <c r="L137" i="41"/>
  <c r="M137" i="41"/>
  <c r="N137" i="41"/>
  <c r="O137" i="41"/>
  <c r="J103" i="41"/>
  <c r="K103" i="41"/>
  <c r="L103" i="41"/>
  <c r="M103" i="41"/>
  <c r="G66" i="41"/>
  <c r="H66" i="41"/>
  <c r="I66" i="41"/>
  <c r="J66" i="41"/>
  <c r="K66" i="41"/>
  <c r="J45" i="41"/>
  <c r="K45" i="41"/>
  <c r="L45" i="41"/>
  <c r="M45" i="41"/>
  <c r="N45" i="41"/>
  <c r="O45" i="41"/>
  <c r="L29" i="41"/>
  <c r="M29" i="41"/>
  <c r="N161" i="41"/>
  <c r="O161" i="41"/>
  <c r="H111" i="41"/>
  <c r="I111" i="41"/>
  <c r="N107" i="41"/>
  <c r="O107" i="41"/>
  <c r="H104" i="41"/>
  <c r="I104" i="41"/>
  <c r="P104" i="41"/>
  <c r="Q104" i="41"/>
  <c r="H106" i="41"/>
  <c r="I106" i="41"/>
  <c r="J93" i="41"/>
  <c r="K93" i="41"/>
  <c r="J91" i="41"/>
  <c r="K91" i="41"/>
  <c r="L80" i="41"/>
  <c r="M80" i="41"/>
  <c r="H84" i="41"/>
  <c r="I84" i="41"/>
  <c r="P84" i="41"/>
  <c r="Q84" i="41"/>
  <c r="H83" i="41"/>
  <c r="I83" i="41"/>
  <c r="J82" i="41"/>
  <c r="K82" i="41"/>
  <c r="J81" i="41"/>
  <c r="K81" i="41"/>
  <c r="N131" i="41"/>
  <c r="O131" i="41"/>
  <c r="H88" i="41"/>
  <c r="I88" i="41"/>
  <c r="P88" i="41"/>
  <c r="Q88" i="41"/>
  <c r="J88" i="41"/>
  <c r="K88" i="41"/>
  <c r="N119" i="41"/>
  <c r="O119" i="41"/>
  <c r="G101" i="41"/>
  <c r="H101" i="41"/>
  <c r="I101" i="41"/>
  <c r="J101" i="41"/>
  <c r="K101" i="41"/>
  <c r="G54" i="41"/>
  <c r="N54" i="41"/>
  <c r="O54" i="41"/>
  <c r="P54" i="41"/>
  <c r="Q54" i="41"/>
  <c r="N73" i="41"/>
  <c r="O73" i="41"/>
  <c r="P73" i="41"/>
  <c r="Q73" i="41"/>
  <c r="G37" i="41"/>
  <c r="N37" i="41"/>
  <c r="O37" i="41"/>
  <c r="P37" i="41"/>
  <c r="Q37" i="41"/>
  <c r="H46" i="41"/>
  <c r="I46" i="41"/>
  <c r="J46" i="41"/>
  <c r="K46" i="41"/>
  <c r="L46" i="41"/>
  <c r="M46" i="41"/>
  <c r="N110" i="41"/>
  <c r="O110" i="41"/>
  <c r="J166" i="41"/>
  <c r="K166" i="41"/>
  <c r="P111" i="41"/>
  <c r="Q111" i="41"/>
  <c r="G111" i="41"/>
  <c r="J108" i="41"/>
  <c r="K108" i="41"/>
  <c r="G106" i="41"/>
  <c r="G83" i="41"/>
  <c r="H87" i="41"/>
  <c r="I87" i="41"/>
  <c r="P87" i="41"/>
  <c r="Q87" i="41"/>
  <c r="J87" i="41"/>
  <c r="K87" i="41"/>
  <c r="L112" i="41"/>
  <c r="M112" i="41"/>
  <c r="P137" i="41"/>
  <c r="Q137" i="41"/>
  <c r="L102" i="41"/>
  <c r="M102" i="41"/>
  <c r="J59" i="41"/>
  <c r="K59" i="41"/>
  <c r="L68" i="41"/>
  <c r="M68" i="41"/>
  <c r="N68" i="41"/>
  <c r="O68" i="41"/>
  <c r="L44" i="41"/>
  <c r="M44" i="41"/>
  <c r="G42" i="41"/>
  <c r="L42" i="41"/>
  <c r="M42" i="41"/>
  <c r="N42" i="41"/>
  <c r="O42" i="41"/>
  <c r="P42" i="41"/>
  <c r="Q42" i="41"/>
  <c r="P43" i="41"/>
  <c r="Q43" i="41"/>
  <c r="G41" i="41"/>
  <c r="H41" i="41"/>
  <c r="I41" i="41"/>
  <c r="J41" i="41"/>
  <c r="K41" i="41"/>
  <c r="L143" i="41"/>
  <c r="M143" i="41"/>
  <c r="J145" i="41"/>
  <c r="K145" i="41"/>
  <c r="N145" i="41"/>
  <c r="O145" i="41"/>
  <c r="P145" i="41"/>
  <c r="Q145" i="41"/>
  <c r="J29" i="41"/>
  <c r="K29" i="41"/>
  <c r="H105" i="41"/>
  <c r="I105" i="41"/>
  <c r="P105" i="41"/>
  <c r="Q105" i="41"/>
  <c r="L161" i="41"/>
  <c r="M161" i="41"/>
  <c r="H93" i="41"/>
  <c r="I93" i="41"/>
  <c r="P93" i="41"/>
  <c r="Q93" i="41"/>
  <c r="H91" i="41"/>
  <c r="I91" i="41"/>
  <c r="J80" i="41"/>
  <c r="K80" i="41"/>
  <c r="H82" i="41"/>
  <c r="I82" i="41"/>
  <c r="P82" i="41"/>
  <c r="Q82" i="41"/>
  <c r="L131" i="41"/>
  <c r="M131" i="41"/>
  <c r="N92" i="41"/>
  <c r="O92" i="41"/>
  <c r="H114" i="41"/>
  <c r="I114" i="41"/>
  <c r="P114" i="41"/>
  <c r="Q114" i="41"/>
  <c r="J114" i="41"/>
  <c r="K114" i="41"/>
  <c r="L119" i="41"/>
  <c r="M119" i="41"/>
  <c r="N138" i="41"/>
  <c r="O138" i="41"/>
  <c r="P103" i="41"/>
  <c r="Q103" i="41"/>
  <c r="J70" i="41"/>
  <c r="K70" i="41"/>
  <c r="P63" i="41"/>
  <c r="Q63" i="41"/>
  <c r="J60" i="41"/>
  <c r="K60" i="41"/>
  <c r="L60" i="41"/>
  <c r="M60" i="41"/>
  <c r="N60" i="41"/>
  <c r="O60" i="41"/>
  <c r="N62" i="41"/>
  <c r="O62" i="41"/>
  <c r="J44" i="41"/>
  <c r="K44" i="41"/>
  <c r="G55" i="41"/>
  <c r="L55" i="41"/>
  <c r="M55" i="41"/>
  <c r="N55" i="41"/>
  <c r="O55" i="41"/>
  <c r="N43" i="41"/>
  <c r="O43" i="41"/>
  <c r="J117" i="41"/>
  <c r="K117" i="41"/>
  <c r="L117" i="41"/>
  <c r="M117" i="41"/>
  <c r="N117" i="41"/>
  <c r="O117" i="41"/>
  <c r="N105" i="41"/>
  <c r="O105" i="41"/>
  <c r="H166" i="41"/>
  <c r="I166" i="41"/>
  <c r="N111" i="41"/>
  <c r="O111" i="41"/>
  <c r="J107" i="41"/>
  <c r="K107" i="41"/>
  <c r="G91" i="41"/>
  <c r="G81" i="41"/>
  <c r="L99" i="41"/>
  <c r="M99" i="41"/>
  <c r="N88" i="41"/>
  <c r="O88" i="41"/>
  <c r="H126" i="41"/>
  <c r="I126" i="41"/>
  <c r="P126" i="41"/>
  <c r="Q126" i="41"/>
  <c r="J126" i="41"/>
  <c r="K126" i="41"/>
  <c r="J137" i="41"/>
  <c r="K137" i="41"/>
  <c r="G102" i="41"/>
  <c r="H102" i="41"/>
  <c r="I102" i="41"/>
  <c r="L53" i="41"/>
  <c r="M53" i="41"/>
  <c r="N53" i="41"/>
  <c r="O53" i="41"/>
  <c r="G59" i="41"/>
  <c r="N59" i="41"/>
  <c r="O59" i="41"/>
  <c r="P59" i="41"/>
  <c r="Q59" i="41"/>
  <c r="J63" i="41"/>
  <c r="K63" i="41"/>
  <c r="P71" i="41"/>
  <c r="Q71" i="41"/>
  <c r="H64" i="41"/>
  <c r="I64" i="41"/>
  <c r="J64" i="41"/>
  <c r="K64" i="41"/>
  <c r="L64" i="41"/>
  <c r="M64" i="41"/>
  <c r="H44" i="41"/>
  <c r="I44" i="41"/>
  <c r="J40" i="41"/>
  <c r="K40" i="41"/>
  <c r="P45" i="41"/>
  <c r="Q45" i="41"/>
  <c r="G48" i="41"/>
  <c r="J48" i="41"/>
  <c r="K48" i="41"/>
  <c r="L48" i="41"/>
  <c r="M48" i="41"/>
  <c r="J143" i="41"/>
  <c r="K143" i="41"/>
  <c r="L35" i="41"/>
  <c r="M35" i="41"/>
  <c r="P31" i="41"/>
  <c r="Q31" i="41"/>
  <c r="G29" i="41"/>
  <c r="P166" i="41"/>
  <c r="Q166" i="41"/>
  <c r="G166" i="41"/>
  <c r="J161" i="41"/>
  <c r="K161" i="41"/>
  <c r="H108" i="41"/>
  <c r="I108" i="41"/>
  <c r="P108" i="41"/>
  <c r="Q108" i="41"/>
  <c r="H80" i="41"/>
  <c r="I80" i="41"/>
  <c r="P80" i="41"/>
  <c r="Q80" i="41"/>
  <c r="H130" i="41"/>
  <c r="I130" i="41"/>
  <c r="P130" i="41"/>
  <c r="Q130" i="41"/>
  <c r="G131" i="41"/>
  <c r="L92" i="41"/>
  <c r="M92" i="41"/>
  <c r="H112" i="41"/>
  <c r="I112" i="41"/>
  <c r="P112" i="41"/>
  <c r="Q112" i="41"/>
  <c r="J112" i="41"/>
  <c r="K112" i="41"/>
  <c r="G119" i="41"/>
  <c r="L138" i="41"/>
  <c r="M138" i="41"/>
  <c r="P101" i="41"/>
  <c r="Q101" i="41"/>
  <c r="N103" i="41"/>
  <c r="O103" i="41"/>
  <c r="G97" i="41"/>
  <c r="L97" i="41"/>
  <c r="M97" i="41"/>
  <c r="L54" i="41"/>
  <c r="M54" i="41"/>
  <c r="L73" i="41"/>
  <c r="M73" i="41"/>
  <c r="G70" i="41"/>
  <c r="L70" i="41"/>
  <c r="M70" i="41"/>
  <c r="N70" i="41"/>
  <c r="O70" i="41"/>
  <c r="P70" i="41"/>
  <c r="Q70" i="41"/>
  <c r="H63" i="41"/>
  <c r="I63" i="41"/>
  <c r="N71" i="41"/>
  <c r="O71" i="41"/>
  <c r="P66" i="41"/>
  <c r="Q66" i="41"/>
  <c r="G62" i="41"/>
  <c r="H62" i="41"/>
  <c r="I62" i="41"/>
  <c r="J62" i="41"/>
  <c r="K62" i="41"/>
  <c r="L37" i="41"/>
  <c r="M37" i="41"/>
  <c r="G44" i="41"/>
  <c r="P46" i="41"/>
  <c r="Q46" i="41"/>
  <c r="G43" i="41"/>
  <c r="H43" i="41"/>
  <c r="I43" i="41"/>
  <c r="J43" i="41"/>
  <c r="K43" i="41"/>
  <c r="H143" i="41"/>
  <c r="I143" i="41"/>
  <c r="P125" i="41"/>
  <c r="Q125" i="41"/>
  <c r="G125" i="41"/>
  <c r="H76" i="41"/>
  <c r="I76" i="41"/>
  <c r="H74" i="41"/>
  <c r="I74" i="41"/>
  <c r="G69" i="41"/>
  <c r="J61" i="41"/>
  <c r="K61" i="41"/>
  <c r="H47" i="41"/>
  <c r="I47" i="41"/>
  <c r="G39" i="41"/>
  <c r="J38" i="41"/>
  <c r="K38" i="41"/>
  <c r="H30" i="41"/>
  <c r="I30" i="41"/>
  <c r="G147" i="41"/>
  <c r="P76" i="41"/>
  <c r="Q76" i="41"/>
  <c r="P67" i="41"/>
  <c r="Q67" i="41"/>
  <c r="L25" i="41"/>
  <c r="M25" i="41"/>
  <c r="G91" i="83"/>
  <c r="N104" i="83"/>
  <c r="O104" i="83"/>
  <c r="N136" i="83"/>
  <c r="O136" i="83"/>
  <c r="J136" i="83"/>
  <c r="K136" i="83"/>
  <c r="J158" i="83"/>
  <c r="K158" i="83"/>
  <c r="H61" i="83"/>
  <c r="I61" i="83"/>
  <c r="G47" i="83"/>
  <c r="L47" i="83"/>
  <c r="M47" i="83"/>
  <c r="H66" i="83"/>
  <c r="I66" i="83"/>
  <c r="L66" i="83"/>
  <c r="M66" i="83"/>
  <c r="G66" i="83"/>
  <c r="P54" i="83"/>
  <c r="Q54" i="83"/>
  <c r="N61" i="83"/>
  <c r="O61" i="83"/>
  <c r="J55" i="83"/>
  <c r="K55" i="83"/>
  <c r="H55" i="83"/>
  <c r="I55" i="83"/>
  <c r="L55" i="83"/>
  <c r="M55" i="83"/>
  <c r="P55" i="83"/>
  <c r="Q55" i="83"/>
  <c r="G55" i="83"/>
  <c r="J74" i="83"/>
  <c r="K74" i="83"/>
  <c r="L74" i="83"/>
  <c r="M74" i="83"/>
  <c r="P74" i="83"/>
  <c r="Q74" i="83"/>
  <c r="O168" i="83"/>
  <c r="N33" i="83"/>
  <c r="O33" i="83"/>
  <c r="L33" i="83"/>
  <c r="M33" i="83"/>
  <c r="H33" i="83"/>
  <c r="I33" i="83"/>
  <c r="I168" i="83"/>
  <c r="J127" i="83"/>
  <c r="K127" i="83"/>
  <c r="N127" i="83"/>
  <c r="O127" i="83"/>
  <c r="J76" i="83"/>
  <c r="K76" i="83"/>
  <c r="J120" i="83"/>
  <c r="K120" i="83"/>
  <c r="L120" i="83"/>
  <c r="M120" i="83"/>
  <c r="N120" i="83"/>
  <c r="O120" i="83"/>
  <c r="J109" i="83"/>
  <c r="K109" i="83"/>
  <c r="N109" i="83"/>
  <c r="O109" i="83"/>
  <c r="G51" i="83"/>
  <c r="P51" i="83"/>
  <c r="Q51" i="83"/>
  <c r="J64" i="83"/>
  <c r="K64" i="83"/>
  <c r="J79" i="83"/>
  <c r="K79" i="83"/>
  <c r="N79" i="83"/>
  <c r="O79" i="83"/>
  <c r="J150" i="83"/>
  <c r="K150" i="83"/>
  <c r="N150" i="83"/>
  <c r="O150" i="83"/>
  <c r="G157" i="83"/>
  <c r="N157" i="83"/>
  <c r="O157" i="83"/>
  <c r="J145" i="83"/>
  <c r="K145" i="83"/>
  <c r="N145" i="83"/>
  <c r="O145" i="83"/>
  <c r="L64" i="83"/>
  <c r="M64" i="83"/>
  <c r="H64" i="83"/>
  <c r="I64" i="83"/>
  <c r="L58" i="83"/>
  <c r="M58" i="83"/>
  <c r="G58" i="83"/>
  <c r="J58" i="83"/>
  <c r="K58" i="83"/>
  <c r="H58" i="83"/>
  <c r="I58" i="83"/>
  <c r="L149" i="83"/>
  <c r="M149" i="83"/>
  <c r="J149" i="83"/>
  <c r="K149" i="83"/>
  <c r="G144" i="83"/>
  <c r="N144" i="83"/>
  <c r="O144" i="83"/>
  <c r="H131" i="83"/>
  <c r="I131" i="83"/>
  <c r="L155" i="83"/>
  <c r="M155" i="83"/>
  <c r="J155" i="83"/>
  <c r="K155" i="83"/>
  <c r="L148" i="83"/>
  <c r="M148" i="83"/>
  <c r="N148" i="83"/>
  <c r="O148" i="83"/>
  <c r="J148" i="83"/>
  <c r="K148" i="83"/>
  <c r="L52" i="83"/>
  <c r="M52" i="83"/>
  <c r="G52" i="83"/>
  <c r="P52" i="83"/>
  <c r="Q52" i="83"/>
  <c r="J52" i="83"/>
  <c r="K52" i="83"/>
  <c r="J61" i="83"/>
  <c r="K61" i="83"/>
  <c r="P61" i="83"/>
  <c r="Q61" i="83"/>
  <c r="G61" i="83"/>
  <c r="J140" i="83"/>
  <c r="K140" i="83"/>
  <c r="L132" i="83"/>
  <c r="M132" i="83"/>
  <c r="H141" i="83"/>
  <c r="I141" i="83"/>
  <c r="G141" i="83"/>
  <c r="N141" i="83"/>
  <c r="O141" i="83"/>
  <c r="N54" i="83"/>
  <c r="O54" i="83"/>
  <c r="H54" i="83"/>
  <c r="I54" i="83"/>
  <c r="G54" i="83"/>
  <c r="H51" i="83"/>
  <c r="I51" i="83"/>
  <c r="L51" i="83"/>
  <c r="M51" i="83"/>
  <c r="N51" i="83"/>
  <c r="O51" i="83"/>
  <c r="J47" i="83"/>
  <c r="K47" i="83"/>
  <c r="P47" i="83"/>
  <c r="Q47" i="83"/>
  <c r="H47" i="83"/>
  <c r="I47" i="83"/>
  <c r="H44" i="83"/>
  <c r="I44" i="83"/>
  <c r="G53" i="83"/>
  <c r="G49" i="83"/>
  <c r="P42" i="83"/>
  <c r="Q42" i="83"/>
  <c r="Q168" i="83"/>
  <c r="P45" i="83"/>
  <c r="Q45" i="83"/>
  <c r="L45" i="83"/>
  <c r="M45" i="83"/>
  <c r="M168" i="83"/>
  <c r="L71" i="83"/>
  <c r="M71" i="83"/>
  <c r="L53" i="83"/>
  <c r="M53" i="83"/>
  <c r="J49" i="83"/>
  <c r="K49" i="83"/>
  <c r="P69" i="83"/>
  <c r="Q69" i="83"/>
  <c r="J62" i="83"/>
  <c r="K62" i="83"/>
  <c r="H62" i="83"/>
  <c r="I62" i="83"/>
  <c r="L75" i="83"/>
  <c r="M75" i="83"/>
  <c r="P53" i="83"/>
  <c r="Q53" i="83"/>
  <c r="P49" i="83"/>
  <c r="Q49" i="83"/>
  <c r="L62" i="83"/>
  <c r="M62" i="83"/>
  <c r="J38" i="83"/>
  <c r="K38" i="83"/>
  <c r="K168" i="83"/>
  <c r="H53" i="83"/>
  <c r="I53" i="83"/>
  <c r="G62" i="83"/>
  <c r="J53" i="83"/>
  <c r="K53" i="83"/>
  <c r="L49" i="143"/>
  <c r="M49" i="143"/>
  <c r="P49" i="143"/>
  <c r="Q49" i="143"/>
  <c r="N49" i="143"/>
  <c r="O49" i="143"/>
  <c r="G112" i="143"/>
  <c r="J112" i="143"/>
  <c r="K112" i="143"/>
  <c r="G32" i="143"/>
  <c r="H32" i="143"/>
  <c r="I32" i="143"/>
  <c r="I167" i="143"/>
  <c r="P32" i="143"/>
  <c r="Q32" i="143"/>
  <c r="Q167" i="143"/>
  <c r="J32" i="143"/>
  <c r="K32" i="143"/>
  <c r="G94" i="143"/>
  <c r="J94" i="143"/>
  <c r="K94" i="143"/>
  <c r="K167" i="143"/>
  <c r="N32" i="143"/>
  <c r="O32" i="143"/>
  <c r="J142" i="143"/>
  <c r="K142" i="143"/>
  <c r="G142" i="143"/>
  <c r="P142" i="143"/>
  <c r="Q142" i="143"/>
  <c r="O167" i="143"/>
  <c r="N35" i="143"/>
  <c r="O35" i="143"/>
  <c r="P35" i="143"/>
  <c r="Q35" i="143"/>
  <c r="H35" i="143"/>
  <c r="I35" i="143"/>
  <c r="L35" i="143"/>
  <c r="M35" i="143"/>
  <c r="G35" i="143"/>
  <c r="L69" i="143"/>
  <c r="M69" i="143"/>
  <c r="N69" i="143"/>
  <c r="O69" i="143"/>
  <c r="P69" i="143"/>
  <c r="Q69" i="143"/>
  <c r="H135" i="143"/>
  <c r="I135" i="143"/>
  <c r="N135" i="143"/>
  <c r="O135" i="143"/>
  <c r="J135" i="143"/>
  <c r="K135" i="143"/>
  <c r="L53" i="143"/>
  <c r="M53" i="143"/>
  <c r="P53" i="143"/>
  <c r="Q53" i="143"/>
  <c r="L37" i="143"/>
  <c r="M37" i="143"/>
  <c r="H37" i="143"/>
  <c r="I37" i="143"/>
  <c r="G118" i="143"/>
  <c r="P118" i="143"/>
  <c r="Q118" i="143"/>
  <c r="P148" i="143"/>
  <c r="Q148" i="143"/>
  <c r="J149" i="143"/>
  <c r="K149" i="143"/>
  <c r="G71" i="143"/>
  <c r="G79" i="143"/>
  <c r="H115" i="143"/>
  <c r="I115" i="143"/>
  <c r="H166" i="143"/>
  <c r="I166" i="143"/>
  <c r="N166" i="143"/>
  <c r="O166" i="143"/>
  <c r="G151" i="143"/>
  <c r="L115" i="143"/>
  <c r="M115" i="143"/>
  <c r="P152" i="143"/>
  <c r="Q152" i="143"/>
  <c r="P77" i="143"/>
  <c r="Q77" i="143"/>
  <c r="P109" i="143"/>
  <c r="Q109" i="143"/>
  <c r="J166" i="143"/>
  <c r="K166" i="143"/>
  <c r="N149" i="143"/>
  <c r="O149" i="143"/>
  <c r="J118" i="143"/>
  <c r="K118" i="143"/>
  <c r="J148" i="143"/>
  <c r="K148" i="143"/>
  <c r="L149" i="143"/>
  <c r="M149" i="143"/>
  <c r="P61" i="143"/>
  <c r="Q61" i="143"/>
  <c r="H103" i="143"/>
  <c r="I103" i="143"/>
  <c r="G152" i="143"/>
  <c r="H152" i="143"/>
  <c r="I152" i="143"/>
  <c r="G148" i="143"/>
  <c r="M167" i="143"/>
  <c r="H149" i="143"/>
  <c r="I149" i="143"/>
  <c r="J152" i="143"/>
  <c r="K152" i="143"/>
  <c r="L166" i="143"/>
  <c r="M166" i="143"/>
  <c r="G166" i="143"/>
  <c r="P149" i="143"/>
  <c r="Q149" i="143"/>
  <c r="J53" i="142"/>
  <c r="K53" i="142"/>
  <c r="H82" i="142"/>
  <c r="I82" i="142"/>
  <c r="H49" i="142"/>
  <c r="I49" i="142"/>
  <c r="J77" i="142"/>
  <c r="K77" i="142"/>
  <c r="N62" i="142"/>
  <c r="O62" i="142"/>
  <c r="G62" i="142"/>
  <c r="O89" i="142"/>
  <c r="H53" i="142"/>
  <c r="I53" i="142"/>
  <c r="N77" i="142"/>
  <c r="O77" i="142"/>
  <c r="N82" i="142"/>
  <c r="O82" i="142"/>
  <c r="P62" i="142"/>
  <c r="Q62" i="142"/>
  <c r="J41" i="142"/>
  <c r="K41" i="142"/>
  <c r="K89" i="142"/>
  <c r="N49" i="142"/>
  <c r="O49" i="142"/>
  <c r="P53" i="142"/>
  <c r="Q53" i="142"/>
  <c r="L53" i="142"/>
  <c r="M53" i="142"/>
  <c r="L41" i="142"/>
  <c r="M41" i="142"/>
  <c r="H62" i="142"/>
  <c r="I62" i="142"/>
  <c r="H41" i="142"/>
  <c r="I41" i="142"/>
  <c r="I89" i="142"/>
  <c r="G82" i="142"/>
  <c r="P77" i="142"/>
  <c r="Q77" i="142"/>
  <c r="G49" i="142"/>
  <c r="G89" i="142"/>
  <c r="P49" i="142"/>
  <c r="Q49" i="142"/>
  <c r="J62" i="142"/>
  <c r="K62" i="142"/>
  <c r="P54" i="142"/>
  <c r="Q54" i="142"/>
  <c r="P32" i="142"/>
  <c r="Q32" i="142"/>
  <c r="L82" i="142"/>
  <c r="M82" i="142"/>
  <c r="L77" i="142"/>
  <c r="M77" i="142"/>
  <c r="M89" i="142"/>
  <c r="J49" i="142"/>
  <c r="K49" i="142"/>
  <c r="G77" i="142"/>
  <c r="P82" i="142"/>
  <c r="Q82" i="142"/>
  <c r="P41" i="142"/>
  <c r="Q41" i="142"/>
  <c r="Q89" i="142"/>
  <c r="N41" i="142"/>
  <c r="O41" i="142"/>
  <c r="H75" i="63"/>
  <c r="I75" i="63"/>
  <c r="L89" i="63"/>
  <c r="M89" i="63"/>
  <c r="H82" i="63"/>
  <c r="I82" i="63"/>
  <c r="G69" i="63"/>
  <c r="J36" i="63"/>
  <c r="K36" i="63"/>
  <c r="J86" i="63"/>
  <c r="K86" i="63"/>
  <c r="J52" i="63"/>
  <c r="K52" i="63"/>
  <c r="L36" i="63"/>
  <c r="M36" i="63"/>
  <c r="P49" i="63"/>
  <c r="Q49" i="63"/>
  <c r="L52" i="63"/>
  <c r="M52" i="63"/>
  <c r="N69" i="63"/>
  <c r="O69" i="63"/>
  <c r="G75" i="63"/>
  <c r="L64" i="63"/>
  <c r="M64" i="63"/>
  <c r="J89" i="63"/>
  <c r="K89" i="63"/>
  <c r="G86" i="63"/>
  <c r="N82" i="63"/>
  <c r="O82" i="63"/>
  <c r="J75" i="63"/>
  <c r="K75" i="63"/>
  <c r="J69" i="63"/>
  <c r="K69" i="63"/>
  <c r="H52" i="63"/>
  <c r="I52" i="63"/>
  <c r="L49" i="63"/>
  <c r="M49" i="63"/>
  <c r="H36" i="63"/>
  <c r="I36" i="63"/>
  <c r="J49" i="63"/>
  <c r="K49" i="63"/>
  <c r="L75" i="63"/>
  <c r="M75" i="63"/>
  <c r="P64" i="63"/>
  <c r="Q64" i="63"/>
  <c r="G85" i="63"/>
  <c r="G93" i="63"/>
  <c r="P36" i="63"/>
  <c r="Q36" i="63"/>
  <c r="P52" i="63"/>
  <c r="Q52" i="63"/>
  <c r="J64" i="63"/>
  <c r="K64" i="63"/>
  <c r="P89" i="63"/>
  <c r="Q89" i="63"/>
  <c r="P86" i="63"/>
  <c r="Q86" i="63"/>
  <c r="L82" i="63"/>
  <c r="M82" i="63"/>
  <c r="N88" i="63"/>
  <c r="O88" i="63"/>
  <c r="N74" i="63"/>
  <c r="O74" i="63"/>
  <c r="P69" i="63"/>
  <c r="Q69" i="63"/>
  <c r="H64" i="63"/>
  <c r="I64" i="63"/>
  <c r="G88" i="63"/>
  <c r="N78" i="63"/>
  <c r="O78" i="63"/>
  <c r="N67" i="63"/>
  <c r="O67" i="63"/>
  <c r="N55" i="63"/>
  <c r="O55" i="63"/>
  <c r="N41" i="63"/>
  <c r="O41" i="63"/>
  <c r="N39" i="63"/>
  <c r="O39" i="63"/>
  <c r="N85" i="63"/>
  <c r="O85" i="63"/>
  <c r="G49" i="63"/>
  <c r="N86" i="63"/>
  <c r="O86" i="63"/>
  <c r="P75" i="63"/>
  <c r="Q75" i="63"/>
  <c r="H89" i="63"/>
  <c r="I89" i="63"/>
  <c r="P82" i="63"/>
  <c r="Q82" i="63"/>
  <c r="J82" i="63"/>
  <c r="K82" i="63"/>
  <c r="J74" i="63"/>
  <c r="K74" i="63"/>
  <c r="N52" i="63"/>
  <c r="O52" i="63"/>
  <c r="N36" i="63"/>
  <c r="O36" i="63"/>
  <c r="G84" i="63"/>
  <c r="H49" i="63"/>
  <c r="I49" i="63"/>
  <c r="H86" i="136"/>
  <c r="I86" i="136"/>
  <c r="J78" i="136"/>
  <c r="K78" i="136"/>
  <c r="G65" i="136"/>
  <c r="N60" i="136"/>
  <c r="O60" i="136"/>
  <c r="G45" i="136"/>
  <c r="L96" i="136"/>
  <c r="M96" i="136"/>
  <c r="G78" i="136"/>
  <c r="N55" i="136"/>
  <c r="O55" i="136"/>
  <c r="H89" i="136"/>
  <c r="I89" i="136"/>
  <c r="J84" i="136"/>
  <c r="K84" i="136"/>
  <c r="N77" i="136"/>
  <c r="O77" i="136"/>
  <c r="N67" i="136"/>
  <c r="O67" i="136"/>
  <c r="L42" i="136"/>
  <c r="M42" i="136"/>
  <c r="N72" i="136"/>
  <c r="O72" i="136"/>
  <c r="N88" i="136"/>
  <c r="O88" i="136"/>
  <c r="J58" i="136"/>
  <c r="K58" i="136"/>
  <c r="G53" i="136"/>
  <c r="N45" i="136"/>
  <c r="O45" i="136"/>
  <c r="N39" i="136"/>
  <c r="O39" i="136" s="1"/>
  <c r="J96" i="136"/>
  <c r="K96" i="136"/>
  <c r="N92" i="136"/>
  <c r="O92" i="136"/>
  <c r="J89" i="136"/>
  <c r="K89" i="136"/>
  <c r="N86" i="136"/>
  <c r="O86" i="136"/>
  <c r="G84" i="136"/>
  <c r="N74" i="136"/>
  <c r="O74" i="136"/>
  <c r="J70" i="136"/>
  <c r="K70" i="136"/>
  <c r="J65" i="136"/>
  <c r="K65" i="136"/>
  <c r="N61" i="136"/>
  <c r="O61" i="136"/>
  <c r="L50" i="136"/>
  <c r="M50" i="136"/>
  <c r="J74" i="136"/>
  <c r="K74" i="136"/>
  <c r="H67" i="136"/>
  <c r="I67" i="136"/>
  <c r="J61" i="136"/>
  <c r="K61" i="136"/>
  <c r="H58" i="136"/>
  <c r="I58" i="136"/>
  <c r="J54" i="136"/>
  <c r="K54" i="136"/>
  <c r="G49" i="136"/>
  <c r="N91" i="136"/>
  <c r="O91" i="136"/>
  <c r="N82" i="136"/>
  <c r="O82" i="136"/>
  <c r="H74" i="136"/>
  <c r="I74" i="136"/>
  <c r="H71" i="136"/>
  <c r="I71" i="136"/>
  <c r="N69" i="136"/>
  <c r="O69" i="136"/>
  <c r="N93" i="136"/>
  <c r="O93" i="136"/>
  <c r="L69" i="136"/>
  <c r="M69" i="136"/>
  <c r="J93" i="136"/>
  <c r="K93" i="136"/>
  <c r="H90" i="136"/>
  <c r="I90" i="136"/>
  <c r="N84" i="136"/>
  <c r="O84" i="136"/>
  <c r="N73" i="136"/>
  <c r="O73" i="136"/>
  <c r="N70" i="136"/>
  <c r="O70" i="136"/>
  <c r="J69" i="136"/>
  <c r="K69" i="136"/>
  <c r="N56" i="136"/>
  <c r="O56" i="136"/>
  <c r="H93" i="136"/>
  <c r="I93" i="136"/>
  <c r="N87" i="136"/>
  <c r="O87" i="136"/>
  <c r="L84" i="136"/>
  <c r="M84" i="136"/>
  <c r="G69" i="136"/>
  <c r="H62" i="136"/>
  <c r="I62" i="136"/>
  <c r="N94" i="136"/>
  <c r="O94" i="136"/>
  <c r="J85" i="136"/>
  <c r="K85" i="136"/>
  <c r="H79" i="136"/>
  <c r="I79" i="136"/>
  <c r="N75" i="136"/>
  <c r="O75" i="136"/>
  <c r="H70" i="136"/>
  <c r="I70" i="136"/>
  <c r="N68" i="136"/>
  <c r="O68" i="136"/>
  <c r="J66" i="136"/>
  <c r="K66" i="136"/>
  <c r="L62" i="136"/>
  <c r="M62" i="136"/>
  <c r="G61" i="136"/>
  <c r="J57" i="136"/>
  <c r="K57" i="136"/>
  <c r="N54" i="136"/>
  <c r="O54" i="136"/>
  <c r="L53" i="136"/>
  <c r="M53" i="136"/>
  <c r="N50" i="136"/>
  <c r="O50" i="136"/>
  <c r="L49" i="136"/>
  <c r="M49" i="136"/>
  <c r="M97" i="136" a="1"/>
  <c r="N96" i="136"/>
  <c r="O96" i="136"/>
  <c r="H94" i="136"/>
  <c r="I94" i="136"/>
  <c r="N90" i="136"/>
  <c r="O90" i="136"/>
  <c r="H85" i="136"/>
  <c r="I85" i="136"/>
  <c r="N83" i="136"/>
  <c r="O83" i="136"/>
  <c r="G79" i="136"/>
  <c r="H75" i="136"/>
  <c r="I75" i="136"/>
  <c r="N71" i="136"/>
  <c r="O71" i="136"/>
  <c r="H66" i="136"/>
  <c r="I66" i="136"/>
  <c r="N64" i="136"/>
  <c r="O64" i="136"/>
  <c r="J62" i="136"/>
  <c r="K62" i="136"/>
  <c r="L58" i="136"/>
  <c r="M58" i="136"/>
  <c r="G57" i="136"/>
  <c r="J53" i="136"/>
  <c r="K53" i="136"/>
  <c r="J49" i="136"/>
  <c r="K49" i="136"/>
  <c r="J50" i="136"/>
  <c r="K50" i="136"/>
  <c r="G96" i="136"/>
  <c r="J92" i="136"/>
  <c r="K92" i="136"/>
  <c r="N89" i="136"/>
  <c r="O89" i="136"/>
  <c r="L88" i="136"/>
  <c r="M88" i="136"/>
  <c r="H82" i="136"/>
  <c r="I82" i="136"/>
  <c r="N80" i="136"/>
  <c r="O80" i="136"/>
  <c r="L77" i="136"/>
  <c r="M77" i="136"/>
  <c r="J73" i="136"/>
  <c r="K73" i="136"/>
  <c r="H63" i="136"/>
  <c r="I63" i="136"/>
  <c r="H54" i="136"/>
  <c r="I54" i="136"/>
  <c r="N52" i="136"/>
  <c r="O52" i="136"/>
  <c r="H50" i="136"/>
  <c r="I50" i="136"/>
  <c r="N48" i="136"/>
  <c r="O48" i="136"/>
  <c r="L93" i="136"/>
  <c r="M93" i="136"/>
  <c r="G92" i="136"/>
  <c r="J88" i="136"/>
  <c r="K88" i="136"/>
  <c r="N85" i="136"/>
  <c r="O85" i="136"/>
  <c r="G77" i="136"/>
  <c r="N66" i="136"/>
  <c r="O66" i="136"/>
  <c r="N95" i="136"/>
  <c r="O95" i="136"/>
  <c r="G88" i="136"/>
  <c r="N62" i="136"/>
  <c r="O62" i="136"/>
  <c r="N57" i="136"/>
  <c r="O57" i="136"/>
  <c r="H55" i="136"/>
  <c r="I55" i="136"/>
  <c r="N51" i="136"/>
  <c r="O51" i="136"/>
  <c r="L85" i="136"/>
  <c r="M85" i="136"/>
  <c r="N79" i="136"/>
  <c r="O79" i="136"/>
  <c r="L66" i="136"/>
  <c r="M66" i="136"/>
  <c r="N58" i="136"/>
  <c r="O58" i="136"/>
  <c r="L57" i="136"/>
  <c r="M57" i="136"/>
  <c r="N53" i="136"/>
  <c r="O53" i="136"/>
  <c r="N49" i="136"/>
  <c r="O49" i="136"/>
  <c r="H80" i="136"/>
  <c r="I80" i="136"/>
  <c r="J79" i="136"/>
  <c r="K79" i="136"/>
  <c r="J95" i="136"/>
  <c r="K95" i="136"/>
  <c r="L94" i="136"/>
  <c r="M94" i="136"/>
  <c r="J91" i="136"/>
  <c r="K91" i="136"/>
  <c r="L90" i="136"/>
  <c r="M90" i="136"/>
  <c r="J87" i="136"/>
  <c r="K87" i="136"/>
  <c r="L86" i="136"/>
  <c r="M86" i="136"/>
  <c r="J83" i="136"/>
  <c r="K83" i="136"/>
  <c r="L82" i="136"/>
  <c r="M82" i="136"/>
  <c r="G80" i="136"/>
  <c r="L75" i="136"/>
  <c r="M75" i="136"/>
  <c r="J72" i="136"/>
  <c r="K72" i="136"/>
  <c r="L71" i="136"/>
  <c r="M71" i="136"/>
  <c r="J68" i="136"/>
  <c r="K68" i="136"/>
  <c r="L67" i="136"/>
  <c r="M67" i="136"/>
  <c r="J64" i="136"/>
  <c r="K64" i="136"/>
  <c r="L63" i="136"/>
  <c r="M63" i="136"/>
  <c r="J60" i="136"/>
  <c r="K60" i="136"/>
  <c r="L59" i="136"/>
  <c r="M59" i="136"/>
  <c r="J56" i="136"/>
  <c r="K56" i="136"/>
  <c r="L55" i="136"/>
  <c r="M55" i="136"/>
  <c r="J52" i="136"/>
  <c r="K52" i="136"/>
  <c r="L51" i="136"/>
  <c r="M51" i="136"/>
  <c r="J48" i="136"/>
  <c r="K48" i="136"/>
  <c r="N76" i="136"/>
  <c r="O76" i="136"/>
  <c r="H95" i="136"/>
  <c r="I95" i="136"/>
  <c r="J94" i="136"/>
  <c r="K94" i="136"/>
  <c r="H91" i="136"/>
  <c r="I91" i="136"/>
  <c r="J90" i="136"/>
  <c r="K90" i="136"/>
  <c r="H87" i="136"/>
  <c r="I87" i="136"/>
  <c r="J86" i="136"/>
  <c r="K86" i="136"/>
  <c r="H83" i="136"/>
  <c r="I83" i="136"/>
  <c r="J82" i="136"/>
  <c r="K82" i="136"/>
  <c r="J75" i="136"/>
  <c r="K75" i="136"/>
  <c r="H72" i="136"/>
  <c r="I72" i="136"/>
  <c r="J71" i="136"/>
  <c r="K71" i="136"/>
  <c r="H68" i="136"/>
  <c r="I68" i="136"/>
  <c r="J67" i="136"/>
  <c r="K67" i="136"/>
  <c r="H64" i="136"/>
  <c r="I64" i="136"/>
  <c r="J63" i="136"/>
  <c r="K63" i="136"/>
  <c r="H60" i="136"/>
  <c r="I60" i="136"/>
  <c r="J59" i="136"/>
  <c r="K59" i="136"/>
  <c r="H56" i="136"/>
  <c r="I56" i="136"/>
  <c r="J55" i="136"/>
  <c r="K55" i="136"/>
  <c r="H52" i="136"/>
  <c r="I52" i="136"/>
  <c r="J51" i="136"/>
  <c r="K51" i="136"/>
  <c r="H48" i="136"/>
  <c r="I48" i="136"/>
  <c r="I97" i="136" a="1"/>
  <c r="G95" i="136"/>
  <c r="G91" i="136"/>
  <c r="G87" i="136"/>
  <c r="G83" i="136"/>
  <c r="L80" i="136"/>
  <c r="M80" i="136"/>
  <c r="J77" i="136"/>
  <c r="K77" i="136"/>
  <c r="G72" i="136"/>
  <c r="G68" i="136"/>
  <c r="G64" i="136"/>
  <c r="G60" i="136"/>
  <c r="G56" i="136"/>
  <c r="G52" i="136"/>
  <c r="G48" i="136"/>
  <c r="H51" i="136"/>
  <c r="I51" i="136"/>
  <c r="L45" i="136"/>
  <c r="M45" i="136" s="1"/>
  <c r="J42" i="136"/>
  <c r="K42" i="136"/>
  <c r="H42" i="136"/>
  <c r="I42" i="136"/>
  <c r="N75" i="46"/>
  <c r="O75" i="46"/>
  <c r="N97" i="46"/>
  <c r="O97" i="46"/>
  <c r="N93" i="46"/>
  <c r="O93" i="46"/>
  <c r="N85" i="46"/>
  <c r="O85" i="46"/>
  <c r="N67" i="46"/>
  <c r="O67" i="46"/>
  <c r="N59" i="46"/>
  <c r="O59" i="46"/>
  <c r="N55" i="46"/>
  <c r="O55" i="46"/>
  <c r="G79" i="46"/>
  <c r="H99" i="46"/>
  <c r="I99" i="46"/>
  <c r="L97" i="46"/>
  <c r="M97" i="46"/>
  <c r="H95" i="46"/>
  <c r="I95" i="46"/>
  <c r="L93" i="46"/>
  <c r="M93" i="46"/>
  <c r="H91" i="46"/>
  <c r="I91" i="46"/>
  <c r="L89" i="46"/>
  <c r="M89" i="46"/>
  <c r="H87" i="46"/>
  <c r="I87" i="46"/>
  <c r="L85" i="46"/>
  <c r="M85" i="46"/>
  <c r="H83" i="46"/>
  <c r="I83" i="46"/>
  <c r="L81" i="46"/>
  <c r="M81" i="46"/>
  <c r="G78" i="46"/>
  <c r="G74" i="46"/>
  <c r="G70" i="46"/>
  <c r="G66" i="46"/>
  <c r="G62" i="46"/>
  <c r="G58" i="46"/>
  <c r="G54" i="46"/>
  <c r="G50" i="46"/>
  <c r="G46" i="46"/>
  <c r="N81" i="46"/>
  <c r="O81" i="46"/>
  <c r="N63" i="46"/>
  <c r="O63" i="46"/>
  <c r="N51" i="46"/>
  <c r="O51" i="46"/>
  <c r="G99" i="46"/>
  <c r="G95" i="46"/>
  <c r="G91" i="46"/>
  <c r="G87" i="46"/>
  <c r="G83" i="46"/>
  <c r="J76" i="46"/>
  <c r="K76" i="46"/>
  <c r="L75" i="46"/>
  <c r="M75" i="46"/>
  <c r="J72" i="46"/>
  <c r="K72" i="46"/>
  <c r="L71" i="46"/>
  <c r="M71" i="46"/>
  <c r="J68" i="46"/>
  <c r="K68" i="46"/>
  <c r="L67" i="46"/>
  <c r="M67" i="46"/>
  <c r="J64" i="46"/>
  <c r="K64" i="46"/>
  <c r="L63" i="46"/>
  <c r="M63" i="46"/>
  <c r="J60" i="46"/>
  <c r="K60" i="46"/>
  <c r="L59" i="46"/>
  <c r="M59" i="46"/>
  <c r="J56" i="46"/>
  <c r="K56" i="46"/>
  <c r="L55" i="46"/>
  <c r="M55" i="46"/>
  <c r="J52" i="46"/>
  <c r="K52" i="46"/>
  <c r="L51" i="46"/>
  <c r="M51" i="46"/>
  <c r="L47" i="46"/>
  <c r="M47" i="46"/>
  <c r="J97" i="46"/>
  <c r="K97" i="46"/>
  <c r="J93" i="46"/>
  <c r="K93" i="46"/>
  <c r="J89" i="46"/>
  <c r="K89" i="46"/>
  <c r="J85" i="46"/>
  <c r="K85" i="46"/>
  <c r="J81" i="46"/>
  <c r="K81" i="46"/>
  <c r="N79" i="46"/>
  <c r="O79" i="46"/>
  <c r="H76" i="46"/>
  <c r="I76" i="46"/>
  <c r="J75" i="46"/>
  <c r="K75" i="46"/>
  <c r="H72" i="46"/>
  <c r="I72" i="46"/>
  <c r="J71" i="46"/>
  <c r="K71" i="46"/>
  <c r="H68" i="46"/>
  <c r="I68" i="46"/>
  <c r="J67" i="46"/>
  <c r="K67" i="46"/>
  <c r="H64" i="46"/>
  <c r="I64" i="46"/>
  <c r="J63" i="46"/>
  <c r="K63" i="46"/>
  <c r="H60" i="46"/>
  <c r="I60" i="46"/>
  <c r="J59" i="46"/>
  <c r="K59" i="46"/>
  <c r="H56" i="46"/>
  <c r="I56" i="46"/>
  <c r="J55" i="46"/>
  <c r="K55" i="46"/>
  <c r="H52" i="46"/>
  <c r="I52" i="46"/>
  <c r="J51" i="46"/>
  <c r="K51" i="46"/>
  <c r="L50" i="46"/>
  <c r="M50" i="46"/>
  <c r="H48" i="46"/>
  <c r="I48" i="46"/>
  <c r="J47" i="46"/>
  <c r="K47" i="46"/>
  <c r="L46" i="46"/>
  <c r="M46" i="46"/>
  <c r="H97" i="46"/>
  <c r="I97" i="46"/>
  <c r="H93" i="46"/>
  <c r="I93" i="46"/>
  <c r="H89" i="46"/>
  <c r="I89" i="46"/>
  <c r="H85" i="46"/>
  <c r="I85" i="46"/>
  <c r="H81" i="46"/>
  <c r="I81" i="46"/>
  <c r="J40" i="46"/>
  <c r="K40" i="46"/>
  <c r="H37" i="46"/>
  <c r="I37" i="46" s="1"/>
  <c r="G37" i="46"/>
  <c r="L37" i="46"/>
  <c r="M37" i="46"/>
  <c r="J67" i="128"/>
  <c r="K67" i="128"/>
  <c r="J71" i="128"/>
  <c r="K71" i="128"/>
  <c r="H67" i="128"/>
  <c r="I67" i="128"/>
  <c r="L58" i="128"/>
  <c r="M58" i="128"/>
  <c r="J75" i="128"/>
  <c r="K75" i="128"/>
  <c r="H71" i="128"/>
  <c r="I71" i="128"/>
  <c r="L62" i="128"/>
  <c r="M62" i="128"/>
  <c r="N86" i="128"/>
  <c r="O86" i="128"/>
  <c r="L80" i="128"/>
  <c r="M80" i="128"/>
  <c r="H75" i="128"/>
  <c r="I75" i="128"/>
  <c r="L66" i="128"/>
  <c r="M66" i="128"/>
  <c r="G80" i="128"/>
  <c r="L70" i="128"/>
  <c r="M70" i="128"/>
  <c r="N92" i="128"/>
  <c r="O92" i="128"/>
  <c r="N85" i="128"/>
  <c r="O85" i="128"/>
  <c r="L92" i="128"/>
  <c r="M92" i="128"/>
  <c r="J85" i="128"/>
  <c r="K85" i="128"/>
  <c r="J59" i="128"/>
  <c r="K59" i="128"/>
  <c r="J92" i="128"/>
  <c r="K92" i="128"/>
  <c r="G85" i="128"/>
  <c r="J63" i="128"/>
  <c r="K63" i="128"/>
  <c r="H59" i="128"/>
  <c r="I59" i="128"/>
  <c r="N84" i="128"/>
  <c r="O84" i="128"/>
  <c r="J81" i="128"/>
  <c r="K81" i="128"/>
  <c r="H76" i="128"/>
  <c r="I76" i="128"/>
  <c r="H72" i="128"/>
  <c r="I72" i="128"/>
  <c r="H68" i="128"/>
  <c r="I68" i="128"/>
  <c r="H64" i="128"/>
  <c r="I64" i="128"/>
  <c r="H60" i="128"/>
  <c r="I60" i="128"/>
  <c r="H56" i="128"/>
  <c r="I56" i="128"/>
  <c r="N89" i="128"/>
  <c r="O89" i="128"/>
  <c r="L85" i="128"/>
  <c r="M85" i="128"/>
  <c r="L84" i="128"/>
  <c r="M84" i="128"/>
  <c r="H82" i="128"/>
  <c r="I82" i="128"/>
  <c r="J80" i="128"/>
  <c r="K80" i="128"/>
  <c r="G76" i="128"/>
  <c r="N74" i="128"/>
  <c r="O74" i="128"/>
  <c r="G72" i="128"/>
  <c r="N70" i="128"/>
  <c r="O70" i="128"/>
  <c r="G68" i="128"/>
  <c r="N66" i="128"/>
  <c r="O66" i="128"/>
  <c r="G64" i="128"/>
  <c r="N62" i="128"/>
  <c r="O62" i="128"/>
  <c r="G60" i="128"/>
  <c r="N58" i="128"/>
  <c r="O58" i="128"/>
  <c r="G56" i="128"/>
  <c r="L89" i="128"/>
  <c r="M89" i="128"/>
  <c r="L88" i="128"/>
  <c r="M88" i="128"/>
  <c r="H86" i="128"/>
  <c r="I86" i="128"/>
  <c r="J84" i="128"/>
  <c r="K84" i="128"/>
  <c r="N75" i="128"/>
  <c r="O75" i="128"/>
  <c r="N71" i="128"/>
  <c r="O71" i="128"/>
  <c r="N67" i="128"/>
  <c r="O67" i="128"/>
  <c r="N63" i="128"/>
  <c r="O63" i="128"/>
  <c r="N59" i="128"/>
  <c r="O59" i="128"/>
  <c r="N90" i="128"/>
  <c r="O90" i="128"/>
  <c r="G86" i="128"/>
  <c r="G84" i="128"/>
  <c r="L75" i="128"/>
  <c r="M75" i="128"/>
  <c r="J74" i="128"/>
  <c r="K74" i="128"/>
  <c r="L71" i="128"/>
  <c r="M71" i="128"/>
  <c r="J70" i="128"/>
  <c r="K70" i="128"/>
  <c r="L67" i="128"/>
  <c r="M67" i="128"/>
  <c r="J66" i="128"/>
  <c r="K66" i="128"/>
  <c r="L63" i="128"/>
  <c r="M63" i="128"/>
  <c r="J62" i="128"/>
  <c r="K62" i="128"/>
  <c r="L59" i="128"/>
  <c r="M59" i="128"/>
  <c r="J58" i="128"/>
  <c r="K58" i="128"/>
  <c r="N55" i="128"/>
  <c r="O55" i="128"/>
  <c r="H90" i="128"/>
  <c r="I90" i="128"/>
  <c r="J88" i="128"/>
  <c r="K88" i="128"/>
  <c r="G90" i="128"/>
  <c r="G88" i="128"/>
  <c r="N80" i="128"/>
  <c r="O80" i="128"/>
  <c r="N77" i="128"/>
  <c r="O77" i="128"/>
  <c r="N73" i="128"/>
  <c r="O73" i="128"/>
  <c r="N69" i="128"/>
  <c r="O69" i="128"/>
  <c r="N65" i="128"/>
  <c r="O65" i="128"/>
  <c r="N61" i="128"/>
  <c r="O61" i="128"/>
  <c r="N57" i="128"/>
  <c r="O57" i="128"/>
  <c r="H91" i="128"/>
  <c r="I91" i="128"/>
  <c r="J90" i="128"/>
  <c r="K90" i="128"/>
  <c r="H87" i="128"/>
  <c r="I87" i="128"/>
  <c r="J86" i="128"/>
  <c r="K86" i="128"/>
  <c r="H83" i="128"/>
  <c r="I83" i="128"/>
  <c r="J82" i="128"/>
  <c r="K82" i="128"/>
  <c r="H79" i="128"/>
  <c r="I79" i="128"/>
  <c r="G77" i="128"/>
  <c r="G73" i="128"/>
  <c r="G69" i="128"/>
  <c r="G65" i="128"/>
  <c r="G61" i="128"/>
  <c r="G57" i="128"/>
  <c r="G91" i="128"/>
  <c r="G87" i="128"/>
  <c r="G83" i="128"/>
  <c r="G79" i="128"/>
  <c r="J55" i="128"/>
  <c r="K55" i="128"/>
  <c r="H55" i="128"/>
  <c r="I55" i="128"/>
  <c r="L91" i="128"/>
  <c r="M91" i="128"/>
  <c r="L87" i="128"/>
  <c r="M87" i="128"/>
  <c r="L83" i="128"/>
  <c r="M83" i="128"/>
  <c r="L79" i="128"/>
  <c r="M79" i="128"/>
  <c r="N78" i="128"/>
  <c r="O78" i="128"/>
  <c r="G55" i="128"/>
  <c r="N56" i="128"/>
  <c r="O56" i="128"/>
  <c r="J77" i="128"/>
  <c r="K77" i="128"/>
  <c r="L76" i="128"/>
  <c r="M76" i="128"/>
  <c r="H74" i="128"/>
  <c r="I74" i="128"/>
  <c r="J73" i="128"/>
  <c r="K73" i="128"/>
  <c r="L72" i="128"/>
  <c r="M72" i="128"/>
  <c r="H70" i="128"/>
  <c r="I70" i="128"/>
  <c r="J69" i="128"/>
  <c r="K69" i="128"/>
  <c r="L68" i="128"/>
  <c r="M68" i="128"/>
  <c r="H66" i="128"/>
  <c r="I66" i="128"/>
  <c r="J65" i="128"/>
  <c r="K65" i="128"/>
  <c r="L64" i="128"/>
  <c r="M64" i="128"/>
  <c r="H62" i="128"/>
  <c r="I62" i="128"/>
  <c r="J61" i="128"/>
  <c r="K61" i="128"/>
  <c r="L60" i="128"/>
  <c r="M60" i="128"/>
  <c r="H58" i="128"/>
  <c r="I58" i="128"/>
  <c r="J57" i="128"/>
  <c r="K57" i="128"/>
  <c r="L56" i="128"/>
  <c r="M56" i="128"/>
  <c r="N87" i="128"/>
  <c r="O87" i="128"/>
  <c r="N83" i="128"/>
  <c r="O83" i="128"/>
  <c r="L77" i="128"/>
  <c r="M77" i="128"/>
  <c r="N76" i="128"/>
  <c r="O76" i="128"/>
  <c r="L73" i="128"/>
  <c r="M73" i="128"/>
  <c r="N72" i="128"/>
  <c r="O72" i="128"/>
  <c r="L69" i="128"/>
  <c r="M69" i="128"/>
  <c r="N68" i="128"/>
  <c r="O68" i="128"/>
  <c r="L57" i="128"/>
  <c r="M57" i="128"/>
  <c r="J91" i="128"/>
  <c r="K91" i="128"/>
  <c r="J79" i="128"/>
  <c r="K79" i="128"/>
  <c r="L65" i="128"/>
  <c r="M65" i="128"/>
  <c r="N64" i="128"/>
  <c r="O64" i="128"/>
  <c r="L61" i="128"/>
  <c r="M61" i="128"/>
  <c r="N60" i="128"/>
  <c r="O60" i="128"/>
  <c r="H45" i="128"/>
  <c r="I45" i="128" s="1"/>
  <c r="L45" i="145"/>
  <c r="M45" i="145"/>
  <c r="J45" i="145"/>
  <c r="K45" i="145"/>
  <c r="J46" i="145"/>
  <c r="K46" i="145"/>
  <c r="N45" i="145"/>
  <c r="O45" i="145"/>
  <c r="H45" i="145"/>
  <c r="I45" i="145"/>
  <c r="H46" i="145"/>
  <c r="I46" i="145"/>
  <c r="J47" i="2"/>
  <c r="K47" i="2"/>
  <c r="L47" i="2"/>
  <c r="M47" i="2"/>
  <c r="N46" i="2"/>
  <c r="O46" i="2"/>
  <c r="K22" i="134"/>
  <c r="Q37" i="112"/>
  <c r="K37" i="112"/>
  <c r="M33" i="111"/>
  <c r="I38" i="107"/>
  <c r="K38" i="107"/>
  <c r="M38" i="107"/>
  <c r="Q28" i="97"/>
  <c r="I27" i="95"/>
  <c r="Q27" i="95"/>
  <c r="M27" i="95"/>
  <c r="Q28" i="29"/>
  <c r="M168" i="59"/>
  <c r="P124" i="59"/>
  <c r="Q124" i="59"/>
  <c r="P65" i="59"/>
  <c r="Q65" i="59"/>
  <c r="O168" i="59"/>
  <c r="K168" i="59"/>
  <c r="I61" i="59"/>
  <c r="P61" i="59"/>
  <c r="Q61" i="59"/>
  <c r="I39" i="59"/>
  <c r="P39" i="59"/>
  <c r="Q39" i="59"/>
  <c r="I55" i="59"/>
  <c r="P55" i="59"/>
  <c r="Q55" i="59"/>
  <c r="I31" i="59"/>
  <c r="P31" i="59"/>
  <c r="Q31" i="59"/>
  <c r="I47" i="59"/>
  <c r="P47" i="59"/>
  <c r="Q47" i="59"/>
  <c r="G168" i="59"/>
  <c r="I45" i="59"/>
  <c r="P45" i="59"/>
  <c r="Q45" i="59"/>
  <c r="I115" i="59"/>
  <c r="P115" i="59"/>
  <c r="Q115" i="59"/>
  <c r="P155" i="59"/>
  <c r="Q155" i="59"/>
  <c r="I155" i="59"/>
  <c r="I59" i="59"/>
  <c r="P59" i="59"/>
  <c r="Q59" i="59"/>
  <c r="I67" i="59"/>
  <c r="P67" i="59"/>
  <c r="Q67" i="59"/>
  <c r="I63" i="59"/>
  <c r="P63" i="59"/>
  <c r="Q63" i="59"/>
  <c r="I51" i="59"/>
  <c r="P51" i="59"/>
  <c r="Q51" i="59"/>
  <c r="P133" i="59"/>
  <c r="Q133" i="59"/>
  <c r="I133" i="59"/>
  <c r="I112" i="59"/>
  <c r="P112" i="59"/>
  <c r="Q112" i="59"/>
  <c r="P113" i="59"/>
  <c r="Q113" i="59"/>
  <c r="I113" i="59"/>
  <c r="P125" i="59"/>
  <c r="Q125" i="59"/>
  <c r="I125" i="59"/>
  <c r="P134" i="59"/>
  <c r="Q134" i="59"/>
  <c r="I134" i="59"/>
  <c r="P150" i="59"/>
  <c r="Q150" i="59"/>
  <c r="I150" i="59"/>
  <c r="P156" i="59"/>
  <c r="Q156" i="59"/>
  <c r="I156" i="59"/>
  <c r="P161" i="59"/>
  <c r="Q161" i="59"/>
  <c r="I161" i="59"/>
  <c r="P137" i="59"/>
  <c r="Q137" i="59"/>
  <c r="I137" i="59"/>
  <c r="P157" i="59"/>
  <c r="Q157" i="59"/>
  <c r="I157" i="59"/>
  <c r="P128" i="59"/>
  <c r="Q128" i="59"/>
  <c r="I128" i="59"/>
  <c r="P126" i="59"/>
  <c r="Q126" i="59"/>
  <c r="I126" i="59"/>
  <c r="P142" i="59"/>
  <c r="Q142" i="59"/>
  <c r="I142" i="59"/>
  <c r="P158" i="59"/>
  <c r="Q158" i="59"/>
  <c r="I158" i="59"/>
  <c r="P166" i="59"/>
  <c r="Q166" i="59"/>
  <c r="I166" i="59"/>
  <c r="P163" i="59"/>
  <c r="Q163" i="59"/>
  <c r="I163" i="59"/>
  <c r="P138" i="59"/>
  <c r="Q138" i="59"/>
  <c r="I138" i="59"/>
  <c r="P129" i="59"/>
  <c r="Q129" i="59"/>
  <c r="I129" i="59"/>
  <c r="P149" i="59"/>
  <c r="Q149" i="59"/>
  <c r="I149" i="59"/>
  <c r="P130" i="59"/>
  <c r="Q130" i="59"/>
  <c r="I130" i="59"/>
  <c r="P135" i="59"/>
  <c r="Q135" i="59"/>
  <c r="I135" i="59"/>
  <c r="P143" i="59"/>
  <c r="Q143" i="59"/>
  <c r="I143" i="59"/>
  <c r="I119" i="59"/>
  <c r="P119" i="59"/>
  <c r="Q119" i="59"/>
  <c r="P144" i="59"/>
  <c r="Q144" i="59"/>
  <c r="I144" i="59"/>
  <c r="I68" i="59"/>
  <c r="P68" i="59"/>
  <c r="Q68" i="59"/>
  <c r="I117" i="59"/>
  <c r="P117" i="59"/>
  <c r="Q117" i="59"/>
  <c r="I114" i="59"/>
  <c r="P114" i="59"/>
  <c r="Q114" i="59"/>
  <c r="P139" i="59"/>
  <c r="Q139" i="59"/>
  <c r="I139" i="59"/>
  <c r="P165" i="59"/>
  <c r="Q165" i="59"/>
  <c r="I165" i="59"/>
  <c r="P132" i="59"/>
  <c r="Q132" i="59"/>
  <c r="I132" i="59"/>
  <c r="I64" i="59"/>
  <c r="P64" i="59"/>
  <c r="Q64" i="59"/>
  <c r="P164" i="59"/>
  <c r="Q164" i="59"/>
  <c r="I164" i="59"/>
  <c r="P159" i="59"/>
  <c r="Q159" i="59"/>
  <c r="I159" i="59"/>
  <c r="I120" i="59"/>
  <c r="P120" i="59"/>
  <c r="Q120" i="59"/>
  <c r="P136" i="59"/>
  <c r="Q136" i="59"/>
  <c r="I136" i="59"/>
  <c r="I153" i="59"/>
  <c r="P153" i="59"/>
  <c r="Q153" i="59"/>
  <c r="P160" i="59"/>
  <c r="Q160" i="59"/>
  <c r="I160" i="59"/>
  <c r="P141" i="59"/>
  <c r="Q141" i="59"/>
  <c r="I141" i="59"/>
  <c r="P145" i="59"/>
  <c r="Q145" i="59"/>
  <c r="I145" i="59"/>
  <c r="P140" i="59"/>
  <c r="Q140" i="59"/>
  <c r="I140" i="59"/>
  <c r="P167" i="59"/>
  <c r="Q167" i="59"/>
  <c r="I167" i="59"/>
  <c r="P151" i="59"/>
  <c r="Q151" i="59"/>
  <c r="I151" i="59"/>
  <c r="P154" i="59"/>
  <c r="Q154" i="59"/>
  <c r="I154" i="59"/>
  <c r="P70" i="59"/>
  <c r="Q70" i="59"/>
  <c r="I70" i="59"/>
  <c r="P147" i="59"/>
  <c r="Q147" i="59"/>
  <c r="I147" i="59"/>
  <c r="P127" i="59"/>
  <c r="Q127" i="59"/>
  <c r="I127" i="59"/>
  <c r="P146" i="59"/>
  <c r="Q146" i="59"/>
  <c r="I146" i="59"/>
  <c r="P152" i="59"/>
  <c r="Q152" i="59"/>
  <c r="I152" i="59"/>
  <c r="P131" i="59"/>
  <c r="Q131" i="59"/>
  <c r="I131" i="59"/>
  <c r="P148" i="59"/>
  <c r="Q148" i="59"/>
  <c r="I148" i="59"/>
  <c r="P162" i="59"/>
  <c r="Q162" i="59"/>
  <c r="I162" i="59"/>
  <c r="I122" i="59"/>
  <c r="P122" i="59"/>
  <c r="Q122" i="59"/>
  <c r="G168" i="41"/>
  <c r="Q168" i="41"/>
  <c r="I168" i="41"/>
  <c r="K168" i="41"/>
  <c r="O168" i="41"/>
  <c r="M168" i="41"/>
  <c r="G168" i="83"/>
  <c r="G167" i="143"/>
  <c r="I93" i="63"/>
  <c r="K93" i="63"/>
  <c r="O93" i="63"/>
  <c r="Q93" i="63"/>
  <c r="M93" i="63"/>
  <c r="K97" i="136" a="1"/>
  <c r="G97" i="136" a="1"/>
  <c r="O97" i="136" a="1"/>
  <c r="Q168" i="59"/>
  <c r="I168" i="59"/>
  <c r="O49" i="145" l="1"/>
  <c r="K57" i="20"/>
  <c r="M97" i="136"/>
  <c r="K49" i="145"/>
  <c r="H45" i="136"/>
  <c r="I45" i="136" s="1"/>
  <c r="K97" i="136"/>
  <c r="G97" i="136"/>
  <c r="N42" i="136"/>
  <c r="O42" i="136" s="1"/>
  <c r="O97" i="136" s="1"/>
  <c r="H39" i="136"/>
  <c r="I39" i="136" s="1"/>
  <c r="I97" i="136" s="1"/>
  <c r="G101" i="46"/>
  <c r="L43" i="46"/>
  <c r="M43" i="46" s="1"/>
  <c r="M101" i="46" s="1"/>
  <c r="J43" i="46"/>
  <c r="K43" i="46" s="1"/>
  <c r="I101" i="46"/>
  <c r="K101" i="46"/>
  <c r="N37" i="46"/>
  <c r="O37" i="46" s="1"/>
  <c r="O101" i="46" s="1"/>
  <c r="H42" i="2"/>
  <c r="I42" i="2" s="1"/>
  <c r="I49" i="2" s="1"/>
  <c r="J42" i="2"/>
  <c r="K42" i="2" s="1"/>
  <c r="K49" i="2" s="1"/>
  <c r="L42" i="2"/>
  <c r="M42" i="2" s="1"/>
  <c r="M49" i="2" s="1"/>
  <c r="I49" i="145"/>
  <c r="G42" i="145"/>
  <c r="G49" i="145"/>
  <c r="H50" i="128"/>
  <c r="I50" i="128" s="1"/>
  <c r="N45" i="128"/>
  <c r="O45" i="128" s="1"/>
  <c r="L45" i="128"/>
  <c r="M45" i="128" s="1"/>
  <c r="G45" i="128"/>
  <c r="J50" i="128"/>
  <c r="K50" i="128" s="1"/>
  <c r="K93" i="128" s="1"/>
  <c r="L50" i="128"/>
  <c r="M50" i="128" s="1"/>
  <c r="G50" i="128"/>
  <c r="N40" i="128"/>
  <c r="O40" i="128" s="1"/>
  <c r="G40" i="128"/>
  <c r="L40" i="128"/>
  <c r="M40" i="128" s="1"/>
  <c r="H40" i="128"/>
  <c r="I40" i="128" s="1"/>
  <c r="N39" i="2"/>
  <c r="O39" i="2" s="1"/>
  <c r="O49" i="2" s="1"/>
  <c r="G39" i="2"/>
  <c r="G49" i="2" s="1"/>
  <c r="G93" i="128" l="1"/>
  <c r="I93" i="128"/>
  <c r="O93" i="128"/>
  <c r="M93" i="128"/>
</calcChain>
</file>

<file path=xl/sharedStrings.xml><?xml version="1.0" encoding="utf-8"?>
<sst xmlns="http://schemas.openxmlformats.org/spreadsheetml/2006/main" count="12583" uniqueCount="4487">
  <si>
    <t>*Maintenance Does Not Include Toner*</t>
  </si>
  <si>
    <t>PI-502 Multi-Post Inserter</t>
  </si>
  <si>
    <t>SD-506 Saddle Stitch Finisher with Face Trimmer</t>
  </si>
  <si>
    <t>SPECIFICATIONS</t>
  </si>
  <si>
    <t xml:space="preserve">Type: </t>
  </si>
  <si>
    <t>Imaging System:</t>
  </si>
  <si>
    <t>Scanning System:</t>
  </si>
  <si>
    <t>B&amp;W or Full Color</t>
  </si>
  <si>
    <t xml:space="preserve">Monthly Duty Cycle: </t>
  </si>
  <si>
    <t>Output Speed:</t>
  </si>
  <si>
    <t>Image Resolution:</t>
  </si>
  <si>
    <t>Warm-Up Time:</t>
  </si>
  <si>
    <t>First Copy:</t>
  </si>
  <si>
    <t>Magnification:</t>
  </si>
  <si>
    <t xml:space="preserve">25 - 400%, 1% increments; </t>
  </si>
  <si>
    <t>Standard Paper Supply:</t>
  </si>
  <si>
    <t>Min/Max Output Size:</t>
  </si>
  <si>
    <t xml:space="preserve"> 3 X 5 to 8 1/2 X 14</t>
  </si>
  <si>
    <t>Maximum Paper Cap.:</t>
  </si>
  <si>
    <t>Memory:</t>
  </si>
  <si>
    <t>Power Requirements:</t>
  </si>
  <si>
    <t>Dimensions:</t>
  </si>
  <si>
    <t>Weight:</t>
  </si>
  <si>
    <t>MAINTENANCE</t>
  </si>
  <si>
    <t>MAINTENANCE OPTION - 7</t>
  </si>
  <si>
    <t>MAINTENANCE OPTION - 7a</t>
  </si>
  <si>
    <r>
      <t>Simitri</t>
    </r>
    <r>
      <rPr>
        <vertAlign val="superscript"/>
        <sz val="10"/>
        <rFont val="Tahoma"/>
        <family val="2"/>
      </rPr>
      <t>®</t>
    </r>
    <r>
      <rPr>
        <sz val="10"/>
        <rFont val="Tahoma"/>
        <family val="2"/>
      </rPr>
      <t xml:space="preserve"> HD Color Polymerized Toner</t>
    </r>
  </si>
  <si>
    <t>Cost per Copy billed at $0.005</t>
  </si>
  <si>
    <t>16a</t>
  </si>
  <si>
    <t>16b</t>
  </si>
  <si>
    <t>LK-106 i-Option License Kit (Bar Code Font)</t>
  </si>
  <si>
    <t>LK-108 i-Option License Kit (OCR Font)</t>
  </si>
  <si>
    <t>WT-506 Working Table</t>
  </si>
  <si>
    <t>A161192000</t>
  </si>
  <si>
    <t>Stylus Pen for INFO-Palette Series</t>
  </si>
  <si>
    <t>22 pages per minute</t>
  </si>
  <si>
    <t>Preset reduction 50%, 65%, 73%, 79%, 93%</t>
  </si>
  <si>
    <t>Preset enlargement 121%, 129%, 155%, 200%</t>
  </si>
  <si>
    <t>500-sheet universal tray (2); 150 sheet bypass</t>
  </si>
  <si>
    <t>5 1/2 x 8 1/2- 11x17</t>
  </si>
  <si>
    <t>MAINTENANCE OPTION - 10</t>
  </si>
  <si>
    <t>MAINTENANCE OPTION - 10a</t>
  </si>
  <si>
    <t>MAINTENANCE OPTION - 10b</t>
  </si>
  <si>
    <t>Annual Maintenance on Purchase:</t>
  </si>
  <si>
    <t>6,000 Monthly / 72,000 Annually</t>
  </si>
  <si>
    <t>13,000 Monthly / 156,000 Annually</t>
  </si>
  <si>
    <t>CPC:</t>
  </si>
  <si>
    <t>Overages</t>
  </si>
  <si>
    <t>Overages billed at $0.008</t>
  </si>
  <si>
    <t>Overages billed at $0.007</t>
  </si>
  <si>
    <t>10a</t>
  </si>
  <si>
    <t>10b</t>
  </si>
  <si>
    <t>SP-501 Fax Stamp Unit</t>
  </si>
  <si>
    <t>AU-204H Magnetic Stripe Card Reader</t>
  </si>
  <si>
    <t>bizhub SECURE</t>
  </si>
  <si>
    <t>A4F4WY1</t>
  </si>
  <si>
    <t>A4F5WY1</t>
  </si>
  <si>
    <t>A4F8WY2</t>
  </si>
  <si>
    <t>Console Full Color Scanner/Printer/Copier</t>
  </si>
  <si>
    <t>Laser Electrostatic Transfer</t>
  </si>
  <si>
    <t>25 - 400%, .1% increments</t>
  </si>
  <si>
    <t>4" x 6” to 13” x 19.2”</t>
  </si>
  <si>
    <t>Color Copies Included:</t>
  </si>
  <si>
    <t>Color Overages:</t>
  </si>
  <si>
    <t>A0410Y0</t>
  </si>
  <si>
    <t>FD-503 Multi Folding Unit</t>
  </si>
  <si>
    <t>AU-102 Biometric Authentication Unit</t>
  </si>
  <si>
    <t>JS-506 Job Separator Tray</t>
  </si>
  <si>
    <t>A3ETW11</t>
  </si>
  <si>
    <t>A3PMWY1</t>
  </si>
  <si>
    <t>A4NMWY1</t>
  </si>
  <si>
    <t>A4NRWY1</t>
  </si>
  <si>
    <t>36 pages per minute</t>
  </si>
  <si>
    <t>MAINTENANCE OPTION - 12</t>
  </si>
  <si>
    <t>MAINTENANCE OPTION - 12a</t>
  </si>
  <si>
    <t>MAINTENANCE OPTION - 12b</t>
  </si>
  <si>
    <t>10,000 Monthly / 120,000 Annually</t>
  </si>
  <si>
    <t>22,000 Monthly / 264,000 Annually</t>
  </si>
  <si>
    <t>Cost per Copy billed at $0.008</t>
  </si>
  <si>
    <t>12a</t>
  </si>
  <si>
    <t>12b</t>
  </si>
  <si>
    <t>MAINTENANCE OPTION - 13</t>
  </si>
  <si>
    <t>MAINTENANCE OPTION - 13a</t>
  </si>
  <si>
    <t>MAINTENANCE OPTION - 13b</t>
  </si>
  <si>
    <t>Cost per Copy billed at $0.0085</t>
  </si>
  <si>
    <t>13a</t>
  </si>
  <si>
    <t>13b</t>
  </si>
  <si>
    <t>45109642</t>
  </si>
  <si>
    <t>ES-2000 Spectrophotometer</t>
  </si>
  <si>
    <t>3000005452</t>
  </si>
  <si>
    <t>Printer</t>
  </si>
  <si>
    <t xml:space="preserve">Annual Maintenance </t>
  </si>
  <si>
    <t>*Maintenance Does Not Include Toner**</t>
  </si>
  <si>
    <t>MAINTENANCE OPTION - 40</t>
  </si>
  <si>
    <t>TOTAL 72 MONTHS</t>
  </si>
  <si>
    <t>TOTAL 72 MONTH</t>
  </si>
  <si>
    <t>150,000 pages</t>
  </si>
  <si>
    <t>45-ppm Full Color; 45-ppm Black and White</t>
  </si>
  <si>
    <t>600 X 600 dpi; 600 x 1800 dpi (enhanced resolution)</t>
  </si>
  <si>
    <t>Warm up time:</t>
  </si>
  <si>
    <t>120 V, 60Hz</t>
  </si>
  <si>
    <t>MAINTENANCE OPTION - 15</t>
  </si>
  <si>
    <t>MAINTENANCE OPTION - 15a</t>
  </si>
  <si>
    <t>MAINTENANCE OPTION - 15b</t>
  </si>
  <si>
    <t>INNOVOLT</t>
  </si>
  <si>
    <t>15a</t>
  </si>
  <si>
    <t>15b</t>
  </si>
  <si>
    <t>Spare Tx Marker Stamp 2</t>
  </si>
  <si>
    <t>65 pages per minute</t>
  </si>
  <si>
    <t>Preset reduction 50%, 65%, 73%, 79%</t>
  </si>
  <si>
    <t>500-sheet universal tray (2); 1,500 sheet tray; 1,000 sheet tray</t>
  </si>
  <si>
    <t>6,650 sheets</t>
  </si>
  <si>
    <t>MAINTENANCE OPTION - 16</t>
  </si>
  <si>
    <t>MAINTENANCE OPTION - 16a</t>
  </si>
  <si>
    <t>MAINTENANCE OPTION - 16b</t>
  </si>
  <si>
    <t>45,000 Monthly / 540,000 Annually</t>
  </si>
  <si>
    <t>A0PD01K</t>
  </si>
  <si>
    <t>LK-111 i-Option License Kit (ThinPrint Client Support)</t>
  </si>
  <si>
    <t>200,000 pages</t>
  </si>
  <si>
    <t>55-ppm Full Color; 55-ppm Black and White</t>
  </si>
  <si>
    <t>25.5” x 31.5" x 45.5” (WDH)</t>
  </si>
  <si>
    <t>B&amp;W: 3.6 seconds or less (letter)</t>
  </si>
  <si>
    <r>
      <t xml:space="preserve">Segment Option </t>
    </r>
    <r>
      <rPr>
        <b/>
        <i/>
        <sz val="8"/>
        <rFont val="Tahoma"/>
        <family val="2"/>
      </rPr>
      <t>Standard Configuration Only</t>
    </r>
  </si>
  <si>
    <r>
      <t xml:space="preserve">Segment Option </t>
    </r>
    <r>
      <rPr>
        <b/>
        <i/>
        <sz val="16"/>
        <rFont val="Tahoma"/>
        <family val="2"/>
      </rPr>
      <t>Standard Configuration Only</t>
    </r>
  </si>
  <si>
    <t>SD-510 Saddle Stitch Kit</t>
  </si>
  <si>
    <t>MK-732 (mount kit for PI-502)</t>
  </si>
  <si>
    <t>RU-510 Relay Unit</t>
  </si>
  <si>
    <t>Console</t>
  </si>
  <si>
    <t>1200 x 1200 dpi</t>
  </si>
  <si>
    <t>Less than 3 seconds</t>
  </si>
  <si>
    <t xml:space="preserve">Preset reduction 93%, 77%, 65%, 50%; </t>
  </si>
  <si>
    <t>208V-240V, 20A 60HZ (dedicated line)</t>
  </si>
  <si>
    <t>KP-101 10-Key Pad</t>
  </si>
  <si>
    <t>Printer/Copier/Scanner with Stationary Platen</t>
  </si>
  <si>
    <t xml:space="preserve">600 X 600 dpi </t>
  </si>
  <si>
    <t>MAINTENANCE OPTION - 17</t>
  </si>
  <si>
    <t>MAINTENANCE OPTION - 17a</t>
  </si>
  <si>
    <t>MAINTENANCE OPTION - 17b</t>
  </si>
  <si>
    <t>25,000 Monthly / 300,000 Annually</t>
  </si>
  <si>
    <t>55,000 Monthly / 660,000 Annually</t>
  </si>
  <si>
    <t>Overages billed at $0.0045</t>
  </si>
  <si>
    <t>17a</t>
  </si>
  <si>
    <t>17b</t>
  </si>
  <si>
    <t>Print/Copy Process</t>
  </si>
  <si>
    <t>LED Electrostatic Process</t>
  </si>
  <si>
    <t>Dry Dual Component Magnetic Brush Development</t>
  </si>
  <si>
    <t>1,500,000 pages</t>
  </si>
  <si>
    <t>95 pages per minute</t>
  </si>
  <si>
    <t>1200 x 1200 dpi / 256 Gray shades</t>
  </si>
  <si>
    <t>6.5 minutes (approx.)</t>
  </si>
  <si>
    <t xml:space="preserve">25 - 400%, .1% increments; </t>
  </si>
  <si>
    <t xml:space="preserve">Preset reduction 79%, 73%, 65%, 50%; </t>
  </si>
  <si>
    <t>Preset enlargement 121%, 129%, 155%,200%</t>
  </si>
  <si>
    <t xml:space="preserve">1,500-Sheet Universal Paper Drawers x 2 </t>
  </si>
  <si>
    <t>5-1/2” x  8-1/2” to 12” x 18”</t>
  </si>
  <si>
    <t xml:space="preserve">9,000-sheets (total, with options) </t>
  </si>
  <si>
    <t>208-240V, 60Hz, 16A Dedicated Line</t>
  </si>
  <si>
    <t>72 Month</t>
  </si>
  <si>
    <t>A04HWY2</t>
  </si>
  <si>
    <t>A08RWY1</t>
  </si>
  <si>
    <t>Lease Option Maintenance:</t>
  </si>
  <si>
    <t>Not Included</t>
  </si>
  <si>
    <t>Included</t>
  </si>
  <si>
    <t>Annual Maintenance</t>
  </si>
  <si>
    <t>Copies Included:</t>
  </si>
  <si>
    <t>0 Copies Included</t>
  </si>
  <si>
    <t>Overages:</t>
  </si>
  <si>
    <t>Contract Pricing</t>
  </si>
  <si>
    <t>Leasing Options</t>
  </si>
  <si>
    <t>Quantity</t>
  </si>
  <si>
    <t>Item No</t>
  </si>
  <si>
    <t>Description</t>
  </si>
  <si>
    <t>MSRP</t>
  </si>
  <si>
    <t>Purchase Price</t>
  </si>
  <si>
    <t>Total</t>
  </si>
  <si>
    <t>12 Month</t>
  </si>
  <si>
    <t>36 Month</t>
  </si>
  <si>
    <t>48 Month</t>
  </si>
  <si>
    <t>60 Month</t>
  </si>
  <si>
    <t>AC-1</t>
  </si>
  <si>
    <t>Surge Protector</t>
  </si>
  <si>
    <t>7a</t>
  </si>
  <si>
    <t>OPTIONAL ACCESSORIES</t>
  </si>
  <si>
    <t>TOTAL PURCHASE</t>
  </si>
  <si>
    <t>TOTAL 12 MONTHS</t>
  </si>
  <si>
    <t>TOTAL 36 MONTHS</t>
  </si>
  <si>
    <t>TOTAL 48 MONTHS</t>
  </si>
  <si>
    <t>TOTAL 60 MONTHS</t>
  </si>
  <si>
    <t>Warm-Up Time/First Copy:</t>
  </si>
  <si>
    <t>Processor Speed</t>
  </si>
  <si>
    <t>Laser</t>
  </si>
  <si>
    <t>AC110 - 120V, 50/60Hz</t>
  </si>
  <si>
    <t>MAINTENANCE OPTION - 8</t>
  </si>
  <si>
    <t>MAINTENANCE OPTION - 8a</t>
  </si>
  <si>
    <t>8a</t>
  </si>
  <si>
    <t xml:space="preserve">               MAINTENANCE</t>
  </si>
  <si>
    <t>Overages billed at $0.017</t>
  </si>
  <si>
    <t>Overages billed at $0.016</t>
  </si>
  <si>
    <t>7640013463</t>
  </si>
  <si>
    <t>CS-1 Convenience Stapler</t>
  </si>
  <si>
    <t>TOTAL 12 MONTH</t>
  </si>
  <si>
    <t>TOTAL 36 MONTH</t>
  </si>
  <si>
    <t>TOTAL 48 MONTH</t>
  </si>
  <si>
    <t>TOTAL 60 MONTH</t>
  </si>
  <si>
    <t>MAINTENANCE OPTION - 9</t>
  </si>
  <si>
    <t>MAINTENANCE OPTION - 9a</t>
  </si>
  <si>
    <t>9a</t>
  </si>
  <si>
    <t>800 MHz</t>
  </si>
  <si>
    <t>PB-503 Perfect Binder</t>
  </si>
  <si>
    <t>A0X9WY1</t>
  </si>
  <si>
    <t>Type:</t>
  </si>
  <si>
    <t>Full Color Scanner/Printer/Copier with stationary platen</t>
  </si>
  <si>
    <t>Print/Copy Process:</t>
  </si>
  <si>
    <t>Tandem Process</t>
  </si>
  <si>
    <t>Development System:</t>
  </si>
  <si>
    <t>600 X 600 dpi</t>
  </si>
  <si>
    <t>25 - 400%, .1% increments; Preset reduction 79%, 73%,</t>
  </si>
  <si>
    <t>65%, 50%; Preset enlargement 121%, 129%, 155%,200%</t>
  </si>
  <si>
    <t>4" x 6” to 12” x 18”</t>
  </si>
  <si>
    <t>Memory</t>
  </si>
  <si>
    <t>Power Requirement:</t>
  </si>
  <si>
    <t>MAINTENANCE OPTION - 11</t>
  </si>
  <si>
    <t>MAINTENANCE OPTION - 11a</t>
  </si>
  <si>
    <t>MAINTENANCE OPTION - 11b</t>
  </si>
  <si>
    <t>Overages billed at $0.009</t>
  </si>
  <si>
    <t>Color CPC</t>
  </si>
  <si>
    <t>11a</t>
  </si>
  <si>
    <t>11b</t>
  </si>
  <si>
    <t>HID Proximity Card 10 Pack</t>
  </si>
  <si>
    <t>External Keyboard</t>
  </si>
  <si>
    <t>Type</t>
  </si>
  <si>
    <t>MAINTENANCE OPTION - 41</t>
  </si>
  <si>
    <t>MAINTENANCE OPTION - 42</t>
  </si>
  <si>
    <t>EFI Fiery SeeQuence Impose</t>
  </si>
  <si>
    <t>EFI Fiery SeeQuence Compose</t>
  </si>
  <si>
    <t xml:space="preserve">25 - 400%, .001 increments; </t>
  </si>
  <si>
    <t>MAINTENANCE OPTION - 14</t>
  </si>
  <si>
    <t>MAINTENANCE OPTION - 14a</t>
  </si>
  <si>
    <t>MAINTENANCE OPTION - 14b</t>
  </si>
  <si>
    <t>15,000 Monthly / 180,000 Annually</t>
  </si>
  <si>
    <t>30,000 Monthly / 360,000 Annually</t>
  </si>
  <si>
    <t>Overages billed at $0.006</t>
  </si>
  <si>
    <t>14a</t>
  </si>
  <si>
    <t>14b</t>
  </si>
  <si>
    <t>Per Diem On Site Services</t>
  </si>
  <si>
    <t>Per Diem Remote Access Services</t>
  </si>
  <si>
    <t>Per Diem Custom Development Services</t>
  </si>
  <si>
    <t>Up to 2000 sheets</t>
  </si>
  <si>
    <t>50 ppm</t>
  </si>
  <si>
    <t>Up to 2300 sheets</t>
  </si>
  <si>
    <t>55 pages per minute</t>
  </si>
  <si>
    <r>
      <t xml:space="preserve">The KIP 7170 is a powerful, modular solution for wide-format printing in any production environment, with simple multi-touch control on a vivid 12.1” screen, high-definition print technology, integrated print control software and a variety of system configurations to fit the needs of your application.
</t>
    </r>
    <r>
      <rPr>
        <sz val="10"/>
        <rFont val="Tahoma"/>
        <family val="2"/>
      </rPr>
      <t>**Picture below may show optional accessories not included with the base configuration. Consult VBS Sales Professional for product information.</t>
    </r>
  </si>
  <si>
    <t>Common Access Card (CAC) Identification device used for DoD authentication</t>
  </si>
  <si>
    <t>7640008362</t>
  </si>
  <si>
    <t>45 pages per minute</t>
  </si>
  <si>
    <t xml:space="preserve">600 x 600 dpi </t>
  </si>
  <si>
    <t>5.3 seconds or less</t>
  </si>
  <si>
    <t>600 x 600 dpi</t>
  </si>
  <si>
    <t>600 Monthly / 7,200 Annually</t>
  </si>
  <si>
    <t>1000 Monthly / 12,000 Annually</t>
  </si>
  <si>
    <t>4000 Monthly / 48,000 Annually</t>
  </si>
  <si>
    <t>Printer / Copier / Full-Color Scanner / Fax</t>
  </si>
  <si>
    <t>42 ppm Ltr</t>
  </si>
  <si>
    <t>512MB Standard</t>
  </si>
  <si>
    <t>Printer / Copier / Full-Color Scanner</t>
  </si>
  <si>
    <t>LK-107 i-Option License Kit (Unicode)</t>
  </si>
  <si>
    <t>50 ppm Ltr</t>
  </si>
  <si>
    <t>A5VKWY1</t>
  </si>
  <si>
    <t>A57UWY1</t>
  </si>
  <si>
    <t>Full-Color Laser printer</t>
  </si>
  <si>
    <t>1,200 x 1,200 dpi, 600 x 600 dpi</t>
  </si>
  <si>
    <t>4" x 6" to 8.5" x 14" / custom paper sizes</t>
  </si>
  <si>
    <t>45111136</t>
  </si>
  <si>
    <t>45111138</t>
  </si>
  <si>
    <t>A69EWY1</t>
  </si>
  <si>
    <t>45111134</t>
  </si>
  <si>
    <t>100000006366</t>
  </si>
  <si>
    <t>63800212A</t>
  </si>
  <si>
    <t>63800214A</t>
  </si>
  <si>
    <t>Purchase to Pay Solution Bundle</t>
  </si>
  <si>
    <t>Hire to Retire Solution Bundle</t>
  </si>
  <si>
    <t>SmartSearch Corporate Edition Server License</t>
  </si>
  <si>
    <t>Per Diem Third Party Professional Services</t>
  </si>
  <si>
    <t>Per Diem GlobalForms Development Services</t>
  </si>
  <si>
    <t>Per Diem Data Conversion Services</t>
  </si>
  <si>
    <t>Additional SmartSearch Application Server - Single Instance</t>
  </si>
  <si>
    <t>Capture Workflow Load Balance Utility</t>
  </si>
  <si>
    <t>Image XChange - Enterprise License</t>
  </si>
  <si>
    <t>WebCRD Enterprise System License (WebCRD Pro, LDAP, QDirect)</t>
  </si>
  <si>
    <t>WebCRD Enterprise System License - 1x5 Premium Support</t>
  </si>
  <si>
    <t>WebCRD Enterprise System License - 3x7 Platinum Support</t>
  </si>
  <si>
    <t>WebCRD Base License</t>
  </si>
  <si>
    <t>WebCRD Base License - 1x5 Premium Support</t>
  </si>
  <si>
    <t>WebCRD Base License - 3x7 Platinum Support</t>
  </si>
  <si>
    <t>WebCRD Pro (Includes 2 PDEFs)</t>
  </si>
  <si>
    <t>WebCRD Pro - 1x5 Premium Support</t>
  </si>
  <si>
    <t>WebCRD Pro - 3x7 Platinum Support</t>
  </si>
  <si>
    <t>Upgrade from WebCRD Base License to WebCRD Pro License</t>
  </si>
  <si>
    <t>Upgrade WebCRD Base License to WebCRD Pro - Annual 1x5 Maintenance</t>
  </si>
  <si>
    <t>Upgrade WebCRD Base License to WebCRD Pro - Annual 3x7 Maintenance</t>
  </si>
  <si>
    <t>Professional Services (Variable)</t>
  </si>
  <si>
    <t>Professional Services - On-Site (1 Day including travel time &amp; expense)</t>
  </si>
  <si>
    <t>Professional Services - Additional Day, Already On-Site</t>
  </si>
  <si>
    <t>Professional Services - Daily Rate (Off-Site)</t>
  </si>
  <si>
    <t>WebCRD AutoStock Implementation Fee</t>
  </si>
  <si>
    <t>WebCRD Base License - Remote Installation &amp; Training</t>
  </si>
  <si>
    <t>Upgrade from WebCRD Base to Pro - Remote Installation &amp; Training Fee</t>
  </si>
  <si>
    <t>WebCRD - Reintegration Fee</t>
  </si>
  <si>
    <t>WebCRD SurePDF Client License - Implementation Fee</t>
  </si>
  <si>
    <t>WebCRD Basic Authentication Module - Implementation Fee</t>
  </si>
  <si>
    <t>WebCRD Credit Card Module - Implementation Fee</t>
  </si>
  <si>
    <t>WebCRD AJCE Module - Implementation Fee</t>
  </si>
  <si>
    <t>Remote Implementation Fee</t>
  </si>
  <si>
    <t>Customer-Supplied Server Setup (Includes one-way standard shipping)</t>
  </si>
  <si>
    <t>Remote Access Surcharge (Variable)</t>
  </si>
  <si>
    <t>WebCRD CentralPDF Office License - Implementation Fee</t>
  </si>
  <si>
    <t>WebCRD Book Assembly Module - Implementation Fee</t>
  </si>
  <si>
    <t>WebCRD Print MIS Package - Implementation Fee</t>
  </si>
  <si>
    <t>KMWCRD295</t>
  </si>
  <si>
    <t>KMWCRD2951</t>
  </si>
  <si>
    <t>KMWCRD2954</t>
  </si>
  <si>
    <t>KMWCRD340</t>
  </si>
  <si>
    <t>KMWCRD3401</t>
  </si>
  <si>
    <t>KMWCRD3404</t>
  </si>
  <si>
    <t>WebCRD Additional PDEF (Per Printer Definition)</t>
  </si>
  <si>
    <t>WebCRD Additional PDEF - 1x5 Premium Support</t>
  </si>
  <si>
    <t>WebCRD Additional PDEF - 3x7 Platinum Support</t>
  </si>
  <si>
    <t>WebCRD CentralPDF License - 1x5 Premium Support</t>
  </si>
  <si>
    <t>WebCRD CentralPDF License - 3x7 Platinum Support</t>
  </si>
  <si>
    <t>WebCRD SurePDF License (Up to 5 Print Centers)</t>
  </si>
  <si>
    <t>WebCRD SurePDF License - 1x5 Premium Support</t>
  </si>
  <si>
    <t>WebCRD SurePDF License - 3x7 Platinum Support</t>
  </si>
  <si>
    <t>WebCRD Basic Authentication Module (LDAP)</t>
  </si>
  <si>
    <t>WebCRD Basic Authentication Module - Annual 1x5 Premium Support</t>
  </si>
  <si>
    <t>WebCRD Basic Authentication Module - Annual 3x7 Platinum Support</t>
  </si>
  <si>
    <t>WebCRD Credit Card Module</t>
  </si>
  <si>
    <t>WebCRD Credit Card Module - 1x5 Premium Support</t>
  </si>
  <si>
    <t>WebCRD Credit Card Module - 3x7 Platinum Support</t>
  </si>
  <si>
    <t>WebCRD Additional Site License (Per Additional Site)</t>
  </si>
  <si>
    <t>WebCRD Additional Site License - 1x5 Premium Support</t>
  </si>
  <si>
    <t>WebCRD Additional Site License - 3x7 Platinum Support</t>
  </si>
  <si>
    <t>WebCRD AJCE (Advanced Job Cost Estimating) Module</t>
  </si>
  <si>
    <t>WebCRD AJCE Module - 1x5 Premium Support</t>
  </si>
  <si>
    <t>WebCRD AJCE Module - 3x7 Platinum Support</t>
  </si>
  <si>
    <t>WebCRD AutoStock Module (Requires AutoStock Implementation Fee)</t>
  </si>
  <si>
    <t>WebCRD AutoStock Module - 1x5 Premium Support</t>
  </si>
  <si>
    <t>WebCRD AutoStock Module - 3x7 Platinum Support</t>
  </si>
  <si>
    <t>WebCRD Analytics Module - 1x5 Premium Support</t>
  </si>
  <si>
    <t>WebCRD Analytics Module - 3x7 Platinum Support</t>
  </si>
  <si>
    <t>WebCRD Multilingual Module</t>
  </si>
  <si>
    <t>WebCRD Multilingual Module - Annual 1x5 Maintenance</t>
  </si>
  <si>
    <t>WebCRD Multilingual Module - Annual 3x7 Maintenance</t>
  </si>
  <si>
    <t>WebCRD Backup, DR or UAT License (select one)</t>
  </si>
  <si>
    <t>WebCRD Backup, DR or UAT License - Annual 1x5 Premium Support</t>
  </si>
  <si>
    <t>WebCRD Backup, DR or UAT License - Annual 3x7 Platinum Support</t>
  </si>
  <si>
    <t>WebCRD Dynamics Module (Requires Dynamics Implementation Fee)</t>
  </si>
  <si>
    <t>WebCRD Dynamics Module - 1x5 Premium Support</t>
  </si>
  <si>
    <t>WebCRD Dynamics Module - 3x7 Platinum Support</t>
  </si>
  <si>
    <t>WebCRD SurePDF Client License Annual Fee</t>
  </si>
  <si>
    <t>Fusion Pro Designer Licenses (5-pack)</t>
  </si>
  <si>
    <t>Fusion Pro Designer Licenses - Annual 1x5 Maintenance</t>
  </si>
  <si>
    <t>Fusion Pro Designer Licenses - Annual 3x7 Maintenance</t>
  </si>
  <si>
    <t>WebCRD OnDemand Production Module - Annual Fee</t>
  </si>
  <si>
    <t>WebCRD OnDemand Dynamics Desktop Module - Annual Fee</t>
  </si>
  <si>
    <t>WebCRD OnDemand Print MIS Package - Annual Fee</t>
  </si>
  <si>
    <t>WebCRD OnDemand Additional 100 GB Storage (Each 100 GB) - Annual Fee</t>
  </si>
  <si>
    <t>WebCRD OnDemand Additional 1 CPU (Each 1 CPU) - Annual Fee</t>
  </si>
  <si>
    <t>WebCRD OnDemand Additional 1 GB RAM (Each 1 GB RAM) - Annual Fee</t>
  </si>
  <si>
    <t>Virtual Server Image</t>
  </si>
  <si>
    <t>Virtual Server Image - Annual 1x5 Premium Support</t>
  </si>
  <si>
    <t>Virtual Server Image - Annual 3x7 Platinum Support</t>
  </si>
  <si>
    <t>WebCRD CentralPDF Office License (Requires PC for Conversion)</t>
  </si>
  <si>
    <t>WebCRD CentralPDF Office License - Annual 1x5 Premium Support</t>
  </si>
  <si>
    <t>WebCRD CentralPDF Office License - Annual 3x7 Platinum Support</t>
  </si>
  <si>
    <t>WebCRD Dynamics Desktop (Requires PC &amp; FusionPro Desktop)</t>
  </si>
  <si>
    <t>WebCRD Dynamics Desktop Module - Annual 1x5 Premium Support</t>
  </si>
  <si>
    <t>WebCRD Dynamics Desktop Module - Annual 3x7 Platinum Support</t>
  </si>
  <si>
    <t>FusionPro VDP Creator (Per License)</t>
  </si>
  <si>
    <t>FusionPro VDP Creator - Annual 1x5 Premium Support</t>
  </si>
  <si>
    <t>FusionPro VDP Creator - Annual 3x7 Platinum Support</t>
  </si>
  <si>
    <t>WebCRD Book Assembly Module</t>
  </si>
  <si>
    <t>WebCRD Book Assembly Module - Annual 1x5 Premium Support</t>
  </si>
  <si>
    <t>WebCRD Book Assembly Module - Annual 3x7 Platinum Support</t>
  </si>
  <si>
    <t>WebCRD Print MIS Package</t>
  </si>
  <si>
    <t>WebCRD Print MIS Package - Annual 1x5 Premium Support</t>
  </si>
  <si>
    <t>WebCRD Print MIS Package - Annual 3x7 Platinum Support</t>
  </si>
  <si>
    <t>WebCRD Advanced Authentication Module (requires SOW)</t>
  </si>
  <si>
    <t>WebCRD Advanced Authentication Module - Annual 1x5 Premium Support</t>
  </si>
  <si>
    <t>WebCRD Advanced Authentication Module - Annual 3x7 Platinum Support</t>
  </si>
  <si>
    <t>WebCRD CXML Interface</t>
  </si>
  <si>
    <t>WebCRD CXML Interface - Annual 1x5 Premium Support</t>
  </si>
  <si>
    <t>WebCRD CXML Interface - Annual 3x7 Platinum Support</t>
  </si>
  <si>
    <t>Simitri® HD Polymerized Toner</t>
  </si>
  <si>
    <t>Less than 15 seconds</t>
  </si>
  <si>
    <t>500-sheet universal tray (2); 100 sheet bypass</t>
  </si>
  <si>
    <t>3,600 sheets</t>
  </si>
  <si>
    <t>4GB RAM</t>
  </si>
  <si>
    <t>120 V / 50/60 Hz</t>
  </si>
  <si>
    <t>23.0" x 26.0" x 28.9" (WDH)</t>
  </si>
  <si>
    <t>124.6 lbs.</t>
  </si>
  <si>
    <t xml:space="preserve">KONICA MINOLTA bizhub 227 Black and White Digital Copier </t>
  </si>
  <si>
    <r>
      <t xml:space="preserve">The bizhub 227 provides productivity features to speed your output economically, including 22 ppm printing, color scanning, powerful finishing options for right-size scalability and enhanced control panel which now features a new mobile connectivity area.
</t>
    </r>
    <r>
      <rPr>
        <sz val="10"/>
        <rFont val="Tahoma"/>
        <family val="2"/>
      </rPr>
      <t>**Picture below may show optional accessories not included with the base configuration. Consult VBS Sales Professional for product information.</t>
    </r>
  </si>
  <si>
    <t>A7AK011X001</t>
  </si>
  <si>
    <t>Bizhub 227</t>
  </si>
  <si>
    <t>A7V7WY1</t>
  </si>
  <si>
    <t>DF-628 Reversing Auto Doc Feeder</t>
  </si>
  <si>
    <t>DK-513 Copy Desk</t>
  </si>
  <si>
    <t>AU-205H Supports HID Proximity, MIFARE Classic,MIFARE iCLASS, iCLASS SE, iCLASS Seos and iCLASS Elite card types.</t>
  </si>
  <si>
    <t>bizhub SECURE Healthcare</t>
  </si>
  <si>
    <t>EK-608 USB Host Board (Local Interface Kit)</t>
  </si>
  <si>
    <t>EK-609 USB Host Board (Local Interface Kit) with Bluetooth Printing Support</t>
  </si>
  <si>
    <t xml:space="preserve">FK-513 Fax Kit </t>
  </si>
  <si>
    <t>FS-533 + MK-602 Inner Finisher + Mount Kit</t>
  </si>
  <si>
    <t>FS-534 + RU-514 50-Sheet Stapling Finisher + Relay Unit</t>
  </si>
  <si>
    <t>FS-534 + SD 511 + RU-514 50-Sheet Stapling Finisher+Saddle Stitcher Kit+Relay Unit</t>
  </si>
  <si>
    <t>KH-102 Keyboard Holder (for External Keyboard)</t>
  </si>
  <si>
    <t>LK-102 v3 i-Option License Kit (Enhanced PDF Encryption, PDF/A, Linearized PDF)</t>
  </si>
  <si>
    <t>LK-104 v3 i-Option License Kit (Voice Guidance)</t>
  </si>
  <si>
    <t>LK-105 v4 i-Option License Kit (Searchable PDF)</t>
  </si>
  <si>
    <t>LK-110 v2 i-Option License kit (OOXML File Conversion, Enhanced Image Data)</t>
  </si>
  <si>
    <t>MK-735 Mount Kit (Internally mounts AU-205H Card Authentication Unit)</t>
  </si>
  <si>
    <t>OC-514 Original Cover</t>
  </si>
  <si>
    <t>PC-113 Paper Feed Cabinet</t>
  </si>
  <si>
    <t>PC-213 2-way Paper Feed Cabinet</t>
  </si>
  <si>
    <t>PC-413 Large Capacity Cassette</t>
  </si>
  <si>
    <t>PK-519 Punch Kit (2/3 Holes) for FS-533</t>
  </si>
  <si>
    <t>PK-520 Punch Kit (2/3 Holes) for FS-534</t>
  </si>
  <si>
    <t>RU-514 Relay Unit for FS-534 and FS-534 + SD511</t>
  </si>
  <si>
    <t>UK-212 Wireless LAN Upgrade Kit</t>
  </si>
  <si>
    <t>R5427000136466</t>
  </si>
  <si>
    <t>A88AWY1</t>
  </si>
  <si>
    <t>A87DWY1</t>
  </si>
  <si>
    <t>A879011</t>
  </si>
  <si>
    <t xml:space="preserve">A2YUWY2X001 </t>
  </si>
  <si>
    <t>A3EPWY2X001</t>
  </si>
  <si>
    <t>A3EPWYCX001</t>
  </si>
  <si>
    <t>A2YVWY2</t>
  </si>
  <si>
    <t>A64TWY3</t>
  </si>
  <si>
    <t>A0PD116</t>
  </si>
  <si>
    <t>A0PD117</t>
  </si>
  <si>
    <t>A0PD11T</t>
  </si>
  <si>
    <t>A0PD119</t>
  </si>
  <si>
    <t>A0PD11F</t>
  </si>
  <si>
    <t>A0PD11G</t>
  </si>
  <si>
    <t>A0PD11U</t>
  </si>
  <si>
    <t>A0PD11K</t>
  </si>
  <si>
    <t>A7YPWY1</t>
  </si>
  <si>
    <t>A7VAWY1</t>
  </si>
  <si>
    <t>A7VAWY2</t>
  </si>
  <si>
    <t>A7VA013</t>
  </si>
  <si>
    <t>A3EUW12</t>
  </si>
  <si>
    <t>A84GWY1</t>
  </si>
  <si>
    <t>A87EWY1</t>
  </si>
  <si>
    <t>A0W4WY3</t>
  </si>
  <si>
    <t>A4MEWY2</t>
  </si>
  <si>
    <t>A884W11</t>
  </si>
  <si>
    <t>A886WY1</t>
  </si>
  <si>
    <t>OC-511 Original Cover</t>
  </si>
  <si>
    <t>Full Color Printer/Copier/Scanner</t>
  </si>
  <si>
    <t>Laser electrostatic copy method</t>
  </si>
  <si>
    <t>Dry-2 component developing method</t>
  </si>
  <si>
    <t>120V, 12 A, 60 Hz</t>
  </si>
  <si>
    <t>PTL5A</t>
  </si>
  <si>
    <t>25-ppm Color/Black &amp; White</t>
  </si>
  <si>
    <t>Professional Services</t>
  </si>
  <si>
    <t>A79CWY1</t>
  </si>
  <si>
    <r>
      <t xml:space="preserve">The bizhub PRO 1100 black and white digital press delivers real value to your print production environment: high-speed 100 ppm B&amp;W output, high paper and toner capacity, standard built-in print controller and a compact footprint to save space on your production floor.
</t>
    </r>
    <r>
      <rPr>
        <sz val="10"/>
        <rFont val="Tahoma"/>
        <family val="2"/>
      </rPr>
      <t>**Picture below may show optional accessories not included with the base configuration. Consult VBS Sales Professional for product information.</t>
    </r>
  </si>
  <si>
    <t>100 pages per minute</t>
  </si>
  <si>
    <t>3.4 seconds (approx.)</t>
  </si>
  <si>
    <t>8GB RAM</t>
  </si>
  <si>
    <t>39” x 35.75" x 45.75” (WDH)</t>
  </si>
  <si>
    <t>749.5 lbs.</t>
  </si>
  <si>
    <t>7640016375</t>
  </si>
  <si>
    <t>A8H9WY1</t>
  </si>
  <si>
    <t>7640006869</t>
  </si>
  <si>
    <t>A92D011</t>
  </si>
  <si>
    <t>A10CWY2</t>
  </si>
  <si>
    <t>4623474</t>
  </si>
  <si>
    <t>4614511</t>
  </si>
  <si>
    <t>EK-610 USB Host Board (Local Interface Kit)</t>
  </si>
  <si>
    <t>OT-508 Output Tray</t>
  </si>
  <si>
    <t>Printer/Copier/Scanner; Console</t>
  </si>
  <si>
    <t>Less than 3.2 seconds</t>
  </si>
  <si>
    <t>EFI FIERY CPS V4.0 ES-2000 Fiery Color Profiler Suite v4.0 with ES-2000 Spectrophotometer</t>
  </si>
  <si>
    <t>A88AWY2</t>
  </si>
  <si>
    <t>A87DWY2</t>
  </si>
  <si>
    <t>7640013468</t>
  </si>
  <si>
    <t>45111142</t>
  </si>
  <si>
    <t>45111156</t>
  </si>
  <si>
    <t>65-ppm Full Color; 65-ppm Black and White</t>
  </si>
  <si>
    <t>A883012</t>
  </si>
  <si>
    <t>30 pages per minute</t>
  </si>
  <si>
    <t>5.0 seconds or less</t>
  </si>
  <si>
    <t>4614506</t>
  </si>
  <si>
    <t>B/W Copies Included:</t>
  </si>
  <si>
    <t xml:space="preserve"> B/W Overages:</t>
  </si>
  <si>
    <t>KIP 860 Color MFP with Top Stacking</t>
  </si>
  <si>
    <t>SYS860K</t>
  </si>
  <si>
    <t>OPTIONAL ACCESSORIES / FREIGHT SPECIAL SERVICES</t>
  </si>
  <si>
    <t>Secure Hard Drive Connection Kit</t>
  </si>
  <si>
    <t>KIP 800 Inside Delivery</t>
  </si>
  <si>
    <t>KIP 800 Forklift Delivery Service</t>
  </si>
  <si>
    <t>KIP 800 Pallet Jack</t>
  </si>
  <si>
    <t>KIP 800 Remove Dunnage</t>
  </si>
  <si>
    <t>KIP 800 Two Mean Pick-Up/Delivery</t>
  </si>
  <si>
    <t>KIP 800 Uncrate</t>
  </si>
  <si>
    <t>KIP 800 Series PDF Option</t>
  </si>
  <si>
    <t xml:space="preserve">The KIP Accounting Center consolidates control of user account data and printing rules for all Copy, Print and Scan activities for KIP Color Systems.  </t>
  </si>
  <si>
    <t>KIP GRAPHIC EXPRESS KEY CODE OPTION</t>
  </si>
  <si>
    <t>KIP 800 Auto Stacker</t>
  </si>
  <si>
    <t>7640018135</t>
  </si>
  <si>
    <t>PPEHDKITK</t>
  </si>
  <si>
    <t>INSIDEDEL</t>
  </si>
  <si>
    <t>KIP800FLIFT</t>
  </si>
  <si>
    <t>PALLETJACK</t>
  </si>
  <si>
    <t>REMDUNN</t>
  </si>
  <si>
    <t>TMPUD</t>
  </si>
  <si>
    <t>UNCRATE</t>
  </si>
  <si>
    <t>DIGPDF800K</t>
  </si>
  <si>
    <t>K1AKC00070</t>
  </si>
  <si>
    <t>K1GRKC0100</t>
  </si>
  <si>
    <t>K1SDKKC120</t>
  </si>
  <si>
    <t>MACH800S</t>
  </si>
  <si>
    <t>MACHFOLD100080</t>
  </si>
  <si>
    <t>MACHFOLD800</t>
  </si>
  <si>
    <t>Up to 18,000 Square Feet (Annually)</t>
  </si>
  <si>
    <t>Up to 96,000 Square Feet (Annually)</t>
  </si>
  <si>
    <t>$0.0.03370 Per Square Foot</t>
  </si>
  <si>
    <t>$0.00767 Per Square Foot</t>
  </si>
  <si>
    <t>MAINTENANCE OPTION - 42 (A;B;C)</t>
  </si>
  <si>
    <t>42-A</t>
  </si>
  <si>
    <r>
      <t xml:space="preserve">The KIP 800 Color Series provides a complete solution for a variety of wide format printing tasks that require superior image quality and performance. It also delivers powerful print control ranging from print submission, applications, cloud printing, scan/copy, variable data printing, stacking and folding. With its front-stacking design and two or four integrated media rolls, the KIP 800 Color Series is a powerful, scalable system to fit the needs of your applications.  
</t>
    </r>
    <r>
      <rPr>
        <sz val="10"/>
        <rFont val="Tahoma"/>
        <family val="2"/>
      </rPr>
      <t>**Picture below may show optional accessories not included with the base configuration. Consult VBS Sales Professional for product information.</t>
    </r>
  </si>
  <si>
    <t>Auto Voltage Regulator-Regulates incoming power source to printer</t>
  </si>
  <si>
    <t>Common Access Card (CAC)-Identification device used for DoD Facility Authentication.</t>
  </si>
  <si>
    <t>Integrated Solution Keycode for 3rd Party Application-The addition of 3rd party RIP solutions, such as Caldera, Shiraz, PrintShop Mail or EFI.</t>
  </si>
  <si>
    <t>KIPFold 1000 Folder for KIP 850/860-Compatiable with KIP 850/860 only.</t>
  </si>
  <si>
    <t>KIPFold 800 Folder-In-line Fan Fold &amp; Cross Fold System</t>
  </si>
  <si>
    <t>MK-737 Mount Kit for 3rd Party Options</t>
  </si>
  <si>
    <t>SD-506 Saddle Stitch Unit</t>
  </si>
  <si>
    <t>SD-513 Saddle Stitcher</t>
  </si>
  <si>
    <t>SD-513/F Saddle Stitcher Front</t>
  </si>
  <si>
    <t>A65XWY1</t>
  </si>
  <si>
    <t>45111094</t>
  </si>
  <si>
    <t>A65VWY1</t>
  </si>
  <si>
    <t>A03WWY2</t>
  </si>
  <si>
    <t>63800196A</t>
  </si>
  <si>
    <t>A8ACWY1</t>
  </si>
  <si>
    <t>A043WY1</t>
  </si>
  <si>
    <t>10507000</t>
  </si>
  <si>
    <t>10407000</t>
  </si>
  <si>
    <t>10307000</t>
  </si>
  <si>
    <t>4704000</t>
  </si>
  <si>
    <t>12207000</t>
  </si>
  <si>
    <t>10207000</t>
  </si>
  <si>
    <t>12200018</t>
  </si>
  <si>
    <t>A729WY1</t>
  </si>
  <si>
    <t>A65WWY1</t>
  </si>
  <si>
    <t>Color Digital Production Press / Copier / Scanner</t>
  </si>
  <si>
    <t>FK-517 Fax Kit</t>
  </si>
  <si>
    <t>AA1K011</t>
  </si>
  <si>
    <t>300,000 pages</t>
  </si>
  <si>
    <t>approximately 22 seconds</t>
  </si>
  <si>
    <t xml:space="preserve">Full Color: 4.9 seconds or less (letter) </t>
  </si>
  <si>
    <t>487 lbs.</t>
  </si>
  <si>
    <t>LU-205 Large Capacity Unit</t>
  </si>
  <si>
    <t>LU-303 Large Capacity Unit</t>
  </si>
  <si>
    <t>EFI IC-418 Productivity Package</t>
  </si>
  <si>
    <t>75-ppm Black &amp; White/Color</t>
  </si>
  <si>
    <t>AU-205H IC Card Reader</t>
  </si>
  <si>
    <t xml:space="preserve">DIE, 3/5/7 Hole, 8mm </t>
  </si>
  <si>
    <t>HD-523 Removable HDD Inner Case Kit for 61XX</t>
  </si>
  <si>
    <t>IQ-501 Intelligent Quality Optimizer</t>
  </si>
  <si>
    <t>PP-701 Pre-Printed Paper Feed Enhance Kit for PF-709</t>
  </si>
  <si>
    <t>A9JYWY1</t>
  </si>
  <si>
    <t>A874WY2</t>
  </si>
  <si>
    <t>A9CFWY1</t>
  </si>
  <si>
    <t>A1RKWY3</t>
  </si>
  <si>
    <t>A8FRWY1</t>
  </si>
  <si>
    <t>A6H9WY2</t>
  </si>
  <si>
    <t>120 pages per minute</t>
  </si>
  <si>
    <t>Approx 7 minutes</t>
  </si>
  <si>
    <t>3,000 sheets</t>
  </si>
  <si>
    <t xml:space="preserve">18,000-sheets (total, with options) </t>
  </si>
  <si>
    <t>16 GB</t>
  </si>
  <si>
    <t>39.0” x 35.8" x 57” (WDH)</t>
  </si>
  <si>
    <t>Approx 813.5 lbs.</t>
  </si>
  <si>
    <t>EVS12015</t>
  </si>
  <si>
    <t>Up To 758,000 pages</t>
  </si>
  <si>
    <t>100000006367</t>
  </si>
  <si>
    <t>A8K4WY2</t>
  </si>
  <si>
    <t>136 pages per minute</t>
  </si>
  <si>
    <t>Less than 2.7 seconds</t>
  </si>
  <si>
    <t>7640018745</t>
  </si>
  <si>
    <t>7640020266</t>
  </si>
  <si>
    <t>LK-102 v3 i-Option License Kit (Encrypted PDF, PDF/A, Linearized PDF)</t>
  </si>
  <si>
    <t>LK-104 v3 i-Option License Kit  (Voice Guidance)</t>
  </si>
  <si>
    <t>LK-106 I-Option Bar Code Font</t>
  </si>
  <si>
    <t>LK-107 i-Option License Kit (Unicode Font)</t>
  </si>
  <si>
    <t>LK-108 i-Option OCR Font</t>
  </si>
  <si>
    <t>Electrostatic Laser Copy, Tandem indirect</t>
  </si>
  <si>
    <t>HP PageWide XL 8000 Printer</t>
  </si>
  <si>
    <t>75 ft/min (23 m/min)</t>
  </si>
  <si>
    <t>20 sec (from Ready mode)</t>
  </si>
  <si>
    <t>No warm up</t>
  </si>
  <si>
    <t>7714901</t>
  </si>
  <si>
    <t>7714902</t>
  </si>
  <si>
    <t>7714903</t>
  </si>
  <si>
    <t>7714904</t>
  </si>
  <si>
    <t>7714905</t>
  </si>
  <si>
    <t>7714906</t>
  </si>
  <si>
    <t>7714909</t>
  </si>
  <si>
    <t>7714911</t>
  </si>
  <si>
    <t>7714912</t>
  </si>
  <si>
    <t>7714913</t>
  </si>
  <si>
    <t>7714914</t>
  </si>
  <si>
    <t>7714917</t>
  </si>
  <si>
    <t>7714918</t>
  </si>
  <si>
    <t>7714919</t>
  </si>
  <si>
    <t>A041WY1</t>
  </si>
  <si>
    <t>A0U4WY3</t>
  </si>
  <si>
    <t>A15AWY1</t>
  </si>
  <si>
    <t>AA01WY1</t>
  </si>
  <si>
    <t>Up To 864,000 pages</t>
  </si>
  <si>
    <t xml:space="preserve">Full Color:Approx. 6.5 seconds </t>
  </si>
  <si>
    <t>CZ309FBH1</t>
  </si>
  <si>
    <t>HP Designjet HD Pro Scanner</t>
  </si>
  <si>
    <t>HP PRO Scanner Output Tray Stacker</t>
  </si>
  <si>
    <t>HP PageWide XL Media Drawer</t>
  </si>
  <si>
    <t>HP PageWide XL High Capacity Stacker</t>
  </si>
  <si>
    <t>HP PageWide XL Folder</t>
  </si>
  <si>
    <t>HP SmartStream Preflight Manager</t>
  </si>
  <si>
    <t>HP SmartStream Print License HPPWXL8000</t>
  </si>
  <si>
    <t>HP SmartStream Document Organizer Module</t>
  </si>
  <si>
    <t>HP SmartStream Pixel Analysis Module</t>
  </si>
  <si>
    <t>HP SmartTracker HP PageWide XL 8000 Series</t>
  </si>
  <si>
    <t>Delivery Charge - Level 5</t>
  </si>
  <si>
    <t>HP PageWide XL Printer Installation &amp; Training</t>
  </si>
  <si>
    <t>HP PageWide XL Media Drawer Installation</t>
  </si>
  <si>
    <t>HP PageWide XL HCS Stacker Installation</t>
  </si>
  <si>
    <t xml:space="preserve">HP SmartStream  Installation </t>
  </si>
  <si>
    <t>HP PageWide Tipping Tool Logistics</t>
  </si>
  <si>
    <t>G6H51AB1K</t>
  </si>
  <si>
    <t>P7V13A</t>
  </si>
  <si>
    <t>CZ318A</t>
  </si>
  <si>
    <t>CZ319A</t>
  </si>
  <si>
    <t>K5H75AB1K</t>
  </si>
  <si>
    <t>L3J69AAE</t>
  </si>
  <si>
    <t>L3J72AAE</t>
  </si>
  <si>
    <t>2NH46AAE</t>
  </si>
  <si>
    <t>2NH47AAE</t>
  </si>
  <si>
    <t>Z8J14AAE</t>
  </si>
  <si>
    <t>7670525510</t>
  </si>
  <si>
    <t>7640019943</t>
  </si>
  <si>
    <t>7640019944</t>
  </si>
  <si>
    <t>7640019946</t>
  </si>
  <si>
    <t>7640019948</t>
  </si>
  <si>
    <t>7640020533</t>
  </si>
  <si>
    <r>
      <t xml:space="preserve">See total production cost savings up to 50%. Grow by printing GIS maps and point-of-sale (POS) posters at breakthrough speeds. Produce durable technical documents up to 40-inches (101.6-cm) wide with crisp lines, fine detail, smooth grayscales and vibrant colors. Dynamic security: Cartridges with non-HP chips might not work today or in the future.
</t>
    </r>
    <r>
      <rPr>
        <sz val="10"/>
        <rFont val="Tahoma"/>
        <family val="2"/>
      </rPr>
      <t>**Picture below may show optional accessories not included with the base configuration. Consult VBS Sales Professional for product information.</t>
    </r>
  </si>
  <si>
    <t>Large-format color printer</t>
  </si>
  <si>
    <t>HP PageWide Technology</t>
  </si>
  <si>
    <t>40 x 48 in (102 x 122 cm)17</t>
  </si>
  <si>
    <t>Up to 500 pages</t>
  </si>
  <si>
    <t>16 GB DDR</t>
  </si>
  <si>
    <t>77.2 x 31.5 x 60.1 in (1960 x 800 x 1527 mm)</t>
  </si>
  <si>
    <t>1054 lb (478 kg)</t>
  </si>
  <si>
    <t>Input voltage (auto ranging) 200-240 V (±10%), 50/60 Hz (±3 Hz), 8 A</t>
  </si>
  <si>
    <t xml:space="preserve"> PTL5A</t>
  </si>
  <si>
    <t>Paper Tray Lock</t>
  </si>
  <si>
    <t>Electrostatic Laser copy; tandem, indirect</t>
  </si>
  <si>
    <t>GBC WIRE BINDER G1</t>
  </si>
  <si>
    <t>DK-516 Enhanced Copy Desk (Storage only)</t>
  </si>
  <si>
    <t>AU-204H Mag Stripe Card Reader</t>
  </si>
  <si>
    <t>IC-420 Image Controller</t>
  </si>
  <si>
    <t>JS-506 Job Separator</t>
  </si>
  <si>
    <t>KP-102 10-Key Pad</t>
  </si>
  <si>
    <t>LK-102 v3  i-Option License Kit  (Encrypted PDF, PDF/A, Linearized PDF)</t>
  </si>
  <si>
    <t>LK-105 v4  i-Option License Kit (Searchable PDF)</t>
  </si>
  <si>
    <t>LK-106  I-Option Bar Code Font</t>
  </si>
  <si>
    <t>LK-107  i-Option License Kit (Unicode Font)</t>
  </si>
  <si>
    <t>LK-108  i-Option OCR Font</t>
  </si>
  <si>
    <t>LK-110 v2 i-Option License Kit (File Conversion)</t>
  </si>
  <si>
    <t>LK-111  i-Option License Kit (ThinPrint Client Support)</t>
  </si>
  <si>
    <t>MK-735 Mount Kit  (IC Card Internal Mount Kit)</t>
  </si>
  <si>
    <t>MK-742 Fax Mount Kit  (Mount kit for FK-515 only)</t>
  </si>
  <si>
    <t>PK-519 Punch Kit (2/3 hole - for FS-533)</t>
  </si>
  <si>
    <t>SC-509 Security Kit</t>
  </si>
  <si>
    <t>Spare TX Marker Stamp 2</t>
  </si>
  <si>
    <t xml:space="preserve">UK-115 VIDEO INTERFACE KIT 2 </t>
  </si>
  <si>
    <t>VI-516 Video Interface Kit</t>
  </si>
  <si>
    <t>7640019089</t>
  </si>
  <si>
    <t>7640020217</t>
  </si>
  <si>
    <t>ACDEWY1</t>
  </si>
  <si>
    <t>A4NRWY2</t>
  </si>
  <si>
    <t>ACCJWY1</t>
  </si>
  <si>
    <t>A87VW12</t>
  </si>
  <si>
    <t>AAV5WY1</t>
  </si>
  <si>
    <t>AAV5WY2</t>
  </si>
  <si>
    <t>AAV5013</t>
  </si>
  <si>
    <t>ACDKWY1</t>
  </si>
  <si>
    <t>ACDFWY1</t>
  </si>
  <si>
    <t>ACDMWY1</t>
  </si>
  <si>
    <t>ACDHWY1</t>
  </si>
  <si>
    <r>
      <t xml:space="preserve">The i-Series houses a powerful engine, a quad-core Central Processing Unit with standard 8 GB of memory and 256 GB SSD, which allows for quick-response, high-performance operations. With an additional combination of full-speed media printing range, high-speed one pass dual scan doc feeder, digital skew correction, and large capability trays, expertly blends reliable functionality with versatile serviceability.
</t>
    </r>
    <r>
      <rPr>
        <sz val="10"/>
        <rFont val="Tahoma"/>
        <family val="2"/>
      </rPr>
      <t>**Picture below may show optional accessories not included with the base configuration. Consult VBS Sales Professional for product information.</t>
    </r>
  </si>
  <si>
    <t>130,000 pages</t>
  </si>
  <si>
    <t>Full Color: 6.9 seconds</t>
  </si>
  <si>
    <t>B&amp;W: 5.2 seconds</t>
  </si>
  <si>
    <t>8 GB (Std.)</t>
  </si>
  <si>
    <t>24.2" (W) x 27" (D) x 31" (H)</t>
  </si>
  <si>
    <t>185 lbs.</t>
  </si>
  <si>
    <t>30-ppm Color/Black &amp; White</t>
  </si>
  <si>
    <t>Full Color: 6.7 seconds</t>
  </si>
  <si>
    <t>B&amp;W: 5.0 seconds</t>
  </si>
  <si>
    <t xml:space="preserve">bizhub SECURE Healthcare </t>
  </si>
  <si>
    <t>bizhub SECURE Platinum</t>
  </si>
  <si>
    <t>135700</t>
  </si>
  <si>
    <t>175,000 pages</t>
  </si>
  <si>
    <t>36-ppm Color/Black &amp; White</t>
  </si>
  <si>
    <t>Full Color: 6.1 seconds</t>
  </si>
  <si>
    <t>B&amp;W: 4.6 seconds</t>
  </si>
  <si>
    <t>7640019485</t>
  </si>
  <si>
    <t xml:space="preserve">bizhub SECURE </t>
  </si>
  <si>
    <t xml:space="preserve">bizhub SECURE Platinum </t>
  </si>
  <si>
    <t xml:space="preserve">ES-2000 Spectrophotometer </t>
  </si>
  <si>
    <t xml:space="preserve">External Keyboard </t>
  </si>
  <si>
    <t>BIZHUB C3350i A4 COPIER/PRINTER</t>
  </si>
  <si>
    <t>DK-P05 Copy Desk</t>
  </si>
  <si>
    <t>A93E011</t>
  </si>
  <si>
    <t>135900</t>
  </si>
  <si>
    <t>bizhub SECURE - Small MFP</t>
  </si>
  <si>
    <t>bizhub SECURE Healthcare - Small MFP</t>
  </si>
  <si>
    <t>bizhub SECURE Platinum - Small MFP</t>
  </si>
  <si>
    <t>EK-P08 Local Interface Kit USB w/out Bluetooth</t>
  </si>
  <si>
    <t xml:space="preserve">EK-P09 Local Interface Kit USB Kit w/ Bluetooth </t>
  </si>
  <si>
    <t>FS-P04 Finisher</t>
  </si>
  <si>
    <t>KH-P02 Keyboard Holder</t>
  </si>
  <si>
    <t>MK-P08 Mount Kit for AU Unit</t>
  </si>
  <si>
    <t>PF-P21  Paper Feed Unit (Lgl/Ltr)</t>
  </si>
  <si>
    <t>PF-P25  Height Adjustment Unit</t>
  </si>
  <si>
    <t>UK-P19 Double-feed Detection Kit</t>
  </si>
  <si>
    <t>WT-P03 Working Table</t>
  </si>
  <si>
    <t>7640019026</t>
  </si>
  <si>
    <t>ACCTWY1</t>
  </si>
  <si>
    <t>ACCVWY1</t>
  </si>
  <si>
    <t>ACCGWY1</t>
  </si>
  <si>
    <t>ACCFWY1</t>
  </si>
  <si>
    <t>ACCKWY1</t>
  </si>
  <si>
    <t>AAJUW11</t>
  </si>
  <si>
    <t>AAJUW12</t>
  </si>
  <si>
    <t>ACCNWY1</t>
  </si>
  <si>
    <t>ACCRWY1</t>
  </si>
  <si>
    <t>KONICA MINOLTA bizhub C3350i Color Compact Multifunction Printer</t>
  </si>
  <si>
    <r>
      <t xml:space="preserve">The new i-Series compact color MFPs house a powerful engine, a quad-core Central Processing Unit with standard 5 GB of memory and 256 GB SSD, which allows for quick-response and high-performance operations. The advanced Emperon print system, standard wireless connectivity and web browser, dual scan document feeder, high-speed fax and intuitive touchscreen operation make this a valuable stand-alone solution or versatile addition to mixed networks of large and small MFPs.
</t>
    </r>
    <r>
      <rPr>
        <sz val="10"/>
        <rFont val="Tahoma"/>
        <family val="2"/>
      </rPr>
      <t>**Picture below may show optional accessories not included with the base configuration. Consult VBS Sales Professional for product information.</t>
    </r>
  </si>
  <si>
    <t>96,000 pages</t>
  </si>
  <si>
    <t>35-ppm Color/Black &amp; White</t>
  </si>
  <si>
    <t>Full Color: 6.3 seconds</t>
  </si>
  <si>
    <t>B&amp;W: 5.6 seconds</t>
  </si>
  <si>
    <t>18.5" (W) x 20.8" (D) x 22.5" (H)</t>
  </si>
  <si>
    <t>86 lbs.</t>
  </si>
  <si>
    <t>3.9" x 8.8” to 8.5” x 14”</t>
  </si>
  <si>
    <t>5 GB (Std.)</t>
  </si>
  <si>
    <t>110–120 V / 60 Hz; Less than 1.45 kW</t>
  </si>
  <si>
    <t>Simitri® HD polymerised toner</t>
  </si>
  <si>
    <t xml:space="preserve">22IN FACI/FURNITURE BUNDLE FOR IC-313 NX </t>
  </si>
  <si>
    <t xml:space="preserve">DIE , Coil, Rnd, 44/47H HD </t>
  </si>
  <si>
    <t xml:space="preserve">DIE, 2/4 Hole, 8mm </t>
  </si>
  <si>
    <t xml:space="preserve">DIE, 3 Hole, 8mm </t>
  </si>
  <si>
    <t xml:space="preserve">DIE, 3 Hole, 8mm, HD </t>
  </si>
  <si>
    <t xml:space="preserve">DIE, Coil, Oval  44/47H </t>
  </si>
  <si>
    <t xml:space="preserve">DIE, Coil, Rnd 44/47H </t>
  </si>
  <si>
    <t xml:space="preserve">DIE, CombBind 19/21H </t>
  </si>
  <si>
    <t xml:space="preserve">DIE, CombBind, 19/21H HD </t>
  </si>
  <si>
    <t xml:space="preserve">DIE, eWire, Rnd </t>
  </si>
  <si>
    <t xml:space="preserve">DIE, eWire, Sq </t>
  </si>
  <si>
    <t xml:space="preserve">DIE, VeloBind, 11 Hole, Ltr </t>
  </si>
  <si>
    <t xml:space="preserve">DIE, Wire 2:1, Rnd 21/23H </t>
  </si>
  <si>
    <t xml:space="preserve">DIE, Wire 2:1, Sq  21/23H </t>
  </si>
  <si>
    <t xml:space="preserve">DIE, Wire 3:1, Rnd 32/34H </t>
  </si>
  <si>
    <t xml:space="preserve">DIE, Wire 3:1, Sq 32/34H </t>
  </si>
  <si>
    <t xml:space="preserve">Fiery JobMaster Annual Support &amp; Maintenance </t>
  </si>
  <si>
    <t xml:space="preserve">Fiery JobMaster-Impose Annual Support &amp; Maintenance </t>
  </si>
  <si>
    <t xml:space="preserve">FURNITURE for Fiery NX Station LS w 27in </t>
  </si>
  <si>
    <t xml:space="preserve">GBC PUNCH G2 (Requires at least one Die Set) </t>
  </si>
  <si>
    <t xml:space="preserve">GBC WIRE BINDER G1 </t>
  </si>
  <si>
    <t xml:space="preserve">LR5402C PATLITE STATUS LIGHT KIT </t>
  </si>
  <si>
    <t xml:space="preserve">Match Pack Option for Creo IC-309 </t>
  </si>
  <si>
    <t xml:space="preserve">NX PRM 3-BAY CASE EXT HDD KIT </t>
  </si>
  <si>
    <t xml:space="preserve">NX PRM HD 500GB (X2)2TB HDD CARRIERS </t>
  </si>
  <si>
    <t xml:space="preserve">Plockmatic 50 Sheet Upgrade Kit </t>
  </si>
  <si>
    <t xml:space="preserve">Plockmatic BookFold (Square Folder) </t>
  </si>
  <si>
    <t xml:space="preserve">Plockmatic Cover Feeder </t>
  </si>
  <si>
    <t xml:space="preserve">Plockmatic Face Trimmer </t>
  </si>
  <si>
    <t xml:space="preserve">Plockmatic High Capacity Belt Stacker </t>
  </si>
  <si>
    <t xml:space="preserve">Plockmatic RCT (Incl Interface Module) </t>
  </si>
  <si>
    <t xml:space="preserve">Plockmatic SD-350 Bookletmaker </t>
  </si>
  <si>
    <t xml:space="preserve">Plockmatic Trim Waste Conveyer for RCT </t>
  </si>
  <si>
    <t xml:space="preserve">Trans Pack Option for Creo IC-312 and IC-312m </t>
  </si>
  <si>
    <t>45162875</t>
  </si>
  <si>
    <t>7714915</t>
  </si>
  <si>
    <t>7714916</t>
  </si>
  <si>
    <t>KONI66002</t>
  </si>
  <si>
    <t>XG-PCS-IC-1</t>
  </si>
  <si>
    <t>45162420</t>
  </si>
  <si>
    <t>45162419</t>
  </si>
  <si>
    <t>AC5RWY1</t>
  </si>
  <si>
    <t>63900267A</t>
  </si>
  <si>
    <t>AC5KWY1</t>
  </si>
  <si>
    <t>Approx. 8 minutes</t>
  </si>
  <si>
    <t>208VAC to 240VAC, 24A, 60 Hz</t>
  </si>
  <si>
    <t>Overages billed at $0.0075</t>
  </si>
  <si>
    <t>Color CPC billed at $0.047</t>
  </si>
  <si>
    <t>Cost per Copy billed at $0.0065</t>
  </si>
  <si>
    <t>Overages billed at $0.0055</t>
  </si>
  <si>
    <t>Monochrome Laser Printer</t>
  </si>
  <si>
    <t>46 ppm</t>
  </si>
  <si>
    <t>ACCEWY1</t>
  </si>
  <si>
    <t xml:space="preserve">CS-1 Convenience Stapler (50-sheet capacity/offline) </t>
  </si>
  <si>
    <t>FS-P04 Offline Finisher (20-sheet capacity)</t>
  </si>
  <si>
    <t>1</t>
  </si>
  <si>
    <t>MAINTENANCE OPTION - 30</t>
  </si>
  <si>
    <t>*Maintenance Does Not Include Ink**</t>
  </si>
  <si>
    <t xml:space="preserve">3 Year Maintenance </t>
  </si>
  <si>
    <t>Purchase Price + 
3 Year Maintenance</t>
  </si>
  <si>
    <t>KIP 860 Series COLOR WIDE FORMAT</t>
  </si>
  <si>
    <t>KIP 660 Series COLOR WIDE FORMAT</t>
  </si>
  <si>
    <t>84 Month</t>
  </si>
  <si>
    <t>KIP 7171K6 MULTIFUNCTION SYSTEM</t>
  </si>
  <si>
    <t>TOTAL 84 MONTHS</t>
  </si>
  <si>
    <t>KIP 7582 MULTIFUNCTION SYSTEM</t>
  </si>
  <si>
    <t>KIP 7984 MULTIFUNCTION SYSTEM</t>
  </si>
  <si>
    <t>MAINTENANCE OPTION - 48</t>
  </si>
  <si>
    <t>7000EFS</t>
  </si>
  <si>
    <t>ACDL114</t>
  </si>
  <si>
    <t>ACDPRINTHUB</t>
  </si>
  <si>
    <t>BDG1326PROXII25</t>
  </si>
  <si>
    <t>CPADBRACKET</t>
  </si>
  <si>
    <t>CPADCONTROLLER</t>
  </si>
  <si>
    <t>CR80COPY CARD</t>
  </si>
  <si>
    <t xml:space="preserve">EX2000 </t>
  </si>
  <si>
    <t>EX2000B</t>
  </si>
  <si>
    <t>EX2000CCB</t>
  </si>
  <si>
    <t>FASTRELEASEKP</t>
  </si>
  <si>
    <t>FASTRELEASEMNET</t>
  </si>
  <si>
    <t>H10COPIER OEM</t>
  </si>
  <si>
    <t>H20COPIER OEM</t>
  </si>
  <si>
    <t>POPRINTCONNECT</t>
  </si>
  <si>
    <t>POPRINTVALET</t>
  </si>
  <si>
    <t>POPRINTVALETNET</t>
  </si>
  <si>
    <t>PROXBRACKETKIT</t>
  </si>
  <si>
    <t>PRX15341</t>
  </si>
  <si>
    <t>RSX1000</t>
  </si>
  <si>
    <t>RSX1000CCB</t>
  </si>
  <si>
    <t>RSXSTAND</t>
  </si>
  <si>
    <t>TSPCDELL23</t>
  </si>
  <si>
    <t>Base Stand, Coin-Ops</t>
  </si>
  <si>
    <t>Paper Drawer Lock</t>
  </si>
  <si>
    <t xml:space="preserve">PRINT SERVER APPLIANCE </t>
  </si>
  <si>
    <t>PROX CARD II CLAMSHEL -25 PACK</t>
  </si>
  <si>
    <t>Bracket mount for cPad-Controller</t>
  </si>
  <si>
    <t>Controller, Touch screen with Power Supply and Network Cable</t>
  </si>
  <si>
    <t>Magnetic Debit Card</t>
  </si>
  <si>
    <t>Coin-op w/keypad for user accounts and multiple price lines (opt) Multiple copies with coins, $1 coins</t>
  </si>
  <si>
    <t>Multiple price lines and multiple copies. Coins, $1 coins, $1-$20 bills.</t>
  </si>
  <si>
    <t>Multiple price lines and multiple copies. Coins, $1 coins, $1-$20 bills and credit cards</t>
  </si>
  <si>
    <t>Fast Release Keypad w/ Built-in Network Switch</t>
  </si>
  <si>
    <t>Fast Release Magnetic Card Reader w/ Built-In Network Switch</t>
  </si>
  <si>
    <t>INTERFACE HARNESS SINGLE PRICE LINE</t>
  </si>
  <si>
    <t>Interface Harness, Multiple Price Lines</t>
  </si>
  <si>
    <t>PRINTERON PRINT CONNECT HARDWARE</t>
  </si>
  <si>
    <t>PRINTERON PRINT VALET KEYPAD</t>
  </si>
  <si>
    <t>PRINTERON PRINT VALET NETWORK</t>
  </si>
  <si>
    <t>Mounting Bracket for Proximity Readers</t>
  </si>
  <si>
    <t xml:space="preserve">TCPCONV KIT W/ POWER SUPPLY </t>
  </si>
  <si>
    <t>Revalue Station, Coins, $1 Coins and $1-$20 bills</t>
  </si>
  <si>
    <t>Revalue Station,  Coins, $1 Coins, $1-$20 bills, Credit Card</t>
  </si>
  <si>
    <t>Podium Stands for Revalue Stations</t>
  </si>
  <si>
    <t>Touch screen, Pre-loaded All-In-One PC</t>
  </si>
  <si>
    <t xml:space="preserve">PaperCut is a server based print management applications, providing Find Me and Secure Print functionality with authentication utilizing AD credentials, cards or pin numbers.  PaperCut provides the ability to scan to cloud based repositories, facilitate mobility printing, and robust analytics on user, device, environmental and group data.  </t>
  </si>
  <si>
    <t xml:space="preserve">ScanPath is a server based application providing advanced scanning capabilities including OCR to create searchable PDFs; convert documents to editable formats such as Word and Excel.  </t>
  </si>
  <si>
    <t>PSRV1-5</t>
  </si>
  <si>
    <t>PSRV6-14</t>
  </si>
  <si>
    <t>PSRV15</t>
  </si>
  <si>
    <t>EQUIPMV</t>
  </si>
  <si>
    <t>EQUIPMVSTCL</t>
  </si>
  <si>
    <t>Cost per hour less than 5 hours</t>
  </si>
  <si>
    <t xml:space="preserve">Cost per hour 6-14 hours </t>
  </si>
  <si>
    <t>Cost per hour 15+</t>
  </si>
  <si>
    <t>Per Device</t>
  </si>
  <si>
    <t>**MAINTENANCE TO BE NEGOTIATED**</t>
  </si>
  <si>
    <t>TOTAL 84 MONTH</t>
  </si>
  <si>
    <t>HP Color LaserJet Pro M254dw</t>
  </si>
  <si>
    <t>T6B60A#BGJ</t>
  </si>
  <si>
    <t>Color LaserJet Pro M254dw</t>
  </si>
  <si>
    <r>
      <t xml:space="preserve">Impress with color and increase efficiency. Achieve the fastest in-class two-sided printing speed and First Page Out Time (FPOT). Count on intuitive security solutions, produce extraordinary color prints, and get easy mobile printing. Consumers and professionals. HP personal Color Laser printers produce brilliant, affordable results that get you the recognition you deserve.
</t>
    </r>
    <r>
      <rPr>
        <sz val="12"/>
        <rFont val="Tahoma"/>
        <family val="2"/>
      </rPr>
      <t>**Picture below may show optional accessories not included with the base configuration. Consult VBS Sales Professional for product information.</t>
    </r>
  </si>
  <si>
    <t>W1Y44A#BGJ</t>
  </si>
  <si>
    <r>
      <t xml:space="preserve">Winning in business means working smarter. The HP Color LaserJet Pro M454 printer is designed to let you focus your time where it’s most effective-helping to grow your business and staying ahead of the competition. Workteams will create high-impact documents that get noticed with the brilliant color delivered by HP office Color Laser printers.
</t>
    </r>
    <r>
      <rPr>
        <sz val="12"/>
        <rFont val="Tahoma"/>
        <family val="2"/>
      </rPr>
      <t>**Picture below may show optional accessories not included with the base configuration. Consult VBS Sales Professional for product information.</t>
    </r>
  </si>
  <si>
    <t>HP Color LaserJet Pro M454dn</t>
  </si>
  <si>
    <t>CF404A</t>
  </si>
  <si>
    <t>550 Sheet Feeder Tray</t>
  </si>
  <si>
    <t>2MU47A</t>
  </si>
  <si>
    <t>3JN69A</t>
  </si>
  <si>
    <t>B5L28A</t>
  </si>
  <si>
    <t>B5L29A</t>
  </si>
  <si>
    <t>B5L34A</t>
  </si>
  <si>
    <t>B5L51A</t>
  </si>
  <si>
    <t>F5S62A</t>
  </si>
  <si>
    <t>G6W84A</t>
  </si>
  <si>
    <t>B5L31A</t>
  </si>
  <si>
    <t>E5K48A</t>
  </si>
  <si>
    <t>E5K49A</t>
  </si>
  <si>
    <t>J8030A</t>
  </si>
  <si>
    <t xml:space="preserve">Trusted Platform Module </t>
  </si>
  <si>
    <t>40 ppm Color &amp; B&amp;W</t>
  </si>
  <si>
    <t>18 x 18.9 x 15.7" (W x D x H)</t>
  </si>
  <si>
    <t>59.5 lb</t>
  </si>
  <si>
    <t>1 GB (standard)</t>
  </si>
  <si>
    <t>100 to 127 VAC, 60 Hz</t>
  </si>
  <si>
    <t>G3Q35A#BGJ</t>
  </si>
  <si>
    <r>
      <t xml:space="preserve">Keep things simple with an affordable HP LaserJet Pro powered by JetIntelligence Toner cartridges. Produce professional documents from a range of mobile devices and help save energy with a compact laser printer designed for efficiency. Ideal for small businesses that want to produce consistent, professional-quality documents from an affordable wireless printer.
</t>
    </r>
    <r>
      <rPr>
        <sz val="12"/>
        <rFont val="Tahoma"/>
        <family val="2"/>
      </rPr>
      <t>**Picture below may show optional accessories not included with the base configuration. Consult VBS Sales Professional for product information.</t>
    </r>
  </si>
  <si>
    <t>HP LaserJet Pro M102w Printer</t>
  </si>
  <si>
    <t>LaserJet Pro M102w Printer</t>
  </si>
  <si>
    <t>Laser printer</t>
  </si>
  <si>
    <t xml:space="preserve">23 ppm </t>
  </si>
  <si>
    <t>Approx 7.3 seconds</t>
  </si>
  <si>
    <t>128 MB</t>
  </si>
  <si>
    <t>110-volt input voltage: 110 to 127 VAC (+/- 10%), 60 Hz/50 Hz, 4.6 A</t>
  </si>
  <si>
    <t>14.358 x 9.736 x 7.504" (W x D x H)</t>
  </si>
  <si>
    <t>10.36 lbs</t>
  </si>
  <si>
    <t>G3Q47A#BGJ</t>
  </si>
  <si>
    <t>HP LaserJet Pro M203dw Printer</t>
  </si>
  <si>
    <t>LaserJet Pro M203dw Printer</t>
  </si>
  <si>
    <t>Approx 6.6 seconds</t>
  </si>
  <si>
    <t xml:space="preserve">30 ppm </t>
  </si>
  <si>
    <t>15.2 lbs</t>
  </si>
  <si>
    <t>14.6 x 16 x 8.8" (W x D x H)</t>
  </si>
  <si>
    <t>256 MB</t>
  </si>
  <si>
    <t>110-volt input voltage: 110 to 127 VAC (+/- 10%), 60 Hz/50 Hz, 5.4 A</t>
  </si>
  <si>
    <t>W1A52A#BGJ</t>
  </si>
  <si>
    <t>HP LaserJet Pro M404n Printer</t>
  </si>
  <si>
    <t>LaserJet Pro M404n Printer</t>
  </si>
  <si>
    <t xml:space="preserve">40 ppm </t>
  </si>
  <si>
    <t>Approx 6.1 seconds</t>
  </si>
  <si>
    <t>15 x 14.06 x 8.5" (W x D x H)</t>
  </si>
  <si>
    <t>18.12 lbs</t>
  </si>
  <si>
    <t>110-volt input voltage: 110 to 127 VAC (+/- 10%), 50/60 Hz (+/- 2 Hz)</t>
  </si>
  <si>
    <r>
      <t xml:space="preserve">Winning in business means working smarter. The HP LaserJet Pro M404 printer is designed to let you focus your time where it’s most effective-helping to grow your business and staying ahead of the competition. Workteams excel with HP’s black-and-white office LaserJet printers, which pack extra punch with high-quality results, extra power, and more features.
</t>
    </r>
    <r>
      <rPr>
        <sz val="12"/>
        <rFont val="Tahoma"/>
        <family val="2"/>
      </rPr>
      <t>**Picture below may show optional accessories not included with the base configuration. Consult VBS Sales Professional for product information.</t>
    </r>
  </si>
  <si>
    <t>22 ppm Color &amp; B&amp;W</t>
  </si>
  <si>
    <t>110-volt input voltage: 110 to 127 VAC (+/- 10%), 50 Hz (+/- 3 Hz) , 60 Hz (+/- 3 Hz)</t>
  </si>
  <si>
    <t>Color: 11.8 seconds, Monochrome: 10.2 seconds</t>
  </si>
  <si>
    <t>256 MB (standard)</t>
  </si>
  <si>
    <t>15.4 x 16.5 x 9.7" (W x D x H)</t>
  </si>
  <si>
    <t>32.6 lb</t>
  </si>
  <si>
    <t>Color: 11.1 seconds, Monochrome: 9.5 seconds</t>
  </si>
  <si>
    <t>28 ppm Color &amp; B&amp;W</t>
  </si>
  <si>
    <t>110-volt input voltage: 110 to 127 VAC</t>
  </si>
  <si>
    <t>SYS7171K6</t>
  </si>
  <si>
    <r>
      <t xml:space="preserve">KIP 7171K6 </t>
    </r>
    <r>
      <rPr>
        <sz val="10"/>
        <rFont val="Arial"/>
        <family val="2"/>
      </rPr>
      <t xml:space="preserve">1 Roll Multifunction System-6D PPM  </t>
    </r>
  </si>
  <si>
    <t>EQAC070</t>
  </si>
  <si>
    <t>EQAC071</t>
  </si>
  <si>
    <t>MACH1200S</t>
  </si>
  <si>
    <t>EQACCACKIT</t>
  </si>
  <si>
    <t>DIGPDF-7170K</t>
  </si>
  <si>
    <t>Rear Print Receiving Tray *May be used in conjunction with top stacking</t>
  </si>
  <si>
    <t>Original and Print Receiving Tray</t>
  </si>
  <si>
    <t>KIP 1200 Auto Stacker</t>
  </si>
  <si>
    <t>Common Access Card (CAC) Identification device used for DoD authentification</t>
  </si>
  <si>
    <t>Removable Secure Hard Drive Connection Ki</t>
  </si>
  <si>
    <t>PDF Format Printing Keycode</t>
  </si>
  <si>
    <t>KIP Accounting and Cost Center</t>
  </si>
  <si>
    <t>KIP 7171K4 MULTIFUNCTION SYSTEM</t>
  </si>
  <si>
    <t>SYS7171K4</t>
  </si>
  <si>
    <r>
      <t xml:space="preserve">KIP 7171K4 </t>
    </r>
    <r>
      <rPr>
        <sz val="10"/>
        <rFont val="Arial"/>
        <family val="2"/>
      </rPr>
      <t xml:space="preserve">1 Roll Multifunction System- 4D PPM </t>
    </r>
  </si>
  <si>
    <t>SYS7582K10</t>
  </si>
  <si>
    <r>
      <t xml:space="preserve">KIP 7582 </t>
    </r>
    <r>
      <rPr>
        <sz val="10"/>
        <rFont val="Arial"/>
        <family val="2"/>
      </rPr>
      <t>2 Roll MFP System with integrated top stacking print tray (Includes KIP 720 scanner)</t>
    </r>
  </si>
  <si>
    <t>EQAC109</t>
  </si>
  <si>
    <t>DIGPDF-7570K</t>
  </si>
  <si>
    <t>KIP 1200 Auto Stacker (Includes Print System Connection Kit)</t>
  </si>
  <si>
    <t>Automatic Voltage Regulator</t>
  </si>
  <si>
    <t>Removable Secure Hard Drive Connection Kit</t>
  </si>
  <si>
    <t xml:space="preserve">KIP Accounting and Cost Center </t>
  </si>
  <si>
    <t>SYS7984K14</t>
  </si>
  <si>
    <r>
      <t xml:space="preserve">KIP 7984 </t>
    </r>
    <r>
      <rPr>
        <sz val="10"/>
        <rFont val="Arial"/>
        <family val="2"/>
      </rPr>
      <t>4 Roll MFP System with integrated top stacking print tray (Includes the KIP 720 scanner)</t>
    </r>
  </si>
  <si>
    <t>DIGPDF-7970K</t>
  </si>
  <si>
    <t>HP OfficeJet 200 Mobile</t>
  </si>
  <si>
    <t>CZ993A</t>
  </si>
  <si>
    <t>Purchase Price + Annual MA</t>
  </si>
  <si>
    <t>M9L89A</t>
  </si>
  <si>
    <t>HP OfficeJet 200 series Battery</t>
  </si>
  <si>
    <r>
      <t xml:space="preserve">Make the world your office with powerful portable printing—no network necessary. This quick, quiet printer delivers more pages per cartridge and has a long- lasting battery life. Ideal for mobile professionals and telecommuters who need a high-quality, reliable, portable printer they can take virtually anywhere. 
</t>
    </r>
    <r>
      <rPr>
        <sz val="12"/>
        <rFont val="Tahoma"/>
        <family val="2"/>
      </rPr>
      <t>**Picture below may show optional accessories not included with the base configuration. Consult VBS Sales Professional for product information.</t>
    </r>
  </si>
  <si>
    <t>HP Thermal Inkjet</t>
  </si>
  <si>
    <t>Mobile Printer</t>
  </si>
  <si>
    <t>Color: 14 seconds, Monochrome: 12 seconds</t>
  </si>
  <si>
    <t>7 ppm Color &amp; 10 B&amp;W</t>
  </si>
  <si>
    <t>3 x 8.5 to 4 x 14 in / custom paper sizes</t>
  </si>
  <si>
    <t>128 MB (standard)</t>
  </si>
  <si>
    <t>14.3 x 7.32 x 2.70" (W x D x H)</t>
  </si>
  <si>
    <t>4.85 lb</t>
  </si>
  <si>
    <t>100 to 240 VAC, 50 to 60 Hz; 200 to 240 VAC, 50 to 60 Hz</t>
  </si>
  <si>
    <t>50 (B/W)</t>
  </si>
  <si>
    <t>51 (COLOR)</t>
  </si>
  <si>
    <t>LEXMARK M1246 Printer</t>
  </si>
  <si>
    <t>6CC85</t>
  </si>
  <si>
    <t>G6H50A</t>
  </si>
  <si>
    <t>G6H51A</t>
  </si>
  <si>
    <t>L3J69A</t>
  </si>
  <si>
    <t>L3J76AAE</t>
  </si>
  <si>
    <t>L3J76A</t>
  </si>
  <si>
    <t>Z8J18AAE</t>
  </si>
  <si>
    <t>Z8J18A</t>
  </si>
  <si>
    <t xml:space="preserve"> Designjet SD Stand Alone Scanner</t>
  </si>
  <si>
    <t xml:space="preserve"> Designjet HD Stand Alone Scanner</t>
  </si>
  <si>
    <t xml:space="preserve"> Pro Scanner Output Tray</t>
  </si>
  <si>
    <t xml:space="preserve"> SmartStream Preflight Manager</t>
  </si>
  <si>
    <t xml:space="preserve"> SmartStream Preflight Manager - Dongle</t>
  </si>
  <si>
    <t xml:space="preserve"> SmartStream Print Controller for  PageWide XL 3900</t>
  </si>
  <si>
    <t xml:space="preserve"> SmartStream Print Controller for  PageWide XL 3900 -Dongle</t>
  </si>
  <si>
    <t xml:space="preserve"> SmartStream Document Organizer Module - EON</t>
  </si>
  <si>
    <t xml:space="preserve"> SmartStream Pixel Analysis Module - EON</t>
  </si>
  <si>
    <t xml:space="preserve"> SmartTracker License -EON</t>
  </si>
  <si>
    <t xml:space="preserve"> SmartTracker License -Dongle</t>
  </si>
  <si>
    <t>HP PageWide XL 3900 Multifunction Printer</t>
  </si>
  <si>
    <r>
      <t xml:space="preserve">Save time, space and money with a single end-to-end solution for printing both mono and color. Keep up with your workload with faster print speeds than LED.
</t>
    </r>
    <r>
      <rPr>
        <sz val="10"/>
        <rFont val="Tahoma"/>
        <family val="2"/>
      </rPr>
      <t>**Picture below may show optional accessories not included with the base configuration. Consult VBS Sales Professional for product information.</t>
    </r>
  </si>
  <si>
    <t>2UE10A</t>
  </si>
  <si>
    <t>PageWide XL Media Drawer</t>
  </si>
  <si>
    <t>Designjet SD Stand Alone Scanner</t>
  </si>
  <si>
    <t>Designjet HD Stand Alone Scanner</t>
  </si>
  <si>
    <t>Pro Scanner Output Tray</t>
  </si>
  <si>
    <t>SmartStream Preflight Manager</t>
  </si>
  <si>
    <t>SmartStream Preflight Manager - Dongle</t>
  </si>
  <si>
    <t>SmartStream Print Controller for HP PageWide XL 4X00</t>
  </si>
  <si>
    <t>SmartStream Print Controller for HP PageWide XL 4X00 -Dongle</t>
  </si>
  <si>
    <t>SmartStream Document Organizer Module - EON</t>
  </si>
  <si>
    <t>SmartStream Pixel Analysis Module - EON</t>
  </si>
  <si>
    <t>Click USB for HP PageWide XL  4X00</t>
  </si>
  <si>
    <t>SmartTracker License -EON</t>
  </si>
  <si>
    <t>SmartTracker License -Dongle</t>
  </si>
  <si>
    <t>MAINTENANCE OPTION - 47</t>
  </si>
  <si>
    <t>RS312A</t>
  </si>
  <si>
    <t>HP PageWide XL 4600 Printer</t>
  </si>
  <si>
    <r>
      <t xml:space="preserve">Do the work of two printers with one—faster and lower cost than LED. Choose a printer or multifunction device that allows you to consolidate into a single device for all your monochrome and color printing/scanning needs. Produce excellent technical prints with vivid color, crisp lines and smooth grayscales that beat LED.
</t>
    </r>
    <r>
      <rPr>
        <sz val="10"/>
        <rFont val="Tahoma"/>
        <family val="2"/>
      </rPr>
      <t>**Picture below may show optional accessories not included with the base configuration. Consult VBS Sales Professional for product information.</t>
    </r>
  </si>
  <si>
    <t xml:space="preserve">HP PageWide XL 4600 Printer </t>
  </si>
  <si>
    <t>MAINTENANCE OPTION - 43</t>
  </si>
  <si>
    <t>2RQ08F</t>
  </si>
  <si>
    <r>
      <t xml:space="preserve">Increase your advantage with this powerful, efficient printer or multifunction device. Speed up production—print up to 20 D/A1 pages/min with accuracy, durability, and vibrant colors. And help keep costs low with efficient and secure workflows. Dynamic security: Cartridges with non-HP chips might not work today or in the future.
</t>
    </r>
    <r>
      <rPr>
        <sz val="10"/>
        <rFont val="Tahoma"/>
        <family val="2"/>
      </rPr>
      <t>**Picture below may show optional accessories not included with the base configuration. Consult VBS Sales Professional for product information.</t>
    </r>
  </si>
  <si>
    <t>HP PageWide XL 5100 Printer</t>
  </si>
  <si>
    <t>CZ320A</t>
  </si>
  <si>
    <t>K5H75A#B1K</t>
  </si>
  <si>
    <t>M0V04A</t>
  </si>
  <si>
    <t>L3J74AAE</t>
  </si>
  <si>
    <t>L3J74A</t>
  </si>
  <si>
    <t>2UE11A</t>
  </si>
  <si>
    <t>Z8J16AAE</t>
  </si>
  <si>
    <t>Z8J16A</t>
  </si>
  <si>
    <t>PageWide XL High Capacity Stacker</t>
  </si>
  <si>
    <t>PageWide XL Top Stacker</t>
  </si>
  <si>
    <t>PageWide XL Folder</t>
  </si>
  <si>
    <t>PageWide XL Folder Upgrade Kit for Long Plots</t>
  </si>
  <si>
    <t>DesignJet SD Stand Alone Scanner</t>
  </si>
  <si>
    <t>DesignJet HD Stand Alone Scanner</t>
  </si>
  <si>
    <t>SmartStream Print Controller for HP PageWide XL 5X00</t>
  </si>
  <si>
    <t>SmartStream Print Controller for HP PageWide XL 5X00 - Dongle</t>
  </si>
  <si>
    <t>Click USB for HP PageWide XL 5100</t>
  </si>
  <si>
    <t>36S0320</t>
  </si>
  <si>
    <t>Lexmark M1246</t>
  </si>
  <si>
    <r>
      <t xml:space="preserve">With its powerful processor, up-to 46 page-per-minute* output, enhanced security and built-in durability, the M1246 supports the success of mid-size workgroups in all their mono printing.
</t>
    </r>
    <r>
      <rPr>
        <sz val="12"/>
        <rFont val="Tahoma"/>
        <family val="2"/>
      </rPr>
      <t>**Picture below may show optional accessories not included with the base configuration. Consult VBS Sales Professional for product information.</t>
    </r>
  </si>
  <si>
    <t>250-Sheet Tray</t>
  </si>
  <si>
    <t>550-Sheet Tray</t>
  </si>
  <si>
    <t>550-Sheet Lockable Tray</t>
  </si>
  <si>
    <t>256MB User Flash Memory</t>
  </si>
  <si>
    <t>Marknet N8370 (Rear Wifi)</t>
  </si>
  <si>
    <t>Forms and Bar Code Card</t>
  </si>
  <si>
    <t>IPDS Card</t>
  </si>
  <si>
    <t>PRESCRIBE Card</t>
  </si>
  <si>
    <t>Traditional Chinese Font Card</t>
  </si>
  <si>
    <t>Simplified Chinese Font Card</t>
  </si>
  <si>
    <t>Korean Font Card</t>
  </si>
  <si>
    <t>Japanese Font Card</t>
  </si>
  <si>
    <t>Surge Protective Device 110-120V</t>
  </si>
  <si>
    <t>36S2910</t>
  </si>
  <si>
    <t>36S3110</t>
  </si>
  <si>
    <t>36S3120</t>
  </si>
  <si>
    <t>57X9801</t>
  </si>
  <si>
    <t>27X6510</t>
  </si>
  <si>
    <t>40C9200</t>
  </si>
  <si>
    <t>40C9201</t>
  </si>
  <si>
    <t>40C9202</t>
  </si>
  <si>
    <t>57X9810</t>
  </si>
  <si>
    <t>57X9812</t>
  </si>
  <si>
    <t>57X9814</t>
  </si>
  <si>
    <t>57X9815</t>
  </si>
  <si>
    <t>SPD0001</t>
  </si>
  <si>
    <t>LEXMARK M3250 Printer</t>
  </si>
  <si>
    <t>36S0520</t>
  </si>
  <si>
    <t>Lexmark M3250</t>
  </si>
  <si>
    <r>
      <t xml:space="preserve">The Lexmark M3250 prints up to 50 pages per minute* and offers the versatility of e-Task, enhanced security and built-in durability.
</t>
    </r>
    <r>
      <rPr>
        <sz val="12"/>
        <rFont val="Tahoma"/>
        <family val="2"/>
      </rPr>
      <t>**Picture below may show optional accessories not included with the base configuration. Consult VBS Sales Professional for product information.</t>
    </r>
  </si>
  <si>
    <t>500GB Hard Disk Drive (USB)</t>
  </si>
  <si>
    <t>RS-232C Serial Interface Card</t>
  </si>
  <si>
    <t>Parallel 1284-B Interface Card</t>
  </si>
  <si>
    <t>Marknet N8372 (Front Wifi- FSM)</t>
  </si>
  <si>
    <t>Contactless Authentication Device</t>
  </si>
  <si>
    <t>27X0500</t>
  </si>
  <si>
    <t>27X0900</t>
  </si>
  <si>
    <t>27X0901</t>
  </si>
  <si>
    <t>27X6410</t>
  </si>
  <si>
    <t>57X0301</t>
  </si>
  <si>
    <t>Lexmark M5255</t>
  </si>
  <si>
    <t>50G0720</t>
  </si>
  <si>
    <r>
      <t xml:space="preserve">The Lexmark M5255 combines a first page as fast as 4.5 seconds and impressive output speed with a 4.3-inch touch screen offering productivity-enhancing apps.
</t>
    </r>
    <r>
      <rPr>
        <sz val="12"/>
        <rFont val="Tahoma"/>
        <family val="2"/>
      </rPr>
      <t>**Picture below may show optional accessories not included with the base configuration. Consult VBS Sales Professional for product information.</t>
    </r>
  </si>
  <si>
    <t>LEXMARK M5255 Printer</t>
  </si>
  <si>
    <t>50G0800</t>
  </si>
  <si>
    <t>50G0801</t>
  </si>
  <si>
    <t>50G0820</t>
  </si>
  <si>
    <t>50G0802</t>
  </si>
  <si>
    <t>50G0803</t>
  </si>
  <si>
    <t>50G0822</t>
  </si>
  <si>
    <t>50G0804</t>
  </si>
  <si>
    <t>50G0850</t>
  </si>
  <si>
    <t>50G0852</t>
  </si>
  <si>
    <t>50G0849</t>
  </si>
  <si>
    <t>50G0851</t>
  </si>
  <si>
    <t>50G0853</t>
  </si>
  <si>
    <t>57X0204</t>
  </si>
  <si>
    <t>14F0100</t>
  </si>
  <si>
    <t>14F0000</t>
  </si>
  <si>
    <t>27X0142</t>
  </si>
  <si>
    <t xml:space="preserve"> 250-Sheet Tray</t>
  </si>
  <si>
    <t xml:space="preserve"> 250-Sheet Tray Insert</t>
  </si>
  <si>
    <t xml:space="preserve"> 250-Sheet Lockable Tray</t>
  </si>
  <si>
    <t xml:space="preserve"> 550-Sheet Tray</t>
  </si>
  <si>
    <t xml:space="preserve"> 550-Sheet Tray Insert</t>
  </si>
  <si>
    <t xml:space="preserve"> 550-Sheet Lockable Tray</t>
  </si>
  <si>
    <t xml:space="preserve"> 2100-Sheet Tray</t>
  </si>
  <si>
    <t xml:space="preserve"> Staple Finisher</t>
  </si>
  <si>
    <t xml:space="preserve"> 4-Bin Mailbox</t>
  </si>
  <si>
    <t xml:space="preserve"> Staple, Hole Punch Finisher</t>
  </si>
  <si>
    <t>MS7/MS8 Output Expander</t>
  </si>
  <si>
    <t>MS7/MS8 High Capacity Output Expander</t>
  </si>
  <si>
    <t>500GB Hard Disk Drive (SATA)</t>
  </si>
  <si>
    <t>Memory Expansion (4GB) DDR3</t>
  </si>
  <si>
    <t>MarkNet N8230 Fiber Ethernet 100BASE-FX(LC), 1000BASE-SX(LC)</t>
  </si>
  <si>
    <t>10-Foot Parallel Printer Cable</t>
  </si>
  <si>
    <t>2-meter USB Printer Cable</t>
  </si>
  <si>
    <t>42C7306</t>
  </si>
  <si>
    <t>Lexmark XC2235</t>
  </si>
  <si>
    <t>LEXMARK XC2235 Color Printer</t>
  </si>
  <si>
    <r>
      <t xml:space="preserve">The multifunction Lexmark XC2235 builds on output of up to 35 pages per minute* with a 4.3-inch [10.9-cm] color touch screen.
</t>
    </r>
    <r>
      <rPr>
        <sz val="12"/>
        <rFont val="Tahoma"/>
        <family val="2"/>
      </rPr>
      <t>**Picture below may show optional accessories not included with the base configuration. Consult VBS Sales Professional for product information.</t>
    </r>
  </si>
  <si>
    <t>650-Sheet Duo Tray</t>
  </si>
  <si>
    <t>Forms and Barcode Card</t>
  </si>
  <si>
    <t>Card for IPDS</t>
  </si>
  <si>
    <t>Card for Prescribe Emulation</t>
  </si>
  <si>
    <t>Marknet N8327 802.11 a/b/c/g/n/ac Wireless Print Server</t>
  </si>
  <si>
    <t>42C7550</t>
  </si>
  <si>
    <t>42C7650</t>
  </si>
  <si>
    <t>27X0400</t>
  </si>
  <si>
    <t>LEXMARK C4150 Color Printer</t>
  </si>
  <si>
    <t>40C9054</t>
  </si>
  <si>
    <t>Lexmark C4150</t>
  </si>
  <si>
    <t>Adjustable Stand</t>
  </si>
  <si>
    <t>MarkNet N8360 802.11 Wireless w/NFC</t>
  </si>
  <si>
    <t>2GB x32 DDR3 RAM</t>
  </si>
  <si>
    <t>500GB+ Hard Disk Drive (SATA)</t>
  </si>
  <si>
    <t>40C2100</t>
  </si>
  <si>
    <t>40C2300</t>
  </si>
  <si>
    <t>27X0803</t>
  </si>
  <si>
    <t>57X9020</t>
  </si>
  <si>
    <r>
      <t xml:space="preserve">Combining the capabilities of a workgroup printer with the ease of use of a personal output device, the C4150 features advanced security in a simple, intuitive design.
</t>
    </r>
    <r>
      <rPr>
        <sz val="12"/>
        <rFont val="Tahoma"/>
        <family val="2"/>
      </rPr>
      <t>**Picture below may show optional accessories not included with the base configuration. Consult VBS Sales Professional for product information.</t>
    </r>
  </si>
  <si>
    <t>LEXMARK C6160 Color Printer</t>
  </si>
  <si>
    <r>
      <t xml:space="preserve">The Lexmark C6160 color printer brings production-level performance and quality to the office, with the most advanced imaging technology available.
</t>
    </r>
    <r>
      <rPr>
        <sz val="12"/>
        <rFont val="Tahoma"/>
        <family val="2"/>
      </rPr>
      <t>**Picture below may show optional accessories not included with the base configuration. Consult VBS Sales Professional for product information.</t>
    </r>
  </si>
  <si>
    <t>Lexmark C6160</t>
  </si>
  <si>
    <t>21K0300</t>
  </si>
  <si>
    <t>2200-Sheet Tray</t>
  </si>
  <si>
    <t>Envelope Tray</t>
  </si>
  <si>
    <t>Inline Stapler</t>
  </si>
  <si>
    <t>320+GB Hard Disk Drive</t>
  </si>
  <si>
    <t>Caster Base</t>
  </si>
  <si>
    <t>2GB x 64 DDR3 RAM</t>
  </si>
  <si>
    <t>21K0237</t>
  </si>
  <si>
    <t>21K0567</t>
  </si>
  <si>
    <t>21K0787</t>
  </si>
  <si>
    <t>42K2000</t>
  </si>
  <si>
    <t>21K2501</t>
  </si>
  <si>
    <t>57X9022</t>
  </si>
  <si>
    <t>MAINTENANCE OPTION - 54</t>
  </si>
  <si>
    <t>MAINTENANCE OPTION - 54a</t>
  </si>
  <si>
    <t>HP PageWide Managed P57750dw Multifunction Printer</t>
  </si>
  <si>
    <r>
      <t xml:space="preserve">HP Managed MFPs and printers are optimized for managed environments. Offering increased monthly page volumes and fewer interventions, this portfolio of products can help reduce printing and copying costs. 
</t>
    </r>
    <r>
      <rPr>
        <sz val="10"/>
        <rFont val="Tahoma"/>
        <family val="2"/>
      </rPr>
      <t>**Picture below may show optional accessories not included with the base configuration. Consult VBS Sales Professional for product information.</t>
    </r>
  </si>
  <si>
    <t>P57750dw Multifunction Printer</t>
  </si>
  <si>
    <t>J9V82A</t>
  </si>
  <si>
    <t>500-sheet Paper Tray</t>
  </si>
  <si>
    <t xml:space="preserve">2x500-sheet Paper Tray and Stand </t>
  </si>
  <si>
    <t>D3Q23A</t>
  </si>
  <si>
    <t>P0V04A</t>
  </si>
  <si>
    <t>768 MB Standard</t>
  </si>
  <si>
    <t>500 Sheet Tray w/ 50 sheet Multipurpose input tray</t>
  </si>
  <si>
    <t>Input voltage: 100 to 240 VAC (+/- 10%), 50/60 Hz (+/- 3 Hz)</t>
  </si>
  <si>
    <t>48.83 lb</t>
  </si>
  <si>
    <t>: 20.9 x 16.0 x 18.4" (HxWxD)</t>
  </si>
  <si>
    <t>54a</t>
  </si>
  <si>
    <t>MAINTENANCE OPTION - 55</t>
  </si>
  <si>
    <t>MAINTENANCE OPTION - 55a</t>
  </si>
  <si>
    <t>MAINTENANCE OPTION - 55b</t>
  </si>
  <si>
    <t>55a</t>
  </si>
  <si>
    <t>55b</t>
  </si>
  <si>
    <t>L3U43A</t>
  </si>
  <si>
    <t>HP PageWide Managed E58650z Multifunction Printer</t>
  </si>
  <si>
    <t xml:space="preserve">E58650z Flow MFP </t>
  </si>
  <si>
    <t>Accessibility Assistant</t>
  </si>
  <si>
    <t>Accessibility (for E58650dn/z)</t>
  </si>
  <si>
    <t xml:space="preserve">JetDirect 3100w BLE/NFC/Wireless </t>
  </si>
  <si>
    <t>JetDirect 3100w BLE/NFC/Wireless  (for E58650dn)</t>
  </si>
  <si>
    <t>Two Internal USB Ports (for E55650dn, E58650dn)</t>
  </si>
  <si>
    <t>Foreign Interface Harness (for E58650dn/z)</t>
  </si>
  <si>
    <t>Analog 500 Fax (for E58650dn only)</t>
  </si>
  <si>
    <t>1 GB x32 144-pin (800 MHz) DDR3 SODIMM</t>
  </si>
  <si>
    <t xml:space="preserve">2GB DDR3x32 144-Pin 800MHz SODIMM </t>
  </si>
  <si>
    <t>500 Sheet Paper Tray</t>
  </si>
  <si>
    <t>Printer Cabinet and Stand</t>
  </si>
  <si>
    <t>Printer Cabinet and Stand (for E58650dn/z)</t>
  </si>
  <si>
    <t>3x500 Sheet Paper Tray / Stand</t>
  </si>
  <si>
    <t xml:space="preserve">Jetdirect 3000w NFC/Wireless </t>
  </si>
  <si>
    <t>Jetdirect 2900nw Print Server</t>
  </si>
  <si>
    <t>2TD64A</t>
  </si>
  <si>
    <t>CC487A#B1H</t>
  </si>
  <si>
    <t>G1W43A</t>
  </si>
  <si>
    <t>G1W44A</t>
  </si>
  <si>
    <t>G1W45A</t>
  </si>
  <si>
    <t>J8031A#ABA</t>
  </si>
  <si>
    <t xml:space="preserve">Approx 7.1 black / 7.3 color </t>
  </si>
  <si>
    <t xml:space="preserve">Input voltage: 100 to 240 VAC (+/- 10%), 50/60 Hz (+/- 3 Hz); </t>
  </si>
  <si>
    <t>20.8 x 22.2 x 20.8" (HxWxD)</t>
  </si>
  <si>
    <t>71.2 lb</t>
  </si>
  <si>
    <t>2048 MB Standard</t>
  </si>
  <si>
    <t>56a</t>
  </si>
  <si>
    <t>56b</t>
  </si>
  <si>
    <t>MAINTENANCE OPTION - 56</t>
  </si>
  <si>
    <t>MAINTENANCE OPTION - 56a</t>
  </si>
  <si>
    <t>MAINTENANCE OPTION - 56b</t>
  </si>
  <si>
    <t>57a</t>
  </si>
  <si>
    <t>57b</t>
  </si>
  <si>
    <t>MAINTENANCE OPTION - 57</t>
  </si>
  <si>
    <t>MAINTENANCE OPTION - 57a</t>
  </si>
  <si>
    <t>MAINTENANCE OPTION - 57b</t>
  </si>
  <si>
    <t xml:space="preserve">E77650z Flow MFP </t>
  </si>
  <si>
    <t>J7Z08A</t>
  </si>
  <si>
    <t>HP PageWide Managed E77650z Multifunction Printer</t>
  </si>
  <si>
    <t>80 ppm Ltr</t>
  </si>
  <si>
    <t xml:space="preserve">PaperCut  </t>
  </si>
  <si>
    <t>https://www.papercut.com/</t>
  </si>
  <si>
    <t>Hardware Components</t>
  </si>
  <si>
    <t>Main Software</t>
  </si>
  <si>
    <t>PC MFD EMB KM COMM 1-9 PER DEV</t>
  </si>
  <si>
    <t>PCMFCKM</t>
  </si>
  <si>
    <t>PC MFD EMB KM COMM 10-24 PER DEV</t>
  </si>
  <si>
    <t>PCMFCKM10</t>
  </si>
  <si>
    <t>PC MFD EMB KM COMM 100-199 PER DEV</t>
  </si>
  <si>
    <t>PCMFCKM100</t>
  </si>
  <si>
    <t>PC MFD EMB KM COMM 200-499 PER DEV</t>
  </si>
  <si>
    <t>PCMFCKM200</t>
  </si>
  <si>
    <t>PC MFD EMB KM COMM 25-49 PER DEV</t>
  </si>
  <si>
    <t>PCMFCKM25</t>
  </si>
  <si>
    <t>PC MFD EMB KM COMM 50-99 PER DEV</t>
  </si>
  <si>
    <t>PCMFCKM50</t>
  </si>
  <si>
    <t>PC MFD EMB KM COMM 500  PER DEV</t>
  </si>
  <si>
    <t>PCMFCKM500</t>
  </si>
  <si>
    <t>USERS NO EMB COMM UP TO 100 USERS</t>
  </si>
  <si>
    <t>PCMFCUSERS100</t>
  </si>
  <si>
    <t>USERS NO EMB COMM UP TO 1000 USERS</t>
  </si>
  <si>
    <t>PCMFCUSERS1000</t>
  </si>
  <si>
    <t>USERS NO EMB COMM UP TO 400 USERS</t>
  </si>
  <si>
    <t>PCMFCUSERS400</t>
  </si>
  <si>
    <t>USERS NO EMB COMM UNLIMITED USERS</t>
  </si>
  <si>
    <t>PCMFCUSERSQTY</t>
  </si>
  <si>
    <t>PC MFD EMB KM EDUGOV 1-9 PER DEV</t>
  </si>
  <si>
    <t>PCMFEKM</t>
  </si>
  <si>
    <t>PC MFD EMB KM EDUGOV 10-24 PER DEV</t>
  </si>
  <si>
    <t>PCMFEKM10</t>
  </si>
  <si>
    <t>PC MFD EMB KM EDUGOV 100-199 PER DEV</t>
  </si>
  <si>
    <t>PCMFEKM100</t>
  </si>
  <si>
    <t>PC MFD EMB KM EDUGOV 200-499 PER DEV</t>
  </si>
  <si>
    <t>PCMFEKM200</t>
  </si>
  <si>
    <t>PC MFD EMB KM EDUGOV 25-49 PER DEV</t>
  </si>
  <si>
    <t>PCMFEKM25</t>
  </si>
  <si>
    <t>PC MFD EMB KM EDUGOV 50-99 PER DEV</t>
  </si>
  <si>
    <t>PCMFEKM50</t>
  </si>
  <si>
    <t>PC MFD EMB KM EDUGOV 500  PER DEV</t>
  </si>
  <si>
    <t>PCMFEKM500</t>
  </si>
  <si>
    <t>USERS NO EMB EDUGOV UP TO 100 USERS</t>
  </si>
  <si>
    <t>PCMFEUSERS100</t>
  </si>
  <si>
    <t>USERS NO EMB EDUGOV UP TO 1000 USERS</t>
  </si>
  <si>
    <t>PCMFEUSERS1000</t>
  </si>
  <si>
    <t>USERS NO EMB EDUGOV UP TO 400 USERS</t>
  </si>
  <si>
    <t>PCMFEUSERS400</t>
  </si>
  <si>
    <t>USERS NO EMB EDUGOV UNLIMITED USERS</t>
  </si>
  <si>
    <t>PCMFEUSERSQTY</t>
  </si>
  <si>
    <t>PC MFD EMB KM LICENSE MIGRATION</t>
  </si>
  <si>
    <t>PCMFMIGRATEKM</t>
  </si>
  <si>
    <t>Maintenance</t>
  </si>
  <si>
    <t>ACDI M&amp;S YEAR 1</t>
  </si>
  <si>
    <t>AMS1</t>
  </si>
  <si>
    <t>ACDI M&amp;S YEARS 1 &amp; 2</t>
  </si>
  <si>
    <t>AMS2</t>
  </si>
  <si>
    <t>ACDI M&amp;S YEARS 12 &amp; 3</t>
  </si>
  <si>
    <t>AMS3</t>
  </si>
  <si>
    <t>ACDI M&amp;S YEARS 123 &amp; 4</t>
  </si>
  <si>
    <t>AMS4</t>
  </si>
  <si>
    <t>ACDI M&amp;S YEARS 1234 &amp; 5</t>
  </si>
  <si>
    <t>AMS5</t>
  </si>
  <si>
    <t>ACDI M&amp;S MINIMUM PER YEAR</t>
  </si>
  <si>
    <t>AMSMIN</t>
  </si>
  <si>
    <t>ACDI ADVANCED M&amp;S YEAR 1</t>
  </si>
  <si>
    <t>AMSPLUS1</t>
  </si>
  <si>
    <t>ACDI ADVANCED M&amp;S YEARS 1 &amp; 2</t>
  </si>
  <si>
    <t>AMSPLUS2</t>
  </si>
  <si>
    <t>ACDI ADVANCED M&amp;S YEARS 12 &amp; 3</t>
  </si>
  <si>
    <t>AMSPLUS3</t>
  </si>
  <si>
    <t>ACDI ADVANCED M&amp;S YEARS 123 &amp; 4</t>
  </si>
  <si>
    <t>AMSPLUS4</t>
  </si>
  <si>
    <t>ACDI ADVANCED M&amp;S YEARS 1234 &amp; 5</t>
  </si>
  <si>
    <t>AMSPLUS5</t>
  </si>
  <si>
    <t>ACDI ADV M&amp;S FOR INT YEAR 1</t>
  </si>
  <si>
    <t>AMSPLUSINT1</t>
  </si>
  <si>
    <t>ACDI ADV M&amp;S FOR INT YEARS 1 &amp; 2</t>
  </si>
  <si>
    <t>AMSPLUSINT2</t>
  </si>
  <si>
    <t>ACDI ADV M&amp;S FOR INT YEARS 12 &amp; 3</t>
  </si>
  <si>
    <t>AMSPLUSINT3</t>
  </si>
  <si>
    <t>ACDI ADV M&amp;S FOR INT YEARS 123 &amp; 4</t>
  </si>
  <si>
    <t>AMSPLUSINT4</t>
  </si>
  <si>
    <t>ACDI ADV M&amp;S FOR INT YEARS 1234 &amp; 5</t>
  </si>
  <si>
    <t>AMSPLUSINT5</t>
  </si>
  <si>
    <t>ACDI ADVANCED M&amp;S MINIMUM PER YEAR</t>
  </si>
  <si>
    <t>AMSPLUSMIN</t>
  </si>
  <si>
    <t>REMOTE INSTAL FEE PER GETSCAN SERVER APP</t>
  </si>
  <si>
    <t>GSREMOTESERVER</t>
  </si>
  <si>
    <t>ACDI M&amp;S 1 MONTH</t>
  </si>
  <si>
    <t>MMS1</t>
  </si>
  <si>
    <t>ACDI M&amp;S 10 MONTHS</t>
  </si>
  <si>
    <t>MMS10</t>
  </si>
  <si>
    <t>ACDI M&amp;S 11 MONTHS</t>
  </si>
  <si>
    <t>MMS11</t>
  </si>
  <si>
    <t>ACDI M&amp;S 2 MONTHS</t>
  </si>
  <si>
    <t>MMS2</t>
  </si>
  <si>
    <t>ACDI M&amp;S 3 MONTHS</t>
  </si>
  <si>
    <t>MMS3</t>
  </si>
  <si>
    <t>ACDI M&amp;S 4 MONTHS</t>
  </si>
  <si>
    <t>MMS4</t>
  </si>
  <si>
    <t>ACDI M&amp;S 5 MONTHS</t>
  </si>
  <si>
    <t>MMS5</t>
  </si>
  <si>
    <t>ACDI M&amp;S 6 MONTHS</t>
  </si>
  <si>
    <t>MMS6</t>
  </si>
  <si>
    <t>ACDI M&amp;S 7 MONTHS</t>
  </si>
  <si>
    <t>MMS7</t>
  </si>
  <si>
    <t>ACDI M&amp;S 8 MONTHS</t>
  </si>
  <si>
    <t>MMS8</t>
  </si>
  <si>
    <t>ACDI M&amp;S 9 MONTHS</t>
  </si>
  <si>
    <t>MMS9</t>
  </si>
  <si>
    <t>ACDI ADVANCED M&amp;S 1 MONTH</t>
  </si>
  <si>
    <t>MMSPLUS1</t>
  </si>
  <si>
    <t>ACDI ADVANCED M&amp;S 10 MONTHS</t>
  </si>
  <si>
    <t>MMSPLUS10</t>
  </si>
  <si>
    <t>ACDI ADVANCED M&amp;S 11 MONTHS</t>
  </si>
  <si>
    <t>MMSPLUS11</t>
  </si>
  <si>
    <t>ACDI ADVANCED M&amp;S 2 MONTHS</t>
  </si>
  <si>
    <t>MMSPLUS2</t>
  </si>
  <si>
    <t>ACDI ADVANCED M&amp;S 3 MONTHS</t>
  </si>
  <si>
    <t>MMSPLUS3</t>
  </si>
  <si>
    <t>ACDI ADVANCED M&amp;S 4 MONTHS</t>
  </si>
  <si>
    <t>MMSPLUS4</t>
  </si>
  <si>
    <t>ACDI ADVANCED M&amp;S 5 MONTHS</t>
  </si>
  <si>
    <t>MMSPLUS5</t>
  </si>
  <si>
    <t>ACDI ADVANCED M&amp;S 6 MONTHS</t>
  </si>
  <si>
    <t>MMSPLUS6</t>
  </si>
  <si>
    <t>ACDI ADVANCED M&amp;S 7 MONTHS</t>
  </si>
  <si>
    <t>MMSPLUS7</t>
  </si>
  <si>
    <t>ACDI ADVANCED M&amp;S 8 MONTHS</t>
  </si>
  <si>
    <t>MMSPLUS8</t>
  </si>
  <si>
    <t>ACDI ADVANCED M&amp;S 9 MONTHS</t>
  </si>
  <si>
    <t>MMSPLUS9</t>
  </si>
  <si>
    <t>ADV MS FOR INTEGRATION 1 MONTH</t>
  </si>
  <si>
    <t>MMSPLUSINT1</t>
  </si>
  <si>
    <t>ADV MS FOR INTEGRATION 10 MONTH</t>
  </si>
  <si>
    <t>MMSPLUSINT10</t>
  </si>
  <si>
    <t>ADV MS FOR INTEGRATION 11 MONTH</t>
  </si>
  <si>
    <t>MMSPLUSINT11</t>
  </si>
  <si>
    <t>ADV MS FOR INTEGRATION 2 MONTH</t>
  </si>
  <si>
    <t>MMSPLUSINT2</t>
  </si>
  <si>
    <t>ADV MS FOR INTEGRATION 3 MONTH</t>
  </si>
  <si>
    <t>MMSPLUSINT3</t>
  </si>
  <si>
    <t>ADV MS FOR INTEGRATION 4 MONTH</t>
  </si>
  <si>
    <t>MMSPLUSINT4</t>
  </si>
  <si>
    <t>ADV MS FOR INTEGRATION 5 MONTH</t>
  </si>
  <si>
    <t>MMSPLUSINT5</t>
  </si>
  <si>
    <t>ADV MS FOR INTEGRATION 6 MONTH</t>
  </si>
  <si>
    <t>MMSPLUSINT6</t>
  </si>
  <si>
    <t>ADV MS FOR INTEGRATION 7 MONTH</t>
  </si>
  <si>
    <t>MMSPLUSINT7</t>
  </si>
  <si>
    <t>ADV MS FOR INTEGRATION 8 MONTH</t>
  </si>
  <si>
    <t>MMSPLUSINT8</t>
  </si>
  <si>
    <t>ADV MS FOR INTEGRATION 9 MONTH</t>
  </si>
  <si>
    <t>MMSPLUSINT9</t>
  </si>
  <si>
    <t>HOSTED EDITION - ONE YEAR TERM ACDI M&amp;S included</t>
  </si>
  <si>
    <t>POHE1</t>
  </si>
  <si>
    <t>HOSTED EDITION - TWO YEAR TERM ACDI M&amp;S included</t>
  </si>
  <si>
    <t>POHE2</t>
  </si>
  <si>
    <t>HOSTED EDITION - THREE YEAR TERM ACDI M&amp;S included</t>
  </si>
  <si>
    <t>POHE3</t>
  </si>
  <si>
    <t>HOSTED EDITION - FOUR YEAR TERM ACDI M&amp;S included</t>
  </si>
  <si>
    <t>POHE4</t>
  </si>
  <si>
    <t>HOSTED EDITION - FIVE YEAR TERM ACDI M&amp;S included</t>
  </si>
  <si>
    <t>POHE5</t>
  </si>
  <si>
    <t>ADDITIONAL  CONNECTION - ONE YEAR TERM ACDI M&amp;S included</t>
  </si>
  <si>
    <t>POHEADD1</t>
  </si>
  <si>
    <t>ADDITIONAL PRINTER CONNECTION 5 YR TERM ACDI M&amp;S included</t>
  </si>
  <si>
    <t>POHEADD2</t>
  </si>
  <si>
    <t>ADDITIONAL PRINTER CONNECTION 4 YR TERM ACDI M&amp;S included</t>
  </si>
  <si>
    <t>POHEADD3</t>
  </si>
  <si>
    <t>ADDITIONAL PRINTER CONNECTION 3 YR TERM ACDI M&amp;S included</t>
  </si>
  <si>
    <t>POHEADD4</t>
  </si>
  <si>
    <t>Miscellaneous Options</t>
  </si>
  <si>
    <t>AU-204H</t>
  </si>
  <si>
    <t>Mag Stripe Card Reader</t>
  </si>
  <si>
    <t>AU-205H</t>
  </si>
  <si>
    <t>IC Card Reader</t>
  </si>
  <si>
    <t>ACDI Developer Consulting (per hour)</t>
  </si>
  <si>
    <t>11PCDEV</t>
  </si>
  <si>
    <t>KMBS Professional Project Services</t>
  </si>
  <si>
    <t>ACDI On-Site Installation &amp; Training, Daily Fee</t>
  </si>
  <si>
    <t>ACDINSTALL</t>
  </si>
  <si>
    <t>DAILY REMOTE INSTAL RATE 8 HOURS</t>
  </si>
  <si>
    <t>MYPCDAILY</t>
  </si>
  <si>
    <t>REMOTE INSTALL PER HALF DAY 4 HOURS</t>
  </si>
  <si>
    <t>MYPCHALF</t>
  </si>
  <si>
    <t>DAILY ON-SITE INSTAL RATE 2 DAY MIN.</t>
  </si>
  <si>
    <t>MYPCONSITE</t>
  </si>
  <si>
    <t>ADERANT INTEGRATION WITH PAPERCUT</t>
  </si>
  <si>
    <t>PCADERANTINT</t>
  </si>
  <si>
    <t>ADVANTAGELAW INTEGRATION WITH PAPERCUT</t>
  </si>
  <si>
    <t>PCADLAWINT</t>
  </si>
  <si>
    <t>Advantage Law integration with PaperCut</t>
  </si>
  <si>
    <t>PCADVANTAGELAWINT</t>
  </si>
  <si>
    <t>Advantage Project Management integration with PaperCut</t>
  </si>
  <si>
    <t>PCADVANTAGEPMINT</t>
  </si>
  <si>
    <t>Ajera integration with PaperCut</t>
  </si>
  <si>
    <t>PCAJERAINT</t>
  </si>
  <si>
    <t xml:space="preserve">Banner Acctng integration with PaperCut </t>
  </si>
  <si>
    <t>PCBANNINT</t>
  </si>
  <si>
    <t>Brief Legal software integration with PaperCut</t>
  </si>
  <si>
    <t>PCBRIEFLEGALINT</t>
  </si>
  <si>
    <t xml:space="preserve">CaseLode integration with PaperCut </t>
  </si>
  <si>
    <t>PCCASEINT</t>
  </si>
  <si>
    <t xml:space="preserve">Client Profiles integration w/ PaperCut </t>
  </si>
  <si>
    <t>PCCLIENTPRFINT</t>
  </si>
  <si>
    <t xml:space="preserve">Clio integration w/ PaperCut </t>
  </si>
  <si>
    <t>PCCLIOINT</t>
  </si>
  <si>
    <t>Deltek integration with PaperCut</t>
  </si>
  <si>
    <t>PCDELTEKINT</t>
  </si>
  <si>
    <t>Elite 3E integration with PaperCut</t>
  </si>
  <si>
    <t>PCELITE3EINT</t>
  </si>
  <si>
    <t xml:space="preserve">PC Elite integration with PaperCut </t>
  </si>
  <si>
    <t>PCELITEINT</t>
  </si>
  <si>
    <t>ESI LAW INTEGRATION WITH PAPERCUT</t>
  </si>
  <si>
    <t>PCESILAWINT</t>
  </si>
  <si>
    <t>Juris integration with PaperCut</t>
  </si>
  <si>
    <t>PCJURISINT</t>
  </si>
  <si>
    <t>PC Law integration with PaperCut</t>
  </si>
  <si>
    <t>PCLAWINT</t>
  </si>
  <si>
    <t>LAW/Pro integration with PaperCut</t>
  </si>
  <si>
    <t>PCLAWSPROINT</t>
  </si>
  <si>
    <t>LEGAL MASTER INTEGRATION WITH PAPERCUT</t>
  </si>
  <si>
    <t>PCLEGALINT</t>
  </si>
  <si>
    <t>LSS Software integration with PaperCut</t>
  </si>
  <si>
    <t>PCLSSSOFTWAREINT</t>
  </si>
  <si>
    <t>NetSuite integration with PaperCut</t>
  </si>
  <si>
    <t>PCNETSUITEINT</t>
  </si>
  <si>
    <t xml:space="preserve">Omega integration with PaperCut </t>
  </si>
  <si>
    <t>PCOMEGAINT</t>
  </si>
  <si>
    <t>Orion Billing System integratio PaperCut</t>
  </si>
  <si>
    <t>PCORIONINT</t>
  </si>
  <si>
    <t>Perfect Practice integration with PaperCut</t>
  </si>
  <si>
    <t>PCPERFECTINT</t>
  </si>
  <si>
    <t>Perfect Law integration with PaperCut</t>
  </si>
  <si>
    <t>PCPERLAWINT</t>
  </si>
  <si>
    <t>Practice Mgmt integration with PaperCut</t>
  </si>
  <si>
    <t>PCPRMGTINT</t>
  </si>
  <si>
    <t>ProLaw integration with PaperCut</t>
  </si>
  <si>
    <t>PCPROLAWINT</t>
  </si>
  <si>
    <t>Quickbooks integration with PaperCut</t>
  </si>
  <si>
    <t>PCQUICKBKSINT</t>
  </si>
  <si>
    <t>Remote Installation fee per embedded license or device</t>
  </si>
  <si>
    <t>PCREMOTEEMB</t>
  </si>
  <si>
    <t>REMOTE INSTAL FEE PER PAYMENT GATEWAY</t>
  </si>
  <si>
    <t>PCREMOTEGW</t>
  </si>
  <si>
    <t>Remote Installation, Configuration, and Implementation (minimum)</t>
  </si>
  <si>
    <t>PCREMOTEMIN</t>
  </si>
  <si>
    <t>REMOTE INSTALLATION PER TICKETING ROOM</t>
  </si>
  <si>
    <t>PCREMOTEROOM</t>
  </si>
  <si>
    <t xml:space="preserve">Remote Installation fee per server with PaperCut software </t>
  </si>
  <si>
    <t>PCREMOTESERVER</t>
  </si>
  <si>
    <t xml:space="preserve">Rippe Kingston integration w/ PaperCut </t>
  </si>
  <si>
    <t>PCRIPPEINT</t>
  </si>
  <si>
    <t>Mobile Print Installation/Configuration</t>
  </si>
  <si>
    <t>PCRMPIC</t>
  </si>
  <si>
    <t>1 Basic Server install   Mobile Print Installation/Configuration</t>
  </si>
  <si>
    <t>PCRMPSERVERSTE</t>
  </si>
  <si>
    <t xml:space="preserve">Sage accounting integration w/ PaperCut </t>
  </si>
  <si>
    <t>PCSAGEINT</t>
  </si>
  <si>
    <t>TABS3 Integration with PaperCut</t>
  </si>
  <si>
    <t>PCTABS3INT</t>
  </si>
  <si>
    <t>Tier 1 system integration with PaperCut</t>
  </si>
  <si>
    <t>PCTIER1INT</t>
  </si>
  <si>
    <t>Tier 2 system integration with PaperCut</t>
  </si>
  <si>
    <t>PCTIER2INT</t>
  </si>
  <si>
    <t>Tier 3 system integration with PaperCut</t>
  </si>
  <si>
    <t>PCTIER3INT</t>
  </si>
  <si>
    <t>Time Matters integration with PaperCut</t>
  </si>
  <si>
    <t>PCTIMEMINT</t>
  </si>
  <si>
    <t>Trial Works integration with PaperCut</t>
  </si>
  <si>
    <t>PCTRIALINT</t>
  </si>
  <si>
    <t>TimeSlips integration with PaperCut</t>
  </si>
  <si>
    <t>PCTSLIPSINT</t>
  </si>
  <si>
    <t>Tussman billing integration with PaperCut</t>
  </si>
  <si>
    <t>PCTUSSINT</t>
  </si>
  <si>
    <t>PrinterOn Hosted Edition per device installation fee</t>
  </si>
  <si>
    <t>POHOSTEDINSTALL</t>
  </si>
  <si>
    <t>PRINTERON SECONDARY SERVER INSTAL CONFIG</t>
  </si>
  <si>
    <t>POREMOTEADDSERVER</t>
  </si>
  <si>
    <t>PrinterOn Device Installation</t>
  </si>
  <si>
    <t>POREMOTEINSTALL</t>
  </si>
  <si>
    <t>PRINTERON REMOTE INSTALL MINIMUM</t>
  </si>
  <si>
    <t>POREMOTEMIN</t>
  </si>
  <si>
    <t>PrinterOn Server Installation</t>
  </si>
  <si>
    <t>POREMOTESERVER</t>
  </si>
  <si>
    <t>REMOTE INSTALL ASSISTANCE HOURLY</t>
  </si>
  <si>
    <t>REMOTEINSTLLASST</t>
  </si>
  <si>
    <t>REMOTE SERVER MIGRATION</t>
  </si>
  <si>
    <t>RMTSERVERMIGRATN</t>
  </si>
  <si>
    <t>Software Options</t>
  </si>
  <si>
    <t>GS - OCR MFP LICENSE UP TO 10 PRICED PER</t>
  </si>
  <si>
    <t>GSOCR10</t>
  </si>
  <si>
    <t>GS - OCR MFP LICENSE 51 - 100 PRICED PER</t>
  </si>
  <si>
    <t>GSOCR100</t>
  </si>
  <si>
    <t>GS - OCR MFP LICENSE 11 TO 25 PRICED PER</t>
  </si>
  <si>
    <t>GSOCR25</t>
  </si>
  <si>
    <t>GS - OCR MFP LICENSE 26 - 50 PRICED PER</t>
  </si>
  <si>
    <t>GSOCR50</t>
  </si>
  <si>
    <t>GS OCR HOTFOLDER ONE LICENSE PER SERVER</t>
  </si>
  <si>
    <t>GSOCRHF</t>
  </si>
  <si>
    <t>GS - OCR MFP LICENSE 101  PRICED PER</t>
  </si>
  <si>
    <t>GSOCRQTY</t>
  </si>
  <si>
    <t>Authorize.Net</t>
  </si>
  <si>
    <t>GWAUTH.NET</t>
  </si>
  <si>
    <t>Blackboard</t>
  </si>
  <si>
    <t>GWBLACKBOARD</t>
  </si>
  <si>
    <t>CardSmith</t>
  </si>
  <si>
    <t>GWCARDSMITH</t>
  </si>
  <si>
    <t>CASHNet</t>
  </si>
  <si>
    <t>GWCASHNET</t>
  </si>
  <si>
    <t>CBORD CS Gold</t>
  </si>
  <si>
    <t>GWCBORDCSGOLD</t>
  </si>
  <si>
    <t>CBORD Odyssey (pre-5.2)</t>
  </si>
  <si>
    <t>GWCBORDODYSSEY</t>
  </si>
  <si>
    <t>CyberSource</t>
  </si>
  <si>
    <t>GWCYBERSOURCE</t>
  </si>
  <si>
    <t>Heartland Payment Gateway</t>
  </si>
  <si>
    <t>GWHEARTLAND</t>
  </si>
  <si>
    <t>Moneris</t>
  </si>
  <si>
    <t>GWMONERIS</t>
  </si>
  <si>
    <t>My Student Account</t>
  </si>
  <si>
    <t>GWMYSACCT</t>
  </si>
  <si>
    <t>Nelnet</t>
  </si>
  <si>
    <t>GWNELNET</t>
  </si>
  <si>
    <t>Official Payments</t>
  </si>
  <si>
    <t>GWOPC</t>
  </si>
  <si>
    <t>PaperCut External Account API Gateway</t>
  </si>
  <si>
    <t>GWPCEAAPI</t>
  </si>
  <si>
    <t>PayPal PayFlow Link</t>
  </si>
  <si>
    <t>GWPPPFL</t>
  </si>
  <si>
    <t>PayPal Website Payments Standard</t>
  </si>
  <si>
    <t>GWPPWSPS</t>
  </si>
  <si>
    <t>TouchNet</t>
  </si>
  <si>
    <t>GWTOUCHNET</t>
  </si>
  <si>
    <t>MYPC ADDITIONAL 10 PC LICENSES</t>
  </si>
  <si>
    <t>MYPCADD10</t>
  </si>
  <si>
    <t>MYPC ADDITIONAL 100 PC LICENSES</t>
  </si>
  <si>
    <t>MYPCADD100</t>
  </si>
  <si>
    <t>MYPC ADDITIONAL 1000 PC LICENSES</t>
  </si>
  <si>
    <t>MYPCADD1000</t>
  </si>
  <si>
    <t>MYPC ADDITIONAL 25 PC LICENSES</t>
  </si>
  <si>
    <t>MYPCADD25</t>
  </si>
  <si>
    <t>MYPC ADDITIONAL 5 PC LICENSES</t>
  </si>
  <si>
    <t>MYPCADD5</t>
  </si>
  <si>
    <t>MYPC ADDITIONAL 50 PC LICENSES</t>
  </si>
  <si>
    <t>MYPCADD50</t>
  </si>
  <si>
    <t>MYPC ADDITIONAL 500 PC LICENSES</t>
  </si>
  <si>
    <t>MYPCADD500</t>
  </si>
  <si>
    <t>MYPC BASE LICENSE</t>
  </si>
  <si>
    <t>MYPCBASE</t>
  </si>
  <si>
    <t>CHARGING MODULE</t>
  </si>
  <si>
    <t>MYPCCHARGE</t>
  </si>
  <si>
    <t>MAPS APPLICATION</t>
  </si>
  <si>
    <t>MYPCMAPS</t>
  </si>
  <si>
    <t>ODBC AUTHENTICATION PROVIDER</t>
  </si>
  <si>
    <t>MYPCODBC</t>
  </si>
  <si>
    <t>TALIS KEY STONE FOR MYPC AUTH PROVIDER</t>
  </si>
  <si>
    <t>MYPCTALIS</t>
  </si>
  <si>
    <t>PC ADDITIONAL PRINT RELEASE STATION</t>
  </si>
  <si>
    <t>PCMFARS</t>
  </si>
  <si>
    <t>ACDI HARDWARE CONN LIC  PER UNIT</t>
  </si>
  <si>
    <t>PCMFCONNECT</t>
  </si>
  <si>
    <t>CARTARDIS COPICODE-IP CONN LIC  PER UNIT</t>
  </si>
  <si>
    <t>PCMFCOPIC</t>
  </si>
  <si>
    <t>CARTARDIS CPAD CONN LIC  PER UNIT</t>
  </si>
  <si>
    <t>PCMFCPAD</t>
  </si>
  <si>
    <t>FR NETWORK CARD READER CONN LIC PER UNIT</t>
  </si>
  <si>
    <t>PCMFFR</t>
  </si>
  <si>
    <t>IDPOINT RELEASE CONN LIC  PER UNIT</t>
  </si>
  <si>
    <t>PCMFIDPOINT</t>
  </si>
  <si>
    <t>ITS/GTS PAY STATION CONN LIC  PER UNIT</t>
  </si>
  <si>
    <t>PCMFITS/GTS</t>
  </si>
  <si>
    <t>PC JOB TICKETING - FABLAB</t>
  </si>
  <si>
    <t>PCMFJTFAB</t>
  </si>
  <si>
    <t>PC JOB TICKETING - MINI PRINT ROOM</t>
  </si>
  <si>
    <t>PCMFJTMINI</t>
  </si>
  <si>
    <t>PC JOB TICKETING - PRINT ROOM</t>
  </si>
  <si>
    <t>PCMFJTROOM</t>
  </si>
  <si>
    <t>PC LIBRARY BRANCH</t>
  </si>
  <si>
    <t>PCMFLIBRARY</t>
  </si>
  <si>
    <t>M3I MAESTRO CONN LIC  PER UNIT</t>
  </si>
  <si>
    <t>PCMFM3I</t>
  </si>
  <si>
    <t>MONWA PAY STATION CONN LIC  PER UNIT</t>
  </si>
  <si>
    <t>PCMFMONWA</t>
  </si>
  <si>
    <t>ITC SYSTEMS NETZTOUCH CONN LIC  PER UNIT</t>
  </si>
  <si>
    <t>PCMFNETZ</t>
  </si>
  <si>
    <t>PC UNLIMITED USER LICENSE CONVERSION</t>
  </si>
  <si>
    <t>PCMFUSERSCONV</t>
  </si>
  <si>
    <t>VIRTUAL CASH ACCEPTOR CONN LIC  PER UNIT</t>
  </si>
  <si>
    <t>PCMFVCA</t>
  </si>
  <si>
    <t>PrinterOn COHO For Enterprise Add On - 100 Printer Pack</t>
  </si>
  <si>
    <t>POCOHOENTADD100</t>
  </si>
  <si>
    <t>PrinterOn COHO For Enterprise Add On - 250 Printer Pack</t>
  </si>
  <si>
    <t>POCOHOENTADD250</t>
  </si>
  <si>
    <t>PrinterOn Enterprise Edition - 10 Printer Pack</t>
  </si>
  <si>
    <t>POENT10</t>
  </si>
  <si>
    <t>PrinterOn Enterprise Edition - 100 Printer Pack</t>
  </si>
  <si>
    <t>POENT100</t>
  </si>
  <si>
    <t>PrinterOn Enterprise Edition - 25 Printer Pack</t>
  </si>
  <si>
    <t>POENT25</t>
  </si>
  <si>
    <t>PrinterOn Enterprise Edition - 250 Printer Pack</t>
  </si>
  <si>
    <t>POENT250</t>
  </si>
  <si>
    <t>PrinterOn Enterprise Edition - 5 Printer Pack</t>
  </si>
  <si>
    <t>POENT5</t>
  </si>
  <si>
    <t>PrinterOn Enterprise Edition - 50 Printer Pack</t>
  </si>
  <si>
    <t>POENT50</t>
  </si>
  <si>
    <t>PrinterOn Enterprise Edition - 500 Printer Pack</t>
  </si>
  <si>
    <t>POENT500</t>
  </si>
  <si>
    <t>PrinterOn Enterprise Edition - 75 Printer Pack</t>
  </si>
  <si>
    <t>POENT75</t>
  </si>
  <si>
    <t>Warranty</t>
  </si>
  <si>
    <t>HARDWARE EXTENDED WARRANTY</t>
  </si>
  <si>
    <t>ACDIEXTWARRANTY</t>
  </si>
  <si>
    <t/>
  </si>
  <si>
    <t>Prism ScanPath Prism ScanPath</t>
  </si>
  <si>
    <t>http://www.prismsoftware.com/products/scanpath/</t>
  </si>
  <si>
    <t>SCANPATH CONNECTION TO 1ST MFP</t>
  </si>
  <si>
    <t>ScanPath, connection to first MFP</t>
  </si>
  <si>
    <t>SP40000</t>
  </si>
  <si>
    <t>SCANPATH EACH ADDITIONAL MFP</t>
  </si>
  <si>
    <t>ScanPath; Each Additional MFP(s), priced each</t>
  </si>
  <si>
    <t>SP40001</t>
  </si>
  <si>
    <t>ScanPath; Value Pack 1, Buy-2-Get-1-Free, with 1 Year Maintenance Included</t>
  </si>
  <si>
    <t>SPVP001</t>
  </si>
  <si>
    <t>ScanPath; Value Pack 2, Buy-2-Get-1-Free, with Extended Year Maintenance included</t>
  </si>
  <si>
    <t>SPVP002</t>
  </si>
  <si>
    <t>Optional Software Maintenance Annual Renewal</t>
  </si>
  <si>
    <t>1 Year Maintenance, ScanPath, connection to first MFP</t>
  </si>
  <si>
    <r>
      <t>SP40000M1</t>
    </r>
    <r>
      <rPr>
        <vertAlign val="superscript"/>
        <sz val="10"/>
        <rFont val="Arial"/>
        <family val="2"/>
      </rPr>
      <t>2</t>
    </r>
  </si>
  <si>
    <t>EXT YR MAINT CONNECTION 1ST MFP</t>
  </si>
  <si>
    <t>Extended Maintenance, ScanPath, connection to first MFP</t>
  </si>
  <si>
    <r>
      <t>SP40000ME</t>
    </r>
    <r>
      <rPr>
        <vertAlign val="superscript"/>
        <sz val="10"/>
        <rFont val="Arial"/>
        <family val="2"/>
      </rPr>
      <t>3</t>
    </r>
  </si>
  <si>
    <t>1 YR MAINT CONNECTION ADDL MFP</t>
  </si>
  <si>
    <t>1 Year Maintenance, ScanPath; Each Additional MFP(s), priced each MFP</t>
  </si>
  <si>
    <t>SP40001M1</t>
  </si>
  <si>
    <t>EXT YR MAINT CONNECTION ADDL MFP</t>
  </si>
  <si>
    <t>Extended Maintenance, ScanPath; Each Additional MFP(s), priced each MFP</t>
  </si>
  <si>
    <t>SP40001ME</t>
  </si>
  <si>
    <t>1 YR MAINT MODULE SCAN-TO-HIS</t>
  </si>
  <si>
    <t>1 Year Maintenance, Module, Scan-to-HIS</t>
  </si>
  <si>
    <t>SP41006M1</t>
  </si>
  <si>
    <t>EXT YR MAINT MODULE SCAN-TO-HIS</t>
  </si>
  <si>
    <t>Extended Maintenance, Module, Scan-to-HIS</t>
  </si>
  <si>
    <t>SP41006ME</t>
  </si>
  <si>
    <t>1 YR MAINT MODULE SCAN-TO-LAB</t>
  </si>
  <si>
    <t>1 Year Maintenance, Module, Scan-to-Lab</t>
  </si>
  <si>
    <t>SP41008M1</t>
  </si>
  <si>
    <t>EXT YR MAINT MODULE SCAN-TO-LAB</t>
  </si>
  <si>
    <t>Extended Maintenance, Module, Scan-to-Lab</t>
  </si>
  <si>
    <t>SP41008ME</t>
  </si>
  <si>
    <t>1 YR MAINT MODULE SCAN-TO-PHARMACY</t>
  </si>
  <si>
    <t>1 Year Maintenance, Module, Scan-to-Pharmacy</t>
  </si>
  <si>
    <t>SP41010M1</t>
  </si>
  <si>
    <t>EXT YR MAINT MODULE SCAN-TO-PHARMACY</t>
  </si>
  <si>
    <t>Extended Maintenance, Module, Scan-to-Pharmacy</t>
  </si>
  <si>
    <t>SP41010ME</t>
  </si>
  <si>
    <t>1 YR MAINT MODULE HL7 CONNECTOR</t>
  </si>
  <si>
    <t>1 Year Maintenance, Module, Secure Healthcare Records (HL7) Connector</t>
  </si>
  <si>
    <t>SP41013M1</t>
  </si>
  <si>
    <t>Optional Software Components</t>
  </si>
  <si>
    <t>Module, Automation</t>
  </si>
  <si>
    <t>AM20001</t>
  </si>
  <si>
    <t>MODULE FOLLOWPRINT</t>
  </si>
  <si>
    <t>Module, Follow Printing</t>
  </si>
  <si>
    <t>SP41002</t>
  </si>
  <si>
    <t>MODULE BARCODE COVER SHEET</t>
  </si>
  <si>
    <t>Module, Barcode Cover Sheet</t>
  </si>
  <si>
    <t>SP41003</t>
  </si>
  <si>
    <t>MODULE BATES STAMPING</t>
  </si>
  <si>
    <t>Module, Bates Stamping (Legal)</t>
  </si>
  <si>
    <t>SP41004</t>
  </si>
  <si>
    <t>MODULE SCAN-TO-HEALTHFLOW</t>
  </si>
  <si>
    <t>Module, Scan-to-HealthFlow (Healthcare)</t>
  </si>
  <si>
    <t>SP41005</t>
  </si>
  <si>
    <t>MODULE SCAN-TO-HIS</t>
  </si>
  <si>
    <t>Module, Scan-to-HIS (Healthcare)</t>
  </si>
  <si>
    <t>SP41006</t>
  </si>
  <si>
    <t>MODULE SCAN-TO-LAB</t>
  </si>
  <si>
    <t>Module, Scan-to-Lab (Healthcare)</t>
  </si>
  <si>
    <t>SP41008</t>
  </si>
  <si>
    <t>MODULE SCAN-TO-PHARMACY</t>
  </si>
  <si>
    <t>Module, Scan-to-Pharmacy (Healthcare)</t>
  </si>
  <si>
    <t>SP41010</t>
  </si>
  <si>
    <t>MODULE HL7 CONNECTOR</t>
  </si>
  <si>
    <t>Module, Secure Healthcare Records Connector (HL7)</t>
  </si>
  <si>
    <t>SP41013</t>
  </si>
  <si>
    <t>Prism Capture</t>
  </si>
  <si>
    <t>Prism Software Integration and/or End-User Training - One Hour - Performed by KMBS</t>
  </si>
  <si>
    <t>7640014968</t>
  </si>
  <si>
    <t>Training and Installation Options</t>
  </si>
  <si>
    <t>Installation, by KMBS, ScanPath MFP Connector</t>
  </si>
  <si>
    <t>7640019949</t>
  </si>
  <si>
    <t>Prism Project Services (Per Hour) and/or Hourly Charge For RemoteÊ Training</t>
  </si>
  <si>
    <t>PS20070</t>
  </si>
  <si>
    <t>Installation, Each ScanPath MFP Connector</t>
  </si>
  <si>
    <t>PS22201</t>
  </si>
  <si>
    <t>Prism Training, On-site 1 day (NO T&amp;E)</t>
  </si>
  <si>
    <t>Prism Training, On-site (client), Up to 6 concurrent students, 1 day (NO T&amp;E)</t>
  </si>
  <si>
    <t>TR20090</t>
  </si>
  <si>
    <t>Prism Training, 1 Day at Prism</t>
  </si>
  <si>
    <t>Prism Training, 1 Day at Prism HQ, 1 Student Seat (NO T&amp;E)</t>
  </si>
  <si>
    <t>TR20093</t>
  </si>
  <si>
    <r>
      <rPr>
        <vertAlign val="superscript"/>
        <sz val="10"/>
        <rFont val="Arial"/>
        <family val="2"/>
      </rPr>
      <t>1</t>
    </r>
    <r>
      <rPr>
        <sz val="10"/>
        <rFont val="Arial"/>
        <family val="2"/>
      </rPr>
      <t>Prism ScanPath Maintenance is now ordered as a separate line item and is no longer provided as a "Bundle" Please ensure when ordering ScanPath you include "1 Year" or "Extended" maintenace with each order.</t>
    </r>
  </si>
  <si>
    <r>
      <rPr>
        <vertAlign val="superscript"/>
        <sz val="10"/>
        <rFont val="Arial"/>
        <family val="2"/>
      </rPr>
      <t>2</t>
    </r>
    <r>
      <rPr>
        <sz val="10"/>
        <rFont val="Arial"/>
        <family val="2"/>
      </rPr>
      <t>ScanPath part nos. with "1 year maintenance include all updates, upgrades, patches, and over-the-phone technical support for the first year only. If maintenance is required after first-year maintenance expires it is purchasable on a year-to-year basis or a five-year basis. If maintenance lapses and is not renewed then the customer cannot access updates, upgrades, patches, and over-the-phone technical support from Prism Software.</t>
    </r>
  </si>
  <si>
    <r>
      <rPr>
        <vertAlign val="superscript"/>
        <sz val="10"/>
        <rFont val="Arial"/>
        <family val="2"/>
      </rPr>
      <t>3</t>
    </r>
    <r>
      <rPr>
        <sz val="10"/>
        <rFont val="Arial"/>
        <family val="2"/>
      </rPr>
      <t>ScanPath part nos. with "extended maintenance includes all updates, upgrades, patches, and over-the-phone technical support for the length of the lease of the hardware with which it was sold (up to maximum 5 years) or,  5 years, whichever is less. When the hardware lease expires then the ScanPath maintenance also expires. If maintenance is required after the extended year maintenance expires it is purchasable on a year-to-year basis or a five-year basis. If maintenance lapses and is not renewed then the customer cannot access updates, upgrades, patches, and over-the-phone technical support from Prism Software.  Standard Maintenance Service Provided: M-F 6:00 AM to 5:00 PM (PST), no holidays. Includes all product updates, full-point upgrades, patches, and over-the-phone technical support. See Product Support and Maintenance Agreement guide for all details.</t>
    </r>
  </si>
  <si>
    <t>Dispatcher is a server based application that embeds in the MFP interface and provide a wide range of feature enhancements including, OCR, redaction tools and workflow.</t>
  </si>
  <si>
    <t>https://tinyurl.com/yxr8aruj</t>
  </si>
  <si>
    <t>10 Active Inputs (for Dispatcher Phoenix)</t>
  </si>
  <si>
    <t>7640018969</t>
  </si>
  <si>
    <t>25  Active Inputs (for Dispatcher Phoenix)</t>
  </si>
  <si>
    <t>7640018970</t>
  </si>
  <si>
    <t>50  Active Inputs (for Dispatcher Phoenix)</t>
  </si>
  <si>
    <t>7640018971</t>
  </si>
  <si>
    <t>100 Active Inputs (for Dispatcher Phoenix)</t>
  </si>
  <si>
    <t>7640018972</t>
  </si>
  <si>
    <t>Dispatcher Phoenix Government</t>
  </si>
  <si>
    <t>7640019155</t>
  </si>
  <si>
    <t>500 Active Inputs (for Dispatcher Phoenix)</t>
  </si>
  <si>
    <t>7640020031</t>
  </si>
  <si>
    <t>Main Software Maintenance</t>
  </si>
  <si>
    <t>10 Active Inputs (for DP) Software Maintenance (1 yr.)</t>
  </si>
  <si>
    <t>7640018984</t>
  </si>
  <si>
    <t>25 Active Inputs (for DP) Software Maintenance (1 yr.)</t>
  </si>
  <si>
    <t>7640018985</t>
  </si>
  <si>
    <t>50 Active Inputs (for DP) Software Maintenance (1 yr.)</t>
  </si>
  <si>
    <t>7640018986</t>
  </si>
  <si>
    <t>100 Active Inputs (for DP) Software Maintenance (1 yr.)</t>
  </si>
  <si>
    <t>7640018987</t>
  </si>
  <si>
    <t>10 Active Inputs (for DP) Software Maintenance (3 yrs.)</t>
  </si>
  <si>
    <t>7640018988</t>
  </si>
  <si>
    <t>25 Active Inputs (for DP) Software Maintenance (3 yrs.)</t>
  </si>
  <si>
    <t>7640018989</t>
  </si>
  <si>
    <t>50 Active Inputs (for DP) Software Maintenance (3 yrs.)</t>
  </si>
  <si>
    <t>7640018990</t>
  </si>
  <si>
    <t>100 Active Inputs (for DP) Software Maintenance (3 yrs.)</t>
  </si>
  <si>
    <t>7640018991</t>
  </si>
  <si>
    <t>10 Active Inputs (for DP) Software Maintenance (5 yrs.)</t>
  </si>
  <si>
    <t>7640018992</t>
  </si>
  <si>
    <t>25 Active Inputs (for DP) Software Maintenance (5 yrs.)</t>
  </si>
  <si>
    <t>7640018993</t>
  </si>
  <si>
    <t>50 Active Inputs (for DP) Software Maintenance (5 yrs.)</t>
  </si>
  <si>
    <t>7640018994</t>
  </si>
  <si>
    <t>100 Active Inputs (for DP) Software Maintenance (5 yrs.)</t>
  </si>
  <si>
    <t>7640018995</t>
  </si>
  <si>
    <t>DP Government Software Maintenance 1 yr</t>
  </si>
  <si>
    <t>DP Government Software Maintenance (1 yr.)</t>
  </si>
  <si>
    <t>7640019156</t>
  </si>
  <si>
    <t>DP Government Software Maintenance 3 yrs</t>
  </si>
  <si>
    <t>DP Government Software Maintenance (3 yr.)</t>
  </si>
  <si>
    <t>7640019157</t>
  </si>
  <si>
    <t>DP Government Software Maintenance 5 yrs</t>
  </si>
  <si>
    <t>DP Government Software Maintenance (5 yr.)</t>
  </si>
  <si>
    <t>7640019158</t>
  </si>
  <si>
    <t>Maintenance Reactivation for DP Government</t>
  </si>
  <si>
    <t>Dispatcher Phoenix: Maintenance Reactivation Key - Government</t>
  </si>
  <si>
    <t>7640019159</t>
  </si>
  <si>
    <t>500 Active Inputs (for Dispatcher Phoenix) Software Maintenance (1 yr)</t>
  </si>
  <si>
    <t>7640020032</t>
  </si>
  <si>
    <t>500 Active Inputs (for Dispatcher Phoenix) Software Maintenance (3 yr)</t>
  </si>
  <si>
    <t>7640020033</t>
  </si>
  <si>
    <t>500 Active Inputs (for Dispatcher Phoenix) Software Maintenance (5 yr)</t>
  </si>
  <si>
    <t>7640020034</t>
  </si>
  <si>
    <t>Optional Software</t>
  </si>
  <si>
    <t>DP 1 Additional Active Input</t>
  </si>
  <si>
    <r>
      <t>7640014447</t>
    </r>
    <r>
      <rPr>
        <vertAlign val="superscript"/>
        <sz val="10"/>
        <rFont val="Arial"/>
        <family val="2"/>
      </rPr>
      <t>2</t>
    </r>
  </si>
  <si>
    <t>DP Advanced Bates Stamp</t>
  </si>
  <si>
    <t>7640015729</t>
  </si>
  <si>
    <t>DP Email Bundle</t>
  </si>
  <si>
    <r>
      <t>7640015731</t>
    </r>
    <r>
      <rPr>
        <vertAlign val="superscript"/>
        <sz val="10"/>
        <rFont val="Arial"/>
        <family val="2"/>
      </rPr>
      <t>3</t>
    </r>
  </si>
  <si>
    <t>DP LPR Input</t>
  </si>
  <si>
    <t>7640015732</t>
  </si>
  <si>
    <t>DP 2D Barcode Processing</t>
  </si>
  <si>
    <t>7640015736</t>
  </si>
  <si>
    <t>DP Page Count &amp; Color Route Bundle</t>
  </si>
  <si>
    <t>DP Page Count &amp; Color Route Bundle (for advanced job routing)</t>
  </si>
  <si>
    <t>7640016309</t>
  </si>
  <si>
    <t xml:space="preserve">DP File Parsing Bundle </t>
  </si>
  <si>
    <t>DP File Parsing Bundle (for print file manipulation)</t>
  </si>
  <si>
    <t>7640016311</t>
  </si>
  <si>
    <t>DP KDK Generator &amp; KDK-PDL Converter Bundle</t>
  </si>
  <si>
    <t>7640016313</t>
  </si>
  <si>
    <t>DP OnBase Connector  (requires additional Hyland OnBase license)</t>
  </si>
  <si>
    <t>7640018452</t>
  </si>
  <si>
    <t>DP Worldox Connector</t>
  </si>
  <si>
    <t>7640018613</t>
  </si>
  <si>
    <t>DP Forms Processing (for image data extraction)</t>
  </si>
  <si>
    <t>7640018967</t>
  </si>
  <si>
    <t>DP Distribution Connector Bundle</t>
  </si>
  <si>
    <r>
      <t>7640018968</t>
    </r>
    <r>
      <rPr>
        <vertAlign val="superscript"/>
        <sz val="10"/>
        <rFont val="Arial"/>
        <family val="2"/>
      </rPr>
      <t>4</t>
    </r>
  </si>
  <si>
    <t>DP Rx Shield</t>
  </si>
  <si>
    <t>7640019115</t>
  </si>
  <si>
    <t>DP Workshare Connector</t>
  </si>
  <si>
    <t>7640019202</t>
  </si>
  <si>
    <t>DP Release2Me</t>
  </si>
  <si>
    <t>DP Release2Me 3 Device License</t>
  </si>
  <si>
    <r>
      <t>7640019218</t>
    </r>
    <r>
      <rPr>
        <vertAlign val="superscript"/>
        <sz val="10"/>
        <rFont val="Arial"/>
        <family val="2"/>
      </rPr>
      <t>5</t>
    </r>
  </si>
  <si>
    <t>DP Bubble Grader</t>
  </si>
  <si>
    <t>7640019236</t>
  </si>
  <si>
    <t>DP Mobile 10 User Licenses</t>
  </si>
  <si>
    <t>7640019538</t>
  </si>
  <si>
    <t>DP Mobile 25 User Licenses</t>
  </si>
  <si>
    <t>7640019539</t>
  </si>
  <si>
    <t>DP Mobile 50 User Licenses</t>
  </si>
  <si>
    <t>7640019540</t>
  </si>
  <si>
    <t>DP Mobile 100 User Licenses</t>
  </si>
  <si>
    <t>7640019541</t>
  </si>
  <si>
    <t>DP Mobile 250 User Licenses</t>
  </si>
  <si>
    <t>7640019542</t>
  </si>
  <si>
    <t>DP Mobile 500 User Licenses</t>
  </si>
  <si>
    <t>7640019543</t>
  </si>
  <si>
    <t>DP Mobile 1000 User Licenses</t>
  </si>
  <si>
    <t>7640019544</t>
  </si>
  <si>
    <t>Dispatcher Phoenix OCR Asian Font Pack</t>
  </si>
  <si>
    <t>7640019634</t>
  </si>
  <si>
    <t>Dispatcher Phoenix Workstation (with 1 User License)</t>
  </si>
  <si>
    <t>7640020015</t>
  </si>
  <si>
    <t>DP Batch Indexing Package (with 1 User License)</t>
  </si>
  <si>
    <t>7640020016</t>
  </si>
  <si>
    <t>DP Workstation 10 User Licenses Add-On</t>
  </si>
  <si>
    <t>7640020023</t>
  </si>
  <si>
    <t>DP Batch Indexing 10 User Licenses Add-On</t>
  </si>
  <si>
    <t>7640020027</t>
  </si>
  <si>
    <t>Dispatcher Phoenix Workstation 1 User License Add-On</t>
  </si>
  <si>
    <t>7640020078</t>
  </si>
  <si>
    <t>Dispatcher Phoenix Batch Indexing 1 User License Add-On</t>
  </si>
  <si>
    <t>7640020082</t>
  </si>
  <si>
    <t>Dispatcher Phoenix HL7 Connector</t>
  </si>
  <si>
    <t>DP HL7 Connector</t>
  </si>
  <si>
    <r>
      <t>7640020615</t>
    </r>
    <r>
      <rPr>
        <vertAlign val="superscript"/>
        <sz val="10"/>
        <rFont val="Arial"/>
        <family val="2"/>
      </rPr>
      <t>6</t>
    </r>
  </si>
  <si>
    <t>Dispatcher Phoenix PDF Processing Bundle</t>
  </si>
  <si>
    <t xml:space="preserve">DP PDF Processing Bundle </t>
  </si>
  <si>
    <t>7640020739</t>
  </si>
  <si>
    <t>Dispatcher Phoenix Laserfiche Connector</t>
  </si>
  <si>
    <t>7640020844</t>
  </si>
  <si>
    <t xml:space="preserve">Dispatcher Phoenix Windows Fax Connector </t>
  </si>
  <si>
    <t xml:space="preserve">DP Windows Fax Connector </t>
  </si>
  <si>
    <t>7640020848</t>
  </si>
  <si>
    <t>Dispatcher Phoenix Release2Me 5 Device License</t>
  </si>
  <si>
    <t>DP Release2Me 5 Device License</t>
  </si>
  <si>
    <t>7640020905</t>
  </si>
  <si>
    <t>Dispatcher Phoenix Release2Me 10 Device License</t>
  </si>
  <si>
    <t>DP Release2Me 10 Device License</t>
  </si>
  <si>
    <t>7640020906</t>
  </si>
  <si>
    <t>Dispatcher Phoenix Release2Me 25 Device License</t>
  </si>
  <si>
    <t>DP Release2Me 25 Device License</t>
  </si>
  <si>
    <t>7640020907</t>
  </si>
  <si>
    <t>Dispatcher Phoenix Release2Me 50 Device License</t>
  </si>
  <si>
    <t>DP Release2Me 50 Device License</t>
  </si>
  <si>
    <t>7640020908</t>
  </si>
  <si>
    <t>Dispatcher Phoenix Release2Me 100 Device License</t>
  </si>
  <si>
    <t>DP Release2Me 100 Device License</t>
  </si>
  <si>
    <t>7640020909</t>
  </si>
  <si>
    <t>Dispatcher Phoenix Release2Me 500 Device License</t>
  </si>
  <si>
    <t>DP Release2Me 500 Device License</t>
  </si>
  <si>
    <t>7640020910</t>
  </si>
  <si>
    <t>Dispatcher Phoenix Release2Me 1 Device License</t>
  </si>
  <si>
    <t>DP Release2Me 1 Device License</t>
  </si>
  <si>
    <t>7640020911</t>
  </si>
  <si>
    <t>Dispatcher Phoenix Dropbox In</t>
  </si>
  <si>
    <t>7640020955</t>
  </si>
  <si>
    <t>Optional Software Maintenance</t>
  </si>
  <si>
    <t>DP 1 Additional Active Input Software Maintenance (1 yr.)</t>
  </si>
  <si>
    <t>7640014449</t>
  </si>
  <si>
    <t>DP Advanced Bates Stamp Software Maintenance (1 yr.)</t>
  </si>
  <si>
    <t>7640015766</t>
  </si>
  <si>
    <t>DP SMTP In &amp; Email Parser Bundle Software Maintenance (1 yr.)</t>
  </si>
  <si>
    <t>7640015768</t>
  </si>
  <si>
    <t>DP LPR Input Software Maintenance (1 yr.)</t>
  </si>
  <si>
    <t>7640015769</t>
  </si>
  <si>
    <t>DP 2D Barcode Processing Software Maintenance (1 yr.)</t>
  </si>
  <si>
    <t>7640015773</t>
  </si>
  <si>
    <t>DP 1 Additional Active Input Software Maintenance (3 yrs.)</t>
  </si>
  <si>
    <t>7640015774</t>
  </si>
  <si>
    <t>DP Advanced Bates Stamp Software Maintenance (3 yrs.)</t>
  </si>
  <si>
    <t>7640015775</t>
  </si>
  <si>
    <t>DP SMTP In &amp; Email Parser Bundle Software Maintenance (3 yrs.)</t>
  </si>
  <si>
    <t>7640015777</t>
  </si>
  <si>
    <t>DP LPR Input Software Maintenance (3 yrs.)</t>
  </si>
  <si>
    <t>7640015778</t>
  </si>
  <si>
    <t>DP 2D Barcode Processing Software Maintenance (3 yrs.)</t>
  </si>
  <si>
    <t>7640015782</t>
  </si>
  <si>
    <t>DP 1 Additional Active Input Software Maintenance (5 yrs.)</t>
  </si>
  <si>
    <t>7640015783</t>
  </si>
  <si>
    <t>DP Advanced Bates Stamp Software Maintenance (5 yrs.)</t>
  </si>
  <si>
    <t>7640015784</t>
  </si>
  <si>
    <t>DP SMTP In &amp; Email Parser Bundle Software Maintenance (5 yrs.)</t>
  </si>
  <si>
    <t>7640015786</t>
  </si>
  <si>
    <t>DP LPR Input Software Maintenance (5 yrs.)</t>
  </si>
  <si>
    <t>7640015787</t>
  </si>
  <si>
    <t>DP 2D Barcode Processing Software Maintenance (5 yrs.)</t>
  </si>
  <si>
    <t>7640015791</t>
  </si>
  <si>
    <t>DP Page Count &amp; Color Route Bundle Software Maintenance (1 yr.)</t>
  </si>
  <si>
    <t>7640016316</t>
  </si>
  <si>
    <t>DP File Parsing Bundle Software Maintenance (1 yr.)</t>
  </si>
  <si>
    <t>7640016318</t>
  </si>
  <si>
    <t>DP KDK Generator &amp; KDK-PDL Bundle Software Maintenance (1 yr.)</t>
  </si>
  <si>
    <t>7640016320</t>
  </si>
  <si>
    <t>DP Page Count &amp; Color Route Bundle Software  Maintenance (3 yrs.)</t>
  </si>
  <si>
    <t>7640016323</t>
  </si>
  <si>
    <t>DP File Parsing Bundle Software Maintenance (3 yrs.)</t>
  </si>
  <si>
    <t>7640016325</t>
  </si>
  <si>
    <t>DP KDK Generator &amp; KDK-PDL Bundle Software Maintenance (3 yrs.)</t>
  </si>
  <si>
    <t>7640016327</t>
  </si>
  <si>
    <t>DP Page Count &amp; Color Route Bundle Software Maintenance (5 yrs.)</t>
  </si>
  <si>
    <t>7640016330</t>
  </si>
  <si>
    <t>DP File Parsing  Bundle Software Maintenance (5 yrs.)</t>
  </si>
  <si>
    <t>7640016332</t>
  </si>
  <si>
    <t>DP KDK Generator &amp; KDK-PDL Bundle Software Maintenance (5 yrs.)</t>
  </si>
  <si>
    <t>7640016334</t>
  </si>
  <si>
    <t>DP OnBase Connector Software Maintenance (1 yr.)</t>
  </si>
  <si>
    <t>7640018453</t>
  </si>
  <si>
    <t>DP OnBase Connector Software Maintenance (3 yrs.)</t>
  </si>
  <si>
    <t>7640018454</t>
  </si>
  <si>
    <t>DP OnBase Connector Software Maintenance (5 yrs.)</t>
  </si>
  <si>
    <t>7640018455</t>
  </si>
  <si>
    <t>DP Worldox Connector Software Maintenance (1 yr.)</t>
  </si>
  <si>
    <t>7640018614</t>
  </si>
  <si>
    <t>DP Worldox Connector Software Maintenance (3 yrs.)</t>
  </si>
  <si>
    <t>7640018615</t>
  </si>
  <si>
    <t>DP Worldox Connector Software Maintenance (5 yrs.)</t>
  </si>
  <si>
    <t>7640018616</t>
  </si>
  <si>
    <t>DP Forms Processing Software Maintenance (1 yr.)</t>
  </si>
  <si>
    <t>7640018996</t>
  </si>
  <si>
    <t>DP Forms Processing Software Maintenance (3 yr.)</t>
  </si>
  <si>
    <t>7640018997</t>
  </si>
  <si>
    <t>DP Forms Processing Software Maintenance (5 yr.)</t>
  </si>
  <si>
    <t>7640018998</t>
  </si>
  <si>
    <t>DP Distribution Connector Bundle Software Maintenance (1 yr.)</t>
  </si>
  <si>
    <t>7640018999</t>
  </si>
  <si>
    <t>DP Distribution Connector Bundle Software Maintenance (3 yr.)</t>
  </si>
  <si>
    <t>7640019000</t>
  </si>
  <si>
    <t>DP Distribution Connector Bundle Software Maintenance (5 yr.)</t>
  </si>
  <si>
    <t>7640019001</t>
  </si>
  <si>
    <t>DP Rx Shield Software Maintenance (1 yr.)</t>
  </si>
  <si>
    <t>7640019116</t>
  </si>
  <si>
    <t>DP Rx Shield Software Maintenance (3 yr.)</t>
  </si>
  <si>
    <t>7640019117</t>
  </si>
  <si>
    <t>DP Rx Shield Software Maintenance (5 yr.)</t>
  </si>
  <si>
    <t>7640019118</t>
  </si>
  <si>
    <t>DP Workshare Connector Software Maintenance (1 yr.)</t>
  </si>
  <si>
    <t>7640019203</t>
  </si>
  <si>
    <t>DP Workshare Connector Software Maintenance (3 yrs.)</t>
  </si>
  <si>
    <t>7640019204</t>
  </si>
  <si>
    <t>DP Workshare Connector Software Maintenance (5 yrs.)</t>
  </si>
  <si>
    <t>7640019205</t>
  </si>
  <si>
    <t>DP Release2Me 3 Device (1 yr.) SW Maint</t>
  </si>
  <si>
    <t>7640019219</t>
  </si>
  <si>
    <t>DP Release2Me 3 Device (3 yr.) SW Maint</t>
  </si>
  <si>
    <t>7640019220</t>
  </si>
  <si>
    <t>DP Release2Me 3 Device (5 yr.) SW Maint</t>
  </si>
  <si>
    <t>7640019221</t>
  </si>
  <si>
    <t>DP Bubble Grader Software Maintenance (1 yr.)</t>
  </si>
  <si>
    <t>7640019237</t>
  </si>
  <si>
    <t>DP Bubble Grader Software Maintenance (3 yrs.)</t>
  </si>
  <si>
    <t>7640019238</t>
  </si>
  <si>
    <t>DP Bubble Grader Software Maintenance (5 yrs.)</t>
  </si>
  <si>
    <t>7640019239</t>
  </si>
  <si>
    <t>DP Mobile 10 User Lic. SW Maint (1 yr)</t>
  </si>
  <si>
    <t>7640019545</t>
  </si>
  <si>
    <t>DP Mobile 10 User Lic. SW Maint (3 yr)</t>
  </si>
  <si>
    <t>7640019546</t>
  </si>
  <si>
    <t>DP Mobile 10 User Lic. SW Maint (5 yr)</t>
  </si>
  <si>
    <t>7640019547</t>
  </si>
  <si>
    <t>DP Mobile 25 User Licenses Software Maintenance (1 yr)</t>
  </si>
  <si>
    <t>7640019548</t>
  </si>
  <si>
    <t>DP Mobile 25 User Licenses  Software Maintenance (3 yr)</t>
  </si>
  <si>
    <t>7640019549</t>
  </si>
  <si>
    <t>DP Mobile 25 User Licenses Software Maintenance (5 yr)</t>
  </si>
  <si>
    <t>7640019550</t>
  </si>
  <si>
    <t>DP Mobile 50 User Lic. SW Maint (1 yr)</t>
  </si>
  <si>
    <t>7640019551</t>
  </si>
  <si>
    <t>DP Mobile 50 User Lic. SW Maint (3 yr)</t>
  </si>
  <si>
    <t>7640019552</t>
  </si>
  <si>
    <t>DP Mobile 50 User Lic. SW Maint (5 yr)</t>
  </si>
  <si>
    <t>7640019553</t>
  </si>
  <si>
    <t>DP Mobile 100 User Lic. SW Maint (1 yr)</t>
  </si>
  <si>
    <t>7640019554</t>
  </si>
  <si>
    <t>DP Mobile 100 User Lic.  SW Maint (3 yr)</t>
  </si>
  <si>
    <t>7640019555</t>
  </si>
  <si>
    <t>DP Mobile 100 User Lic.  SW Maint (5 yr)</t>
  </si>
  <si>
    <t>7640019556</t>
  </si>
  <si>
    <t>DP Mobile 250 User Lic.  SW Maint (1 yr)</t>
  </si>
  <si>
    <t>7640019557</t>
  </si>
  <si>
    <t>DP Mobile 250 User Lic. SW Maint (3 yr)</t>
  </si>
  <si>
    <t>7640019558</t>
  </si>
  <si>
    <t>DP Mobile 250 User Lic. SW Maint (5 yr)</t>
  </si>
  <si>
    <t>7640019559</t>
  </si>
  <si>
    <t>DP Mobile 500 User Lic.  SW Maint (1 yr)</t>
  </si>
  <si>
    <t>7640019560</t>
  </si>
  <si>
    <t>DP Mobile 500 User Lic. SW Maint (3 yr)</t>
  </si>
  <si>
    <t>7640019561</t>
  </si>
  <si>
    <t>DP Mobile 500 User Lic. SW Maint (5 yr)</t>
  </si>
  <si>
    <t>7640019562</t>
  </si>
  <si>
    <t>DP Mobile 1000 User Lic. SW Maint (1 yr)</t>
  </si>
  <si>
    <t>7640019563</t>
  </si>
  <si>
    <t>DP Mobile 1000 User Lic. SW Maint (3 yr)</t>
  </si>
  <si>
    <t>7640019564</t>
  </si>
  <si>
    <t>DP Mobile 1000 User Lic. SW Maint (5 yr)</t>
  </si>
  <si>
    <t>7640019565</t>
  </si>
  <si>
    <t>DP OCR Asian Font Pack SW Maintenance (1 yr.)</t>
  </si>
  <si>
    <t>7640019635</t>
  </si>
  <si>
    <t>DP OCR Asian Font Pack Software Maintenance (3 yr.)</t>
  </si>
  <si>
    <t>7640019636</t>
  </si>
  <si>
    <t>DP OCR Asian Font Pack Software Maintenance (5 yr.)</t>
  </si>
  <si>
    <t>7640019637</t>
  </si>
  <si>
    <t>Dispatcher Phoenix Workstation (with 1 User License) Software Maintenance (1 yr.)</t>
  </si>
  <si>
    <t>7640020017</t>
  </si>
  <si>
    <t>Dispatcher Phoenix Workstation (with 1 User License) Software Maintenance (3 yr.)</t>
  </si>
  <si>
    <t>7640020018</t>
  </si>
  <si>
    <t>Dispatcher Phoenix Workstation (with 1 User License) Software Maintenance (5 yr.)</t>
  </si>
  <si>
    <t>7640020019</t>
  </si>
  <si>
    <t xml:space="preserve">DP Batch Indexing Package (with 1 User License) Software Maintenance (1 yr) </t>
  </si>
  <si>
    <t>7640020020</t>
  </si>
  <si>
    <t xml:space="preserve">DP Batch Indexing Package (with 1 User License) Software Maintenance (3 yr) </t>
  </si>
  <si>
    <t>7640020021</t>
  </si>
  <si>
    <t xml:space="preserve">DP Batch Indexing Package (with 1 User License) Software Maintenance (5 yr) </t>
  </si>
  <si>
    <t>7640020022</t>
  </si>
  <si>
    <t>Dispatcher Phoenix Workstation 10 User Licenses Add-On Software Maintenance (1 yr.)</t>
  </si>
  <si>
    <t>7640020024</t>
  </si>
  <si>
    <t>Dispatcher Phoenix Workstation 10 User Licenses Add-On Software Maintenance (3 yr.)</t>
  </si>
  <si>
    <t>7640020025</t>
  </si>
  <si>
    <t>Dispatcher Phoenix Workstation 10 User Licenses Add-On Software Maintenance (5 yr.)</t>
  </si>
  <si>
    <t>7640020026</t>
  </si>
  <si>
    <t>Dispatcher Phoenix Batch Indexing 10 User Licenses Add-On Software Maintenance (1 yr.)</t>
  </si>
  <si>
    <t>7640020028</t>
  </si>
  <si>
    <t>Dispatcher Phoenix Batch Indexing 10 User Licenses Add-On Software Maintenance (3 yr.)</t>
  </si>
  <si>
    <t>7640020029</t>
  </si>
  <si>
    <t>Dispatcher Phoenix Batch Indexing 10 User Licenses Add-On Software Maintenance (5 yr.)</t>
  </si>
  <si>
    <t>7640020030</t>
  </si>
  <si>
    <t>Dispatcher Phoenix Workstation 1 User License Add-On Software Maintenance (1 yr.)</t>
  </si>
  <si>
    <t>7640020079</t>
  </si>
  <si>
    <t>Dispatcher Phoenix Workstation 1 User License Add-On Software Maintenance (3 yr.)</t>
  </si>
  <si>
    <t>7640020080</t>
  </si>
  <si>
    <t>Dispatcher Phoenix Workstation 1 User License Add-On Software Maintenance (5 yr.)</t>
  </si>
  <si>
    <t>7640020081</t>
  </si>
  <si>
    <t>Dispatcher Phoenix Batch Indexing 1 User License Add-On Software Maintenance (1 yr.)</t>
  </si>
  <si>
    <t>7640020083</t>
  </si>
  <si>
    <t>Dispatcher Phoenix Batch Indexing 1 User License Add-On Software Maintenance (3 yr.)</t>
  </si>
  <si>
    <t>7640020084</t>
  </si>
  <si>
    <t>Dispatcher Phoenix Batch Indexing 1 User License Add-On Software Maintenance (5 yr.)</t>
  </si>
  <si>
    <t>7640020085</t>
  </si>
  <si>
    <t>DP HL7 Bundle Software Maintenance (1 Year)</t>
  </si>
  <si>
    <t>7640020616</t>
  </si>
  <si>
    <t>DP HL7 Bundle Software Maintenance (3 Years)</t>
  </si>
  <si>
    <t>7640020617</t>
  </si>
  <si>
    <t>DP HL7 Bundle Software Maintenance (5 Years)</t>
  </si>
  <si>
    <t>7640020618</t>
  </si>
  <si>
    <t>Dispatcher Phoenix PDF Processing Bundle Software Maintenance (1 Year)</t>
  </si>
  <si>
    <t>DP PDF Processing Bundle SW Maintenance (1 Year)</t>
  </si>
  <si>
    <t>7640020740</t>
  </si>
  <si>
    <t>Dispatcher Phoenix PDF Processing Bundle Software Maintenance (3 Years)</t>
  </si>
  <si>
    <t>DP PDF Processing Bundle SW Maintenance (3 Year)</t>
  </si>
  <si>
    <t>7640020741</t>
  </si>
  <si>
    <t>Dispatcher Phoenix PDF Processing Bundle Software Maintenance (5 Years)</t>
  </si>
  <si>
    <t>DP PDF Processing Bundle SW Maintenance (5 Year)</t>
  </si>
  <si>
    <t>7640020742</t>
  </si>
  <si>
    <t>Dispatcher Phoenix Laserfiche Connector Software Maintenance (1 Year)</t>
  </si>
  <si>
    <t>DP Laserfiche Connector SW Maint.(1 Yr)</t>
  </si>
  <si>
    <t>7640020845</t>
  </si>
  <si>
    <t>Dispatcher Phoenix Laserfiche  Connector Software Maintenance (3 Years)</t>
  </si>
  <si>
    <t>DP Laserfiche Connector SW Maint. (3 Yr)</t>
  </si>
  <si>
    <t>7640020846</t>
  </si>
  <si>
    <t>Dispatcher Phoenix Laserfiche   Connector Software Maintenance (5 Years)</t>
  </si>
  <si>
    <t>DP Laserfiche Connector SW Maint. (5 Yr)</t>
  </si>
  <si>
    <t>7640020847</t>
  </si>
  <si>
    <t>Dispatcher Phoenix Windows Fax Connector Software Maintenance (1 Year)</t>
  </si>
  <si>
    <t>DP Windows Fax Connector SW Maint.(1 Yr)</t>
  </si>
  <si>
    <t>7640020849</t>
  </si>
  <si>
    <t>Dispatcher Phoenix Windows Fax Connector Software Maintenance (3 Years)</t>
  </si>
  <si>
    <t>DP Windows Fax Connector SW Maint.(3 Yr)</t>
  </si>
  <si>
    <t>7640020850</t>
  </si>
  <si>
    <t>Dispatcher Phoenix Windows Fax  Connector Software Maintenance (5 Years)</t>
  </si>
  <si>
    <t>DP Windows Fax Connector SW Maint.(5 Yr)</t>
  </si>
  <si>
    <t>7640020851</t>
  </si>
  <si>
    <t>Dispatcher Phoenix Release2Me 5 Device License 1 Year Software Maintenance</t>
  </si>
  <si>
    <t>DP Release2Me 5 Device (1 Yr) SW Maint</t>
  </si>
  <si>
    <t>7640020912</t>
  </si>
  <si>
    <t>Dispatcher Phoenix Release2Me 5 Device License 3 Year Software Maintenance</t>
  </si>
  <si>
    <t>DP Release2Me 5 Device (3 Yr) SW Maint</t>
  </si>
  <si>
    <t>7640020913</t>
  </si>
  <si>
    <t>Dispatcher Phoenix Release2Me 5 Device License 5 Year Software Maintenance</t>
  </si>
  <si>
    <t>DP Release2Me 5 Device (5 Yr) SW Maint</t>
  </si>
  <si>
    <t>7640020914</t>
  </si>
  <si>
    <t>Dispatcher Phoenix Release2Me 10 Device License 1 Year Software Maintenance</t>
  </si>
  <si>
    <t>DP Release2Me 10 Device (1 Yr) SW Maint</t>
  </si>
  <si>
    <t>7640020915</t>
  </si>
  <si>
    <t>Dispatcher Phoenix Release2Me 10 Device License 3 Year Software Maintenance</t>
  </si>
  <si>
    <t>DP Release2Me 10 Device (3 Yr) SW Maint</t>
  </si>
  <si>
    <t>7640020916</t>
  </si>
  <si>
    <t>Dispatcher Phoenix Release2Me 10 Device License 5 Year Software Maintenance</t>
  </si>
  <si>
    <t>DP Release2Me 10 Device (5 Yr) SW Maint</t>
  </si>
  <si>
    <t>7640020917</t>
  </si>
  <si>
    <t>Dispatcher Phoenix Release2Me 25 Device License 1 Year Software Maintenance</t>
  </si>
  <si>
    <t>DP Release2Me 25 Device (1 Yr) SW Maint</t>
  </si>
  <si>
    <t>7640020918</t>
  </si>
  <si>
    <t>Dispatcher Phoenix Release2Me 25 Device License 3 Year Software Maintenance</t>
  </si>
  <si>
    <t>DP Release2Me 25 Device (3 Yr) SW Maint</t>
  </si>
  <si>
    <t>7640020919</t>
  </si>
  <si>
    <t>Dispatcher Phoenix Release2Me 25 Device License 5 Year Software Maintenance</t>
  </si>
  <si>
    <t>DP Release2Me 25 Device (5 Yr) SW Maint</t>
  </si>
  <si>
    <t>7640020920</t>
  </si>
  <si>
    <t>Dispatcher Phoenix Release2Me 50 Device License 1 Year Software Maintenance</t>
  </si>
  <si>
    <t>DP Release2Me 50 Device (1 Yr) SW Maint</t>
  </si>
  <si>
    <t>7640020921</t>
  </si>
  <si>
    <t>Dispatcher Phoenix Release2Me 50 Device License 3 Year Software Maintenance</t>
  </si>
  <si>
    <t>DP Release2Me 50 Device (3 Yr) SW Maint</t>
  </si>
  <si>
    <t>7640020922</t>
  </si>
  <si>
    <t>Dispatcher Phoenix Release2Me 50 Device License 5 Year Software Maintenance</t>
  </si>
  <si>
    <t>DP Release2Me 50 Device (5 Yr) SW Maint</t>
  </si>
  <si>
    <t>7640020923</t>
  </si>
  <si>
    <t>Dispatcher Phoenix Release2Me 100 Device License 1 Year Software Maintenance</t>
  </si>
  <si>
    <t>DP Release2Me 100 Device (1 Yr) SW Maint</t>
  </si>
  <si>
    <t>7640020924</t>
  </si>
  <si>
    <t>Dispatcher Phoenix Release2Me 100 Device License 3 Year Software Maintenance</t>
  </si>
  <si>
    <t>DP Release2Me 100 Device (3 Yr) SW Maint</t>
  </si>
  <si>
    <t>7640020925</t>
  </si>
  <si>
    <t>Dispatcher Phoenix Release2Me 100 Device License 5 Year Software Maintenance</t>
  </si>
  <si>
    <t>DP Release2Me 100 Device (5 Yr) SW Maint</t>
  </si>
  <si>
    <t>7640020926</t>
  </si>
  <si>
    <t>Dispatcher Phoenix Release2Me 500 Device License 1 Year Software Maintenance</t>
  </si>
  <si>
    <t>DP Release2Me 500 Device (1 Yr) SW Maint</t>
  </si>
  <si>
    <t>7640020927</t>
  </si>
  <si>
    <t>Dispatcher Phoenix Release2Me 500 Device License 3 Year Software Maintenance</t>
  </si>
  <si>
    <t>DP Release2Me 500 Device (3 Yr) SW Maint</t>
  </si>
  <si>
    <t>7640020928</t>
  </si>
  <si>
    <t>Dispatcher Phoenix Release2Me 500 Device License 5 Year Software Maintenance</t>
  </si>
  <si>
    <t>DP Release2Me 500 Device (5 Yr) SW Maint</t>
  </si>
  <si>
    <t>7640020929</t>
  </si>
  <si>
    <t>Dispatcher Phoenix Release2Me 1 Device License 1 Year Software Maintenance</t>
  </si>
  <si>
    <t>DP Release2Me 1 Device (1 Yr) SW Maint</t>
  </si>
  <si>
    <t>7640020938</t>
  </si>
  <si>
    <t>Dispatcher Phoenix Release2Me 1 Device License 3 Year Software Maintenance</t>
  </si>
  <si>
    <t>DP Release2Me 1 Device (3 Yr) SW Maint</t>
  </si>
  <si>
    <t>7640020939</t>
  </si>
  <si>
    <t>Dispatcher Phoenix Release2Me 1 Device License 5 Year Software Maintenance</t>
  </si>
  <si>
    <t>DP Release2Me 1 Device (5 Yr) SW Maint</t>
  </si>
  <si>
    <t>7640020940</t>
  </si>
  <si>
    <t>Dispatcher Phoenix Dropbox In Software Maintenance (1 Year)</t>
  </si>
  <si>
    <t>7640020956</t>
  </si>
  <si>
    <t>Dispatcher Phoenix Dropbox In Software Maintenance (3 Year)</t>
  </si>
  <si>
    <t>7640020957</t>
  </si>
  <si>
    <t>Dispatcher Phoenix Dropbox In Software Maintenance (5 Year)</t>
  </si>
  <si>
    <t>7640020958</t>
  </si>
  <si>
    <t>Konica Minolta SEC Development Services for Dispatcher Phoenix (Per Hour)</t>
  </si>
  <si>
    <t>7640005346</t>
  </si>
  <si>
    <t>Remote Installation Services performed by SEC (up to 4 hours)</t>
  </si>
  <si>
    <t>7640015792</t>
  </si>
  <si>
    <r>
      <rPr>
        <vertAlign val="superscript"/>
        <sz val="10"/>
        <rFont val="Arial"/>
        <family val="2"/>
      </rPr>
      <t>1</t>
    </r>
    <r>
      <rPr>
        <sz val="10"/>
        <rFont val="Arial"/>
        <family val="2"/>
      </rPr>
      <t>Dispatcher Phoenix Government includes 2 Active Inputs, Google Cloud Input, Advanced OCR, Barcode Processing, Barcode Writer, Convert to Microsoft Office, Convert to PDF, Highlight/Strikeout, Redaction, SharePoint Connector, SharePoint Online Connector, CAC/PIV authentication, Copy Defender, Metadata Bundle (Metadata Route, Metadata to File, Metadata Scripting, PJL Print Preferences, and PDF File Extraction), ODBC Processing. Your Konica Minolta BIS Regional Solutions Consultant must be engaged prior to ordering Dispatcher Phoenix software with any customization. A Business Needs Analysis (BNA) must be completed and approved for remote installation services and professional services performed by Konica Minolta's Solutions Engineering Center.</t>
    </r>
  </si>
  <si>
    <r>
      <rPr>
        <vertAlign val="superscript"/>
        <sz val="10"/>
        <rFont val="Arial"/>
        <family val="2"/>
      </rPr>
      <t>2</t>
    </r>
    <r>
      <rPr>
        <sz val="10"/>
        <rFont val="Arial"/>
        <family val="2"/>
      </rPr>
      <t>All Dispatcher Phoenix software options must include the corresponding annual maintenance for each option.Active Input: An Active Input is any entry point in a workflow that is running or scheduled to run. Inputs in Dispatcher Phoenix are bEST, Input Folder, MFP, LPR In,  SMTP In, Google Cloud Printer, Workstation, and DP Mobile. Active inputs are counted across multiple workflows by IP address/Host name, Input folder path, or LPR queue name. This means that one device used in multiple workflows is only counted as ONE active input. Multiple input nodes, such as bEST, SMTP In, and MFP, that use the same device will only be counted as ONE active input. Similarly, if multiple Input Folders in multiple workflows are collecting from the same folder path, they are only counted as ONE active input.</t>
    </r>
  </si>
  <si>
    <r>
      <rPr>
        <vertAlign val="superscript"/>
        <sz val="10"/>
        <rFont val="Arial"/>
        <family val="2"/>
      </rPr>
      <t>3</t>
    </r>
    <r>
      <rPr>
        <sz val="10"/>
        <rFont val="Arial"/>
        <family val="2"/>
      </rPr>
      <t>05/2/2019 Modified Model Description...MRz The Email Bundle includes Email In, SMTP In, and Email Parser.</t>
    </r>
  </si>
  <si>
    <r>
      <rPr>
        <vertAlign val="superscript"/>
        <sz val="10"/>
        <rFont val="Arial"/>
        <family val="2"/>
      </rPr>
      <t>4</t>
    </r>
    <r>
      <rPr>
        <sz val="10"/>
        <rFont val="Arial"/>
        <family val="2"/>
      </rPr>
      <t xml:space="preserve">The Distribution Connector Bundle includes connectors to Box, Dropbox, WebDAV, Microsoft OneDrive, Microsoft OneDrive for Business, FilesAnywhere, Konica Minolta's FileAssist, and Google Drive.				</t>
    </r>
  </si>
  <si>
    <r>
      <rPr>
        <vertAlign val="superscript"/>
        <sz val="10"/>
        <rFont val="Arial"/>
        <family val="2"/>
      </rPr>
      <t>5</t>
    </r>
    <r>
      <rPr>
        <sz val="10"/>
        <rFont val="Arial"/>
        <family val="2"/>
      </rPr>
      <t xml:space="preserve">Release2Me: The Release2Me package includes: the Release2Me node, the PJL Print Preferences node, the LPR In node, a system-defined workflow, and the Dispatcher Phoenix Release2Me Print Driver. Note that the PJL Print Preferences node is also included with the Metadata Bundle item.
</t>
    </r>
  </si>
  <si>
    <r>
      <rPr>
        <vertAlign val="superscript"/>
        <sz val="10"/>
        <rFont val="Arial"/>
        <family val="2"/>
      </rPr>
      <t>6</t>
    </r>
    <r>
      <rPr>
        <sz val="10"/>
        <rFont val="Arial"/>
        <family val="2"/>
      </rPr>
      <t xml:space="preserve">The HL7 Bundle includes HL7 Connector and the CDA Generator Tool.
</t>
    </r>
  </si>
  <si>
    <t>Bizhub Marketplace</t>
  </si>
  <si>
    <t>Bizhub Marketplace allows users to download applications directly on the MFP console from the web based marketplace.</t>
  </si>
  <si>
    <t>https://us.konicaminoltamarketplace.com/</t>
  </si>
  <si>
    <t>Integration</t>
  </si>
  <si>
    <t>Konica Minolta SEC Consultation Services for Dispatcher Phoenix (Per Hour)</t>
  </si>
  <si>
    <t>7640005345</t>
  </si>
  <si>
    <t>Connect to OnBase App</t>
  </si>
  <si>
    <t>bizhub Connector to OnBase App</t>
  </si>
  <si>
    <t>A006R59</t>
  </si>
  <si>
    <t>bizhub  Connector for OneDrive</t>
  </si>
  <si>
    <t>A006R60</t>
  </si>
  <si>
    <t>bizhub Connnector for Box</t>
  </si>
  <si>
    <t>A006R61</t>
  </si>
  <si>
    <t>bizhub Connector for Gmail</t>
  </si>
  <si>
    <t>A006R62</t>
  </si>
  <si>
    <t>bizhub Connector for Google Drive</t>
  </si>
  <si>
    <t>Connector for Google Drive</t>
  </si>
  <si>
    <t>A006R63</t>
  </si>
  <si>
    <t>Connect to Microsoft SharePoint</t>
  </si>
  <si>
    <t>A006R64</t>
  </si>
  <si>
    <t>bizhub MFP UI Device License</t>
  </si>
  <si>
    <t>A006R65</t>
  </si>
  <si>
    <t>bizhub Connector for FileAssist</t>
  </si>
  <si>
    <t>bizhub Connector for FileAssist -Connector for FileAssist</t>
  </si>
  <si>
    <t>A006R72</t>
  </si>
  <si>
    <t>Share PHI (also known as Kno2fax App)</t>
  </si>
  <si>
    <t>A006R73</t>
  </si>
  <si>
    <t>bizhub  Connector for FamilySearch</t>
  </si>
  <si>
    <t xml:space="preserve">Connector for FamilySearch </t>
  </si>
  <si>
    <t>A006R74</t>
  </si>
  <si>
    <t>bizhub Connector for FilesAnywhere</t>
  </si>
  <si>
    <t>Connector for FilesAnywhere</t>
  </si>
  <si>
    <t>A006R75</t>
  </si>
  <si>
    <t>Connector for SMB</t>
  </si>
  <si>
    <t>bizhub Connector for SMB</t>
  </si>
  <si>
    <t>A006R76</t>
  </si>
  <si>
    <t>bizhub Connector for FTP</t>
  </si>
  <si>
    <t>A006R77</t>
  </si>
  <si>
    <t>bizhub Connector for WebDAV</t>
  </si>
  <si>
    <t>A006R78</t>
  </si>
  <si>
    <t>Paper Templates</t>
  </si>
  <si>
    <t>A006R79</t>
  </si>
  <si>
    <t>bizhub Secure Notifier</t>
  </si>
  <si>
    <t>bizhub SECURE Notifier</t>
  </si>
  <si>
    <t>A006R80</t>
  </si>
  <si>
    <t>bizhub Connector for SharePoint Online</t>
  </si>
  <si>
    <t>Connector for SharePoint Online</t>
  </si>
  <si>
    <t>A006T07</t>
  </si>
  <si>
    <t>Connector for OneDrive for Business</t>
  </si>
  <si>
    <t>A006T08</t>
  </si>
  <si>
    <t>bizhub Connnector for Dropbox</t>
  </si>
  <si>
    <t>A006T09</t>
  </si>
  <si>
    <r>
      <rPr>
        <vertAlign val="superscript"/>
        <sz val="10"/>
        <rFont val="Arial"/>
        <family val="2"/>
      </rPr>
      <t>1</t>
    </r>
    <r>
      <rPr>
        <sz val="10"/>
        <rFont val="Arial"/>
        <family val="2"/>
      </rPr>
      <t xml:space="preserve">ORDERING INSTRUCTIONS
Please Note: There are two purchasing methods available for MarketPlace apps.
Option 1: Sales personnel can use the item numbers provided on the MarketPlace price sheet to order any MarketPlace App available. The Marketplace Apps' item numbers can be listed on sales orders in the same way that other solutions and hardware are listed.
Option 2: Customers can purchase the App directly from the Konica Minolta MarketPlace website by themselves. This option is recommended when the customer would like to purchase a few (one two) apps. Customers be charged sales tax on any credit card transactions.
Sales Rep: In order to install MarketPlace apps, the customer must have a Konica Minolta MarketPlace account. If the customer does not have an account already set up, work with them to create an account on the konicaminoltamarketplace.com website.
DELIVERY AND INSTALLATION
There are NO delivery fees required for MarketPlace apps.
If apps are ordered/purchased via SAP, a MarketPlace certificate with a purchase code will be emailed to the email address listed on the order. Users can then paste that purchase code on the Konica Minolta MarketPlace website to credit the licenses they purchased to their account. Please note that ONE purchase code will be credited to ONE MarketPlace user, unless special instructions are provided.
Accessing the Marketplace from the MFP control panel:
TO BEGIN - Tap on the MarketPlace button on the bizhub MFP screen. The apps that are currently installed will be displayed.
INSTALL - Tap on the Install button next to the app you want to install. You’ll be able to watch the installation process taking place.
Please note that the Connect to OnBase app requires the appropriate license from Konica Minolta, as well as an OnBase integration license for the appropriate KM product (MarketPlace) from Hyland Software.
SUPPORTED DEVICES AND REQUIRED OPTIONS
MarketPlace apps require that each MFP have both the Web Browser i-Option and Extended Memory Kit. Please check www.konicaminoltamarketplace.com for a list of compatible devices.
TECHNICAL SUPPORT
For MarketPlace assistance, local technical personnel can call our Support line at 1-800-456-5664 (Prompt 1 for Service, then prompt 3 for Help Desk) Monday through Friday between the hours of 8:00 am and 8:00 pm (EST).
Hyland Software Customer Instructions (Required): Customers needing to purchase the required 'Integration for Konica Minolta bizhub MarketPlace MFP' license from Hyland Software should contact their Hyland Software Account Manager or their supporting Hyland reseller directly. Licensing is a two-part process; without both licenses, the customer will not be able to connect their MFP to their OnBase Sever.
FREE APPS
The following apps are available at no cost and can be purchased from the MarketPlace website (konicaminoltamarketplace.com): Announcement, bizhub Connector for Evernote, bizhub Connector for Finance, Clean Planet, Connect to Twitter, Connect to Weather, Express Connect, RSS Feeds, Scan Clerk, and Simple Copy.
</t>
    </r>
  </si>
  <si>
    <t xml:space="preserve">Square 9 </t>
  </si>
  <si>
    <t>Square 9 provides a range of document management solutions including cloud and premise based solutions that integrate directly with the MFPs to facilitate document routing storage and retrieval.</t>
  </si>
  <si>
    <t>www.square-9.com</t>
  </si>
  <si>
    <t>Model</t>
  </si>
  <si>
    <t>Item Number</t>
  </si>
  <si>
    <t>Suggested Retail</t>
  </si>
  <si>
    <t>Square 9 Business Essentials</t>
  </si>
  <si>
    <r>
      <t>SQUARE9 BUSINESS ESSENTIAL</t>
    </r>
    <r>
      <rPr>
        <vertAlign val="superscript"/>
        <sz val="10"/>
        <rFont val="Arial"/>
        <family val="2"/>
      </rPr>
      <t>1</t>
    </r>
  </si>
  <si>
    <t>12 S9S Professional Services</t>
  </si>
  <si>
    <t>Per Diem Remote Capture Services</t>
  </si>
  <si>
    <t>GBLCAPPROSRV002</t>
  </si>
  <si>
    <t>S9SPROSRV001</t>
  </si>
  <si>
    <t>S9SPROSRV002</t>
  </si>
  <si>
    <t>Four Hour Remote Access Service Block</t>
  </si>
  <si>
    <t>S9SPROSRV003</t>
  </si>
  <si>
    <t>S9SPROSRV004</t>
  </si>
  <si>
    <t>Per Diem Custom Development M&amp;S</t>
  </si>
  <si>
    <t>Per Diem Custom Development Services Maintenance &amp; Support</t>
  </si>
  <si>
    <t>S9SPROSRV004MS</t>
  </si>
  <si>
    <t>Custom SQL Scripting (4 hour Increments)</t>
  </si>
  <si>
    <t>S9SPROSRV006</t>
  </si>
  <si>
    <t>Per Diem 3rd Party Professional Services</t>
  </si>
  <si>
    <t>S9SPROSRV007</t>
  </si>
  <si>
    <t>Per Diem GlobalForms Services</t>
  </si>
  <si>
    <t>S9SPROSRV008</t>
  </si>
  <si>
    <t>S9SPROSRV009</t>
  </si>
  <si>
    <t>Project Based Data Conversion Services</t>
  </si>
  <si>
    <t>S9SPROSRV010</t>
  </si>
  <si>
    <t>SMARTSEARCH SOFTWARE ASSURANCE</t>
  </si>
  <si>
    <t>S9SSA001</t>
  </si>
  <si>
    <t>Maintenance and Support Renewal</t>
  </si>
  <si>
    <t>S9SSA002</t>
  </si>
  <si>
    <t>14 Competitive Software Replacement</t>
  </si>
  <si>
    <t>COMPETITIVE SOFTWARE REPLACEMENT</t>
  </si>
  <si>
    <t>S9SDISC003</t>
  </si>
  <si>
    <t>GlobalCapture Software</t>
  </si>
  <si>
    <t>GlobalSearch C2 Cloud Storage - Up to 25GB</t>
  </si>
  <si>
    <t>GBLC2STOR001</t>
  </si>
  <si>
    <t>GlobalSearch C2 Cloud Storage - Up to 100GB</t>
  </si>
  <si>
    <t>GBLC2STOR002</t>
  </si>
  <si>
    <t>GlobalSearch C2 Cloud Storage - Up to 250GB</t>
  </si>
  <si>
    <t>GBLC2STOR003</t>
  </si>
  <si>
    <t>GlobalSearch C2 Cloud Storage - Up to 500GB</t>
  </si>
  <si>
    <t>GBLC2STOR004</t>
  </si>
  <si>
    <t>GlobalSearch C2 Cloud Storage - Up to 1TB</t>
  </si>
  <si>
    <t>GBLC2STOR005</t>
  </si>
  <si>
    <t>GlobalForms 10 for C2 with Unlimited Forms and Capture BPM (Per Month, One Year Increments Required)</t>
  </si>
  <si>
    <t>GFC2SASRV001</t>
  </si>
  <si>
    <t>GlobalSearch C2 Cloud Enterprise Edition - per month concurrent user cost for 11-25 concurrent users</t>
  </si>
  <si>
    <t>GSC2ENTRP000</t>
  </si>
  <si>
    <t>GlobalSearch C2 Cloud Enterprise Edition - per month concurrent user cost for 26-50 concurrent users</t>
  </si>
  <si>
    <t>GSC2ENTRP001</t>
  </si>
  <si>
    <t>GlobalSearch C2 Cloud Enterprise Edition - per month concurrent user cost for 51-100 concurrent users</t>
  </si>
  <si>
    <t>GSC2ENTRP002</t>
  </si>
  <si>
    <t>GlobalSearch C2 Cloud Enterprise Edition - per month concurrent user cost for 101-250 concurrent users</t>
  </si>
  <si>
    <t>GSC2ENTRP003</t>
  </si>
  <si>
    <t>GlobalSearch C2 Cloud Enterprise Edition - per month concurrent user cost for 5-10 concurrent users</t>
  </si>
  <si>
    <t>GSC2ENTRP010</t>
  </si>
  <si>
    <t>Assembly Bound Lists Pack (Per Month, One Year Increments Required)</t>
  </si>
  <si>
    <t>GSC2GBLCAPABL001</t>
  </si>
  <si>
    <t>GlobalCapture User License - Single License (Per Month, One Year Increments Required)</t>
  </si>
  <si>
    <t>GSC2GBLCAPAIO001</t>
  </si>
  <si>
    <t>Imaging Processing Engine with positional OCR/BCR Core Upgrade (Per Month, One Year Increments Required)</t>
  </si>
  <si>
    <t>GSC2GBLCAPBDL001</t>
  </si>
  <si>
    <t>GlobalCapture BPM  (Per Month, One Year Increments Required)</t>
  </si>
  <si>
    <t>GSC2GBLCAPBPM001</t>
  </si>
  <si>
    <t>Document Classification Engine w/ Rapid Adapt Form Learning (Per Month, One Year Increments Required)</t>
  </si>
  <si>
    <t>GSC2GBLCAPCLAS001</t>
  </si>
  <si>
    <t>C2 GlobalCapture Toshiba Connector</t>
  </si>
  <si>
    <t>C2 GlobalCapture Toshiba eBridge Connector (Per Month, One Year Increments Required)</t>
  </si>
  <si>
    <t>GSC2GBLCAPEBRDG001</t>
  </si>
  <si>
    <t>Full Page OCR Engine Core Upgrade (Per Month, One Year Increments Required)</t>
  </si>
  <si>
    <t>GSC2GBLCAPFPO001</t>
  </si>
  <si>
    <t>GlobalCapture MFP Pack (Per Month, One Year Increments Required)</t>
  </si>
  <si>
    <t>GSC2GBLCAPMFP001</t>
  </si>
  <si>
    <t>GlobalCapture Server (Per Month, One Year Increments Required)</t>
  </si>
  <si>
    <t>GSC2GBLCAPPRO001</t>
  </si>
  <si>
    <t>Unstructured Data Extraction - Core Upgrade (Per Month, One Year Increments Required)</t>
  </si>
  <si>
    <t>GSC2GBLCAPREGEX001</t>
  </si>
  <si>
    <t>C2 GlobalCapture OKI sXP Connector</t>
  </si>
  <si>
    <t>C2 GlobalCapture OKI sXP Connector (Per Month, One Year Increments Required)</t>
  </si>
  <si>
    <t>GSC2GBLCAPSXP001</t>
  </si>
  <si>
    <t>Line Item Data Extraction - Core Engine (Per Month, One Year Increments Required)</t>
  </si>
  <si>
    <t>GSC2GBLCAPTBLEX001</t>
  </si>
  <si>
    <t xml:space="preserve">Image Xchange - per month per concurrent user </t>
  </si>
  <si>
    <t>GSC2IX001</t>
  </si>
  <si>
    <t xml:space="preserve">Image Xchange Enterprise - per month </t>
  </si>
  <si>
    <t>GSC2IX002</t>
  </si>
  <si>
    <t xml:space="preserve">GlobalSearch C2 Office Essentials Edition </t>
  </si>
  <si>
    <t>GlobalSearch C2 Office Essentials Edition - per month per concurrent user cost for 3-25 users.</t>
  </si>
  <si>
    <t>GSC2OFFICE001</t>
  </si>
  <si>
    <t xml:space="preserve">GlobalSearch C2 Workgroup Edition </t>
  </si>
  <si>
    <t>GlobalSearch C2 Workgroup Edition - per month concurrent user cost for 5-25 concurrent users</t>
  </si>
  <si>
    <t>GSC2WRKGRP001</t>
  </si>
  <si>
    <t>GlobalSearch C2 Workgroup Edition</t>
  </si>
  <si>
    <t>GlobalSearch C2 Workgroup Edition - per month concurrent user cost for 26-50 concurrent users</t>
  </si>
  <si>
    <t>GSC2WRKGRP002</t>
  </si>
  <si>
    <t>GLOBALSEARCHC2 ANNUALSUBSCRIPTIONRENEWAL</t>
  </si>
  <si>
    <t>GSC2REN001</t>
  </si>
  <si>
    <t>GlobalSearch C2 Implementation Fee - Includes standard 2 hour configuration</t>
  </si>
  <si>
    <t>GSC2IMPFEE001</t>
  </si>
  <si>
    <t>GlobalSearch C2 Professional Services - 4 hour service block - User Experience Design</t>
  </si>
  <si>
    <t>GSC2PROSRV001</t>
  </si>
  <si>
    <t>GlobalSearch C2 Workflow Services - 4 hour service block - Workflow Process Design</t>
  </si>
  <si>
    <t>GSC2WRKFLO001</t>
  </si>
  <si>
    <t>Custom SQL Scripting (4 hour Increments) Maintenance &amp; Support</t>
  </si>
  <si>
    <t>S9SPROSRV006MS</t>
  </si>
  <si>
    <t>Square9 Global Search Premise</t>
  </si>
  <si>
    <t>02 Square 9 Purchase to Pay Solutions Bundle</t>
  </si>
  <si>
    <t>S9SP2P001</t>
  </si>
  <si>
    <t>Purchase to Pay Solution Bundle M&amp;S</t>
  </si>
  <si>
    <t>S9SP2P001MS</t>
  </si>
  <si>
    <t>03 Square 9 Hire to Retire Solutions Bundle</t>
  </si>
  <si>
    <t>S9SH2R001</t>
  </si>
  <si>
    <t>Hire to Retire Solution Bundle M&amp;S</t>
  </si>
  <si>
    <t>Hire to Retire Solution Bundle Maintenance &amp; Support</t>
  </si>
  <si>
    <t>S9SH2R001MS</t>
  </si>
  <si>
    <t>04 Professional Edition</t>
  </si>
  <si>
    <t>GlobalSearch Professional Edition License</t>
  </si>
  <si>
    <t>GlobalSearch Professional Edition License (Minimum of 3 for new configurations)</t>
  </si>
  <si>
    <t>GSPRO001</t>
  </si>
  <si>
    <t>GlobalSearch Professional Edition License (Minimum of 3 for new configurations) Maintenance &amp; Support</t>
  </si>
  <si>
    <t>GSPRO001MS</t>
  </si>
  <si>
    <t>05 Professional Edition Only Server Options</t>
  </si>
  <si>
    <t>Single Core Full Page OCR Engine</t>
  </si>
  <si>
    <t>GBLCAPFPO001</t>
  </si>
  <si>
    <t>Single Core Full Page OCR Engine M&amp;S</t>
  </si>
  <si>
    <t>Single Core Full Page OCR Engine Maintenance &amp; Support</t>
  </si>
  <si>
    <t>GBLCAPFPO001MS</t>
  </si>
  <si>
    <t>06 Corporate Edition</t>
  </si>
  <si>
    <t>SmartSearch Corporate Edition Server</t>
  </si>
  <si>
    <t>SSCORP001</t>
  </si>
  <si>
    <t>SmartSearch Corporate Edition Server M&amp;S</t>
  </si>
  <si>
    <t>SmartSearch Corporate Edition Server License Maintenance &amp; Support</t>
  </si>
  <si>
    <t>SSCORP001MS</t>
  </si>
  <si>
    <t>07 Options (Prof &amp; Corp Editions)</t>
  </si>
  <si>
    <t>Additional SmartSearch App Server (1)</t>
  </si>
  <si>
    <t>APPSRV001</t>
  </si>
  <si>
    <t>Additional SmartSearch App Server (1)M&amp;S</t>
  </si>
  <si>
    <t>Additional SmartSearch Application Server - Single Instance Maintenance &amp; Support</t>
  </si>
  <si>
    <t>APPSRV001MS</t>
  </si>
  <si>
    <t>CAPBAL001</t>
  </si>
  <si>
    <t>Capture Workflow Load Balance M&amp;S</t>
  </si>
  <si>
    <t>Capture Workflow Load Balance Utility Maintenance &amp; Support</t>
  </si>
  <si>
    <t>CAPBAL001MS</t>
  </si>
  <si>
    <t>GlobalCapture MFP Connector Pack</t>
  </si>
  <si>
    <t>GBLCAPMFP001</t>
  </si>
  <si>
    <t>GlobalCapture MFP Connector Pack Maintenance &amp; Support</t>
  </si>
  <si>
    <t>GBLCAPMFP001MS</t>
  </si>
  <si>
    <t>SSIMGXCHENT</t>
  </si>
  <si>
    <t>Image XChange - Enterprise License M&amp;S</t>
  </si>
  <si>
    <t>Image XChange - Enterprise License Maintenance &amp; Support</t>
  </si>
  <si>
    <t>SSIMGXCHENTMS</t>
  </si>
  <si>
    <t>08 GlobalSearch Web Options (Corp &amp; Prof Editions)</t>
  </si>
  <si>
    <t>GlobalSearch Web Edit Per Seat (1-50)</t>
  </si>
  <si>
    <t>GlobalSearch Web Edit License (1-50)</t>
  </si>
  <si>
    <t>GLOBALED001</t>
  </si>
  <si>
    <t>GlobalSearch Web Edit (1-50) M&amp;S</t>
  </si>
  <si>
    <t>GlobalSearch Web Edit License (1-50) Maintenance &amp; Support</t>
  </si>
  <si>
    <t>GLOBALED001MS</t>
  </si>
  <si>
    <t>GlobalSearch Read Only Per Seat (1-50)</t>
  </si>
  <si>
    <t>GlobalSearch Read Only License (1-50)</t>
  </si>
  <si>
    <t>GLOBALRO001</t>
  </si>
  <si>
    <t>GlobalSearch Read Only (1-50) M&amp;S</t>
  </si>
  <si>
    <t>GlobalSearch Read Only License (1-50) Maintenance &amp; Support</t>
  </si>
  <si>
    <t>GLOBALRO001MS</t>
  </si>
  <si>
    <t>10 QuickBooks Connections - (Corp &amp; Prof Editions)</t>
  </si>
  <si>
    <t>GlobalSearch Premise</t>
  </si>
  <si>
    <t>QuickLinks Maintenance &amp; Support</t>
  </si>
  <si>
    <t>S9QBC003MS</t>
  </si>
  <si>
    <r>
      <rPr>
        <vertAlign val="superscript"/>
        <sz val="10"/>
        <rFont val="Arial"/>
        <family val="2"/>
      </rPr>
      <t>1</t>
    </r>
    <r>
      <rPr>
        <sz val="10"/>
        <rFont val="Arial"/>
        <family val="2"/>
      </rPr>
      <t xml:space="preserve">*NEW* Square9 Global Search Premise Price page...MRz
</t>
    </r>
  </si>
  <si>
    <t>Square9_Global Capture Convey</t>
  </si>
  <si>
    <t>Convey All in One License - Single License Maintenance &amp; Support</t>
  </si>
  <si>
    <t>GBLCONVAIO001MS</t>
  </si>
  <si>
    <t>Software</t>
  </si>
  <si>
    <t>Convey All in One License - Single License</t>
  </si>
  <si>
    <t>GBLCONVAIO001</t>
  </si>
  <si>
    <t xml:space="preserve">RSA WebCRD </t>
  </si>
  <si>
    <t>(A) RSA Hardware &amp; Maintenance</t>
  </si>
  <si>
    <t>PREMIUM PRODUCTION TOWER SRVR</t>
  </si>
  <si>
    <t>Premium Production Rack Server</t>
  </si>
  <si>
    <r>
      <t>7640004740</t>
    </r>
    <r>
      <rPr>
        <vertAlign val="superscript"/>
        <sz val="10"/>
        <rFont val="Arial"/>
        <family val="2"/>
      </rPr>
      <t>2</t>
    </r>
  </si>
  <si>
    <t>PREMIUM PROD RACK SRVR: 1YR 1X5 MNT</t>
  </si>
  <si>
    <t>Premium Production Rack Server - 1x5 Premium Support</t>
  </si>
  <si>
    <t>7640004741</t>
  </si>
  <si>
    <t>PREMIUM PROD RACK SRVR: 1YR 3X7 MNT</t>
  </si>
  <si>
    <t>Premium Production Rack Server - 3x7 Platinum Support</t>
  </si>
  <si>
    <t>7640004742</t>
  </si>
  <si>
    <t>ENTERPRISE RACK SRVR</t>
  </si>
  <si>
    <t>Enterprise Rack Server</t>
  </si>
  <si>
    <r>
      <t>7640004743</t>
    </r>
    <r>
      <rPr>
        <vertAlign val="superscript"/>
        <sz val="10"/>
        <rFont val="Arial"/>
        <family val="2"/>
      </rPr>
      <t>3</t>
    </r>
  </si>
  <si>
    <t>ENTERPRISE RACK SRVR: 1YR 1X5 MNT</t>
  </si>
  <si>
    <t>Enterprise Rack Server - 1x5 Premium Support</t>
  </si>
  <si>
    <t>7640004744</t>
  </si>
  <si>
    <t>ENTERPRISE RACK SRVR: 1YR 3X7 MNT</t>
  </si>
  <si>
    <t>Enterprise Rack Server - 3x7 Platinum Support</t>
  </si>
  <si>
    <t>7640004745</t>
  </si>
  <si>
    <t>PREMIUM PRODUCTION Tower SRVR</t>
  </si>
  <si>
    <t>Premium Production Tower Server</t>
  </si>
  <si>
    <r>
      <t>7640005045</t>
    </r>
    <r>
      <rPr>
        <vertAlign val="superscript"/>
        <sz val="10"/>
        <rFont val="Arial"/>
        <family val="2"/>
      </rPr>
      <t>4</t>
    </r>
  </si>
  <si>
    <t>PREMIUM PROD TOWER SRVR: 1YR 1X5 MNT</t>
  </si>
  <si>
    <t>Premium Production Tower Server - 1x5 Premium Support</t>
  </si>
  <si>
    <t>7640005046</t>
  </si>
  <si>
    <t>PREMIUM PROD TOWER SRVR: 1YR 3X7 MNT</t>
  </si>
  <si>
    <t>Premium Production Tower Server - 3x7 Platinum Support</t>
  </si>
  <si>
    <t>7640005047</t>
  </si>
  <si>
    <t>(B) RSA Freight &amp; Handling</t>
  </si>
  <si>
    <t>FREIGHT &amp; HANDLING - US: (PER SRVR)</t>
  </si>
  <si>
    <t>Freight &amp; Handling - U.S. (Per Server)</t>
  </si>
  <si>
    <t>7640004718</t>
  </si>
  <si>
    <t>(C) RSA Main Software &amp; Maintenance</t>
  </si>
  <si>
    <t>WEBCRD ENTERPRISE SYSTEM LIC</t>
  </si>
  <si>
    <r>
      <t>7640004890</t>
    </r>
    <r>
      <rPr>
        <vertAlign val="superscript"/>
        <sz val="10"/>
        <rFont val="Arial"/>
        <family val="2"/>
      </rPr>
      <t>5</t>
    </r>
  </si>
  <si>
    <t>WEBCRD ENTERPRISE SYS LIC: 1YR 1X5 MNT</t>
  </si>
  <si>
    <t>7640004891</t>
  </si>
  <si>
    <t>WEBCRD ENTERPRISE SYS LIC: 1YR 3X7 MNT</t>
  </si>
  <si>
    <t>7640004892</t>
  </si>
  <si>
    <t>WEBCRD BASE LIC</t>
  </si>
  <si>
    <r>
      <t>7640004893</t>
    </r>
    <r>
      <rPr>
        <vertAlign val="superscript"/>
        <sz val="10"/>
        <rFont val="Arial"/>
        <family val="2"/>
      </rPr>
      <t>6</t>
    </r>
  </si>
  <si>
    <t>WEBCRD BASE LIC: 1YR 1X5 MNT</t>
  </si>
  <si>
    <t>7640004894</t>
  </si>
  <si>
    <t>WEBCRD BASE LIC: 1YR 3X7 MNT</t>
  </si>
  <si>
    <t>7640004895</t>
  </si>
  <si>
    <t>WEBCRD PRO (INCLUDES 2 PDEFS)</t>
  </si>
  <si>
    <r>
      <t>7640004896</t>
    </r>
    <r>
      <rPr>
        <vertAlign val="superscript"/>
        <sz val="10"/>
        <rFont val="Arial"/>
        <family val="2"/>
      </rPr>
      <t>7</t>
    </r>
  </si>
  <si>
    <t>WEBCRD PRO: 1YR 1X5 MNT</t>
  </si>
  <si>
    <t>7640004897</t>
  </si>
  <si>
    <t>WEBCRD PRO: 1YR 3X7 MNT</t>
  </si>
  <si>
    <t>7640004898</t>
  </si>
  <si>
    <t>UPGD WEBCRD BASE LIC 2 PRO LIC</t>
  </si>
  <si>
    <t>7640007625</t>
  </si>
  <si>
    <t>UPGD WEBCRD BASE LIC 2 PRO: 1YR 1X5 MNT</t>
  </si>
  <si>
    <t>7640007626</t>
  </si>
  <si>
    <t>UPGD WEBCRD BASE LIC 2 PRO: 1YR 3X7 MNT</t>
  </si>
  <si>
    <t>7640007627</t>
  </si>
  <si>
    <t>(D) RSA Software Options &amp; Maintenance</t>
  </si>
  <si>
    <t>WEBCRD ADDITIONAL PDEF (PER PRT DEF)</t>
  </si>
  <si>
    <t>7640004899</t>
  </si>
  <si>
    <t>WEBCRD ADDITIONAL PDEF: 1YR 1X5 MNT</t>
  </si>
  <si>
    <t>7640004900</t>
  </si>
  <si>
    <t>WEBCRD ADDITIONAL PDEF: 1YR 3X7 MNT</t>
  </si>
  <si>
    <t>7640004901</t>
  </si>
  <si>
    <t>WEBCRD CENTRALPDF LIC: 1YR 1X5 MNT</t>
  </si>
  <si>
    <t>7640004903</t>
  </si>
  <si>
    <t>WEBCRD CENTRALPDF LIC: 1YR 3X7 MNT</t>
  </si>
  <si>
    <t>7640004904</t>
  </si>
  <si>
    <t>WEBCRD SUREPDF LIC (UP TO 5 PRT CENTERS)</t>
  </si>
  <si>
    <t>7640004905</t>
  </si>
  <si>
    <t>WEBCRD SUREPDF LIC: 1YR 1X5 MNT</t>
  </si>
  <si>
    <t>7640004906</t>
  </si>
  <si>
    <t>WEBCRD SUREPDF LIC: 1YR 3X7 MNT</t>
  </si>
  <si>
    <t>7640004907</t>
  </si>
  <si>
    <t xml:space="preserve">WEBCRD BASIC AUTH MODULE (LDAP)  </t>
  </si>
  <si>
    <t>7640004914</t>
  </si>
  <si>
    <t xml:space="preserve">WEBCRD BASIC AUTH MODULE ANNUAL 1X5 MNT  </t>
  </si>
  <si>
    <t>7640004915</t>
  </si>
  <si>
    <t xml:space="preserve">WEBCRD BASIC AUTH MODULE ANNUAL 3x7 MNT  </t>
  </si>
  <si>
    <t>7640004916</t>
  </si>
  <si>
    <t>WEBCRD CREDIT CARD MODULE</t>
  </si>
  <si>
    <t>7640004917</t>
  </si>
  <si>
    <t>WEBCRD CREDIT CARD MODULE: 1YR 1X5 MNT</t>
  </si>
  <si>
    <t>7640004918</t>
  </si>
  <si>
    <t>WEBCRD CREDIT CARD MODULE: 1YR 3X7 MNT</t>
  </si>
  <si>
    <t>7640004919</t>
  </si>
  <si>
    <t>WEBCRD ADDL SITE LIC (PER ADDL SITE)</t>
  </si>
  <si>
    <t>7640004923</t>
  </si>
  <si>
    <t>WEBCRD ADDL SITE LIC: 1YR 1X5 MNT</t>
  </si>
  <si>
    <t>7640004924</t>
  </si>
  <si>
    <t>WEBCRD ADDL SITE LIC: 1YR 3X7 MNT</t>
  </si>
  <si>
    <t>7640004925</t>
  </si>
  <si>
    <t>WEBCRD AJCE (ADV JOB COST EST) MODULE</t>
  </si>
  <si>
    <t>7640004927</t>
  </si>
  <si>
    <t>WEBCRD AJCE MODULE: 1YR 1X5 MNT</t>
  </si>
  <si>
    <t>7640004928</t>
  </si>
  <si>
    <t>WEBCRD AJCE MODULE: 1YR 3X7 MNT</t>
  </si>
  <si>
    <t>7640004929</t>
  </si>
  <si>
    <t>WEBCRD AUTOSTOCK MODULE</t>
  </si>
  <si>
    <t>7640004930</t>
  </si>
  <si>
    <t>WEBCRD AUTOSTOCK MODULE: 1YR 1X5 MNT</t>
  </si>
  <si>
    <t>7640004931</t>
  </si>
  <si>
    <t>WEBCRD AUTOSTOCK MODULE: 1YR 3X7 MNT</t>
  </si>
  <si>
    <t>7640004932</t>
  </si>
  <si>
    <t>WEBCRD ANALYTICS MODULE: 1YR 1X5 MNT</t>
  </si>
  <si>
    <t>7640004938</t>
  </si>
  <si>
    <t>WEBCRD ANALYTICS MODULE: 1YR 3X7 MNT</t>
  </si>
  <si>
    <t>7640004939</t>
  </si>
  <si>
    <t>WEBCRD MULTILINGUAL MODULE</t>
  </si>
  <si>
    <t>7640004941</t>
  </si>
  <si>
    <t>WEBCRD MULTILING MODULE: 1YR 1X5 MNT</t>
  </si>
  <si>
    <t>7640004942</t>
  </si>
  <si>
    <t>WEBCRD MULTILING MODULE: 1YR 3X7 MNT</t>
  </si>
  <si>
    <t>7640004943</t>
  </si>
  <si>
    <t xml:space="preserve">WEBCRD BACKUP/DR/UAT LIC  </t>
  </si>
  <si>
    <t>7640004944</t>
  </si>
  <si>
    <t xml:space="preserve">WEBCRD BACKUP/DR/UAT LIC ANNUAL 1X5 MNT  </t>
  </si>
  <si>
    <t>7640004945</t>
  </si>
  <si>
    <t xml:space="preserve">WEBCRD BACKUP/DR/UAT LIC ANNUAL 3X7 MNT  </t>
  </si>
  <si>
    <t>7640004946</t>
  </si>
  <si>
    <t>WEBCRD DYNAMICS MODULE</t>
  </si>
  <si>
    <r>
      <t>7640005204</t>
    </r>
    <r>
      <rPr>
        <vertAlign val="superscript"/>
        <sz val="10"/>
        <rFont val="Arial"/>
        <family val="2"/>
      </rPr>
      <t>8</t>
    </r>
  </si>
  <si>
    <t>WEBCRD DYNAMICS MODULE: 1YR 1X5 MNT</t>
  </si>
  <si>
    <t>7640005205</t>
  </si>
  <si>
    <t>WEBCRD DYNAMICS MODULE: 1YR 3X7 MNT</t>
  </si>
  <si>
    <t>7640005206</t>
  </si>
  <si>
    <t xml:space="preserve">WEBCRD SUREPDF CLIENT LICENSE ANNUAL FEE  </t>
  </si>
  <si>
    <t>7640007628</t>
  </si>
  <si>
    <t>FUSION PRO DESIGNER LICENSES (5-PACK)</t>
  </si>
  <si>
    <t>7640008192</t>
  </si>
  <si>
    <t>FUSION PRO DESIGNER LIC: 1YR 1X5 MNT</t>
  </si>
  <si>
    <t>7640008193</t>
  </si>
  <si>
    <t>FUSION PRO DESIGNER LIC: 1YR 3X7 MNT</t>
  </si>
  <si>
    <t>7640008194</t>
  </si>
  <si>
    <t>WEBCRD OD PROD MODULE: ANNUAL FEE</t>
  </si>
  <si>
    <t>7640017629</t>
  </si>
  <si>
    <t>WEBCRD OD DYN DT MODULE: ANNUAL FEE</t>
  </si>
  <si>
    <t>7640017630</t>
  </si>
  <si>
    <t>WEBCRD OD PRINT MIS PKG: ANNUAL FEE</t>
  </si>
  <si>
    <t>7640017631</t>
  </si>
  <si>
    <t xml:space="preserve">WEBCRD OD BOOK ASSY MODULE: ANNUAL FEE </t>
  </si>
  <si>
    <t xml:space="preserve">WebCRD OnDemand Book Assembly Module - Annual Fee </t>
  </si>
  <si>
    <t>7640017632</t>
  </si>
  <si>
    <t>WEBCRD OD ADD 100 GB STORAGE: ANNUAL FEE</t>
  </si>
  <si>
    <t>7640017633</t>
  </si>
  <si>
    <t>WEBCRD OD ADD 1 CPU: ANNUAL FEE</t>
  </si>
  <si>
    <t>7640017634</t>
  </si>
  <si>
    <t>WEBCRD OD ADD 1 GB RAM: ANNUAL FEE</t>
  </si>
  <si>
    <t>7640017635</t>
  </si>
  <si>
    <t>VIRTUAL SERVER IMAGE</t>
  </si>
  <si>
    <r>
      <t>7640017640</t>
    </r>
    <r>
      <rPr>
        <vertAlign val="superscript"/>
        <sz val="10"/>
        <rFont val="Arial"/>
        <family val="2"/>
      </rPr>
      <t>9</t>
    </r>
  </si>
  <si>
    <t>VIRTUAL SERVER IMAGE: 1YR 1X5 MNT</t>
  </si>
  <si>
    <t>7640017641</t>
  </si>
  <si>
    <t>VIRTUAL SERVER IMAGE : 1YR 3X7 MNT</t>
  </si>
  <si>
    <t>7640017642</t>
  </si>
  <si>
    <t>WEBCRD CTRLPDF OFFICE LIC (REQUIRES PC)</t>
  </si>
  <si>
    <t>7640017646</t>
  </si>
  <si>
    <t>WEBCRD CTRLPDF OFFICE LIC: 1YR 1X5 MNT</t>
  </si>
  <si>
    <t>7640017647</t>
  </si>
  <si>
    <t>WEBCRD CTRLPDF OFFICE LIC: 1YR 3X7 MNT</t>
  </si>
  <si>
    <t>7640017648</t>
  </si>
  <si>
    <t>WEBCRD DYN DT: REQ PC &amp; FUSIONPRO DESKTP</t>
  </si>
  <si>
    <t>7640017650</t>
  </si>
  <si>
    <t>WEBCRD DYN DT MOD: 1YR 1X5 MNT</t>
  </si>
  <si>
    <t>7640017651</t>
  </si>
  <si>
    <t>WEBCRD DYN DT MOD: 1YR 3X7 MNT</t>
  </si>
  <si>
    <t>7640017652</t>
  </si>
  <si>
    <t>FUSION PRO VDP CREATOR: 1 LIC</t>
  </si>
  <si>
    <t>7640017654</t>
  </si>
  <si>
    <t>FUSIONPRO VDP CREATOR: 1YR 1X5 MNT</t>
  </si>
  <si>
    <t>7640017655</t>
  </si>
  <si>
    <t>FUSIONPRO VDP CREATOR: 1YR 3X7 MNT</t>
  </si>
  <si>
    <t>7640017656</t>
  </si>
  <si>
    <t>WEBCRD BOOK ASSEMBLY MODULE</t>
  </si>
  <si>
    <t>7640017657</t>
  </si>
  <si>
    <t>WEBCRD BOOK ASSEMBLY MODULE: 1YR 1X5 MNT</t>
  </si>
  <si>
    <t>7640017658</t>
  </si>
  <si>
    <t>WEBCRD BOOK ASSEMBLY MODULE: 1YR 3X7 MNT</t>
  </si>
  <si>
    <t>7640017659</t>
  </si>
  <si>
    <t>WEBCRD PRINT MIS PACKAGE</t>
  </si>
  <si>
    <t>7640017661</t>
  </si>
  <si>
    <t>WEBCRD PRINT MIS PACKAGE: 1YR 1X5 MNT</t>
  </si>
  <si>
    <t>7640017662</t>
  </si>
  <si>
    <t>7640017663</t>
  </si>
  <si>
    <t xml:space="preserve">WEBCRD ADVANCED AUTHENTICATION MODULE  </t>
  </si>
  <si>
    <t xml:space="preserve">WEBCRD ADV AUTH MOD ANNUAL 1X5 MNT  </t>
  </si>
  <si>
    <t xml:space="preserve">WEBCRD ADV AUTH MOD ANNUAL 3X7 MNT  </t>
  </si>
  <si>
    <t>WEBCRD CXML INTERFACE</t>
  </si>
  <si>
    <t xml:space="preserve">WEBCRD CXML INTERFACE ANNUAL 1X5 MNT  </t>
  </si>
  <si>
    <t xml:space="preserve">WEBCRD CXML INTERFACE ANNUAL 3X7 MNT  </t>
  </si>
  <si>
    <t>(E) RSA Professional Services &amp; Training</t>
  </si>
  <si>
    <t>PROFESSIONAL SERVICES (VARIABLE)</t>
  </si>
  <si>
    <t>7640004794</t>
  </si>
  <si>
    <t>PROF SVCS: ONSITE 1 DAY INC TVL TM &amp; EXP</t>
  </si>
  <si>
    <t>7640004795</t>
  </si>
  <si>
    <t>PROF SVCS ADDL DAY: ALREADY ON-SITE</t>
  </si>
  <si>
    <t>7640004796</t>
  </si>
  <si>
    <t>PROF SVCS DAILY RATE (OFF-SITE)</t>
  </si>
  <si>
    <t>7640004797</t>
  </si>
  <si>
    <t>REMOTE CONFIGURATION - INSTALLATION FEESTAL &amp; TRAINING</t>
  </si>
  <si>
    <t>Remote Configuration and Installation Fee</t>
  </si>
  <si>
    <t>7640004798</t>
  </si>
  <si>
    <t>WEBCRD ADD SITE LIC-REMOTE INSTALL</t>
  </si>
  <si>
    <t xml:space="preserve">WebCRD Additional Site License - Remote Installation </t>
  </si>
  <si>
    <t>7640004926</t>
  </si>
  <si>
    <t>WEBCRD AUTOSTOCK IMPLEMENTATION FEE</t>
  </si>
  <si>
    <t>7640004933</t>
  </si>
  <si>
    <t>WEBCRD BASE LICENSE: REMOTE INST &amp; TRNG</t>
  </si>
  <si>
    <t>7640005048</t>
  </si>
  <si>
    <t>WEBCRD DYNAMICS DT MOD-REMOTE INSTALL</t>
  </si>
  <si>
    <t xml:space="preserve">WebCRD Dynamics Desktop Module - Remote Installation </t>
  </si>
  <si>
    <t>7640005207</t>
  </si>
  <si>
    <t>WEBCRD BASE - REMOTE INSTALLATION</t>
  </si>
  <si>
    <t>WebCRD Base - Remote Installation</t>
  </si>
  <si>
    <t>7640007621</t>
  </si>
  <si>
    <t>WEBCRD PRO - REMOTE INSTALLATION</t>
  </si>
  <si>
    <t>WebCRD Pro - Remote Installation</t>
  </si>
  <si>
    <t>7640007622</t>
  </si>
  <si>
    <t>UPGD WEBCRD BASE 2 PRO RMT INST&amp;TRNG FEE</t>
  </si>
  <si>
    <t>7640007623</t>
  </si>
  <si>
    <t>WEBCRD: REINTEGRATION FEE</t>
  </si>
  <si>
    <t>7640007624</t>
  </si>
  <si>
    <t>WEBCRD SUREPDF CLIENT LIC IMPL FEE</t>
  </si>
  <si>
    <t>7640007631</t>
  </si>
  <si>
    <t xml:space="preserve">WEBCRD BASIC AUTH MODULE IMPLEMENT FEE  </t>
  </si>
  <si>
    <t>7640007632</t>
  </si>
  <si>
    <t>WEBCRD CREDIT CARD MOD: IMPL FEE</t>
  </si>
  <si>
    <t>7640007633</t>
  </si>
  <si>
    <t>WEBCRD AJCE MOD: IMPL FEE</t>
  </si>
  <si>
    <t>7640007634</t>
  </si>
  <si>
    <t>REMOTE IMPLEMENTATION FEE</t>
  </si>
  <si>
    <t>7640017643</t>
  </si>
  <si>
    <t>CUST-SPLD SVR SETUP W/1-WAY STD SHIPPING</t>
  </si>
  <si>
    <t>7640017644</t>
  </si>
  <si>
    <t>REMOTE ACCESS SURCHARGE (VARIABLE)</t>
  </si>
  <si>
    <t>7640017645</t>
  </si>
  <si>
    <t>WEBCRD CTRLPDF OFFICE LIC: IMPLEMENT FEE</t>
  </si>
  <si>
    <t>7640017649</t>
  </si>
  <si>
    <t>WEBCRD DYN DT MOD: REM INST &amp; TRN FEE</t>
  </si>
  <si>
    <t>7640017653</t>
  </si>
  <si>
    <t>WEBCRD BOOK ASSEMBLY MODULE: IMPLMNT FEE</t>
  </si>
  <si>
    <t>7640017660</t>
  </si>
  <si>
    <t>WEBCRD PRINT MIS PACKAGE: IMPLMNT FEE</t>
  </si>
  <si>
    <t>7640017664</t>
  </si>
  <si>
    <t>WEBCRD PRO ENTERPRISE- REMOTE INSTALL</t>
  </si>
  <si>
    <t xml:space="preserve">WebCRD Pro Enterprise - Remote Installation </t>
  </si>
  <si>
    <t>WCRD1109</t>
  </si>
  <si>
    <r>
      <rPr>
        <vertAlign val="superscript"/>
        <sz val="10"/>
        <rFont val="Arial"/>
        <family val="2"/>
      </rPr>
      <t>1</t>
    </r>
    <r>
      <rPr>
        <sz val="10"/>
        <rFont val="Arial"/>
        <family val="2"/>
      </rPr>
      <t>All RSA sales orders will require a Statement of Work, signed by RSA, the Dealer, Konica Minolta Representative, and the Customer.  The signed SOW must be submitted with the sales order to Konica Minolta Wholesale Dealer Support.&lt;br /&gt;All WebCRD Hardware, Hardware Options, Main Software, or Software Options require the purchase of the corresponding 1x5 OR 3x7 annual maintenance.</t>
    </r>
  </si>
  <si>
    <r>
      <rPr>
        <vertAlign val="superscript"/>
        <sz val="10"/>
        <rFont val="Arial"/>
        <family val="2"/>
      </rPr>
      <t>2</t>
    </r>
    <r>
      <rPr>
        <sz val="10"/>
        <rFont val="Arial"/>
        <family val="2"/>
      </rPr>
      <t>Each server requires the purchase of Freight &amp; Handling, Item 7640004718.</t>
    </r>
  </si>
  <si>
    <r>
      <rPr>
        <vertAlign val="superscript"/>
        <sz val="10"/>
        <rFont val="Arial"/>
        <family val="2"/>
      </rPr>
      <t>3</t>
    </r>
    <r>
      <rPr>
        <sz val="10"/>
        <rFont val="Arial"/>
        <family val="2"/>
      </rPr>
      <t>Each server requires the purchase of Freight &amp; Handling, Item 7640004718.</t>
    </r>
  </si>
  <si>
    <r>
      <rPr>
        <vertAlign val="superscript"/>
        <sz val="10"/>
        <rFont val="Arial"/>
        <family val="2"/>
      </rPr>
      <t>4</t>
    </r>
    <r>
      <rPr>
        <sz val="10"/>
        <rFont val="Arial"/>
        <family val="2"/>
      </rPr>
      <t>Each server requires the purchase of Freight &amp; Handling, Item 7640004718.</t>
    </r>
  </si>
  <si>
    <r>
      <rPr>
        <vertAlign val="superscript"/>
        <sz val="10"/>
        <rFont val="Arial"/>
        <family val="2"/>
      </rPr>
      <t>5</t>
    </r>
    <r>
      <rPr>
        <sz val="10"/>
        <rFont val="Arial"/>
        <family val="2"/>
      </rPr>
      <t>The WebCRD Pro License, Item 7640004893 and WebCRD Enterprise System License, Item 7640004890, require the purchase of Standard Implementation - Remote Installation &amp; Training, Item 7640004798.</t>
    </r>
  </si>
  <si>
    <r>
      <rPr>
        <vertAlign val="superscript"/>
        <sz val="10"/>
        <rFont val="Arial"/>
        <family val="2"/>
      </rPr>
      <t>6</t>
    </r>
    <r>
      <rPr>
        <sz val="10"/>
        <rFont val="Arial"/>
        <family val="2"/>
      </rPr>
      <t>The WebCRD Base License, Item 7640004893 requires the purchase of WebCRD Base License - Remote Installation &amp; Training, Item 7640005048.</t>
    </r>
  </si>
  <si>
    <r>
      <rPr>
        <vertAlign val="superscript"/>
        <sz val="10"/>
        <rFont val="Arial"/>
        <family val="2"/>
      </rPr>
      <t>7</t>
    </r>
    <r>
      <rPr>
        <sz val="10"/>
        <rFont val="Arial"/>
        <family val="2"/>
      </rPr>
      <t>The WebCRD Pro License, Item 7640004893 and WebCRD Enterprise System License, Item 7640004890, require the purchase of Standard Implementation - Remote Installation &amp; Training, Item 7640004798.</t>
    </r>
  </si>
  <si>
    <r>
      <rPr>
        <vertAlign val="superscript"/>
        <sz val="10"/>
        <rFont val="Arial"/>
        <family val="2"/>
      </rPr>
      <t>8</t>
    </r>
    <r>
      <rPr>
        <sz val="10"/>
        <rFont val="Arial"/>
        <family val="2"/>
      </rPr>
      <t>The WebCRD Dynamics requires the WebCRD Dynamics Implementation Fee, item 7640005207.</t>
    </r>
  </si>
  <si>
    <r>
      <rPr>
        <vertAlign val="superscript"/>
        <sz val="10"/>
        <rFont val="Arial"/>
        <family val="2"/>
      </rPr>
      <t>9</t>
    </r>
    <r>
      <rPr>
        <sz val="10"/>
        <rFont val="Arial"/>
        <family val="2"/>
      </rPr>
      <t>Please contact your RSA Business Development Manager for details on the Virtual Server Image.</t>
    </r>
  </si>
  <si>
    <t>AccurioPro Cloud Eye</t>
  </si>
  <si>
    <r>
      <t>ACCURIOPRO_CLOUD_EYE</t>
    </r>
    <r>
      <rPr>
        <vertAlign val="superscript"/>
        <sz val="10"/>
        <rFont val="Arial"/>
        <family val="2"/>
      </rPr>
      <t>1</t>
    </r>
  </si>
  <si>
    <t>Subscriptions</t>
  </si>
  <si>
    <t>ACCURIOPRO CLOUD EYE STANDARD LIC-1Y(5T)</t>
  </si>
  <si>
    <t>AccurioPro Cloud Eye standard license 1 year (includes 5 tracking)</t>
  </si>
  <si>
    <t>AACH0Y3</t>
  </si>
  <si>
    <t>ACCURIOPRO CLOUD EYE ADD TRACKING LIC-1Y</t>
  </si>
  <si>
    <t>AccurioPro Cloud Eye 1 additional tracking license 1 year</t>
  </si>
  <si>
    <t>AACH0Y4</t>
  </si>
  <si>
    <t>AccurioPro Conductor</t>
  </si>
  <si>
    <r>
      <t>AA2N0Y1</t>
    </r>
    <r>
      <rPr>
        <vertAlign val="superscript"/>
        <sz val="10"/>
        <rFont val="Arial"/>
        <family val="2"/>
      </rPr>
      <t>1</t>
    </r>
  </si>
  <si>
    <t>ACCURIOPRO CONDUCTOR ANNUAL SUPPORT</t>
  </si>
  <si>
    <t>AccurioPro Conductor Annual Support</t>
  </si>
  <si>
    <t>7640020160</t>
  </si>
  <si>
    <t>Upgrades</t>
  </si>
  <si>
    <t>ACCURIOPRO CONDUCTOR UPGRADE</t>
  </si>
  <si>
    <t>AccurioPro Conductor upgrade from PrintGroove POD Queue</t>
  </si>
  <si>
    <t>AA2N0Y3</t>
  </si>
  <si>
    <r>
      <rPr>
        <vertAlign val="superscript"/>
        <sz val="10"/>
        <rFont val="Arial"/>
        <family val="2"/>
      </rPr>
      <t>1</t>
    </r>
    <r>
      <rPr>
        <sz val="10"/>
        <rFont val="Arial"/>
        <family val="2"/>
      </rPr>
      <t>&lt;p&gt;&lt;font color="red"&gt;DELIVERY:&lt;/font&gt;&lt;br /&gt;A valid customer email address is mandatory for license - electronic delivery. &lt;/p&gt;&lt;p&gt;&lt;font color="red"&gt;NOTES:&lt;/font&gt;&lt;br /&gt;&lt;b&gt;A signed SOW is recommended.&lt;/b&gt;&lt;br /&gt;Recommend 2 - 3 days onsite site to install, configure and customer training by Dealer &lt;/p&gt;&lt;p&gt;&lt;b&gt;Software download&lt;/b&gt;&lt;br /&gt;You can download the latest software from MyKMBS;   &gt; Service&lt;br /&gt;        &gt; OneStop Product Support&lt;br /&gt;           &gt; Category: "Solutions"&lt;br /&gt;               &gt; Select a Product: AccurioPro Conductor&lt;br /&gt;&lt;/p&gt;&lt;p&gt;&lt;b&gt;Upgrade&lt;/b&gt;Upgrade from PrintGroove POD Queue requires upgrade (AA2N0Y3)  plus support (7640020160) and professional services by the Dealer &lt;/p&gt;&lt;p&gt;&lt;b&gt;KMBS Training for Install and Configuration&lt;/b&gt;&lt;br /&gt;Online AccurioPro Conductor Technical Overview available on MyKMBS learning. ONLINE TAPC_WBT - This course provides an overview of the AccurioPro Conductor User and Administrator Operations, including installation. Downloadable Guides available on training site:&lt;br /&gt;User Guide&lt;br /&gt;Administration User Guide&lt;br /&gt;Quick Install Guide&lt;br /&gt;&lt;p&gt;&lt;b&gt;Customer Support&lt;/b&gt;Tier 1 –Dealer &lt;br /&gt;Tier 2 – SSD will support trained Dealers (See Training above) &lt;br /&gt;&lt;/p&gt;&lt;p&gt;&lt;b&gt;The following information must be included on all orders:&lt;/b&gt;&lt;br /&gt;Company Name &lt;br /&gt;Company Address&lt;br /&gt;Primary contact &lt;br /&gt;Primary telephone number &lt;br /&gt;Primary email &lt;br /&gt;Secondary contact &lt;br /&gt;Secondary  telephone number &lt;br /&gt;Secondary email &lt;br /&gt;Sales Consultant Name &lt;br /&gt;Sales Consultant email &lt;br /&gt;&lt;/p&gt;</t>
    </r>
  </si>
  <si>
    <t>AccurioPro Connect 1 Year Maint Bundle</t>
  </si>
  <si>
    <r>
      <t>7640020710</t>
    </r>
    <r>
      <rPr>
        <vertAlign val="superscript"/>
        <sz val="10"/>
        <rFont val="Arial"/>
        <family val="2"/>
      </rPr>
      <t>1</t>
    </r>
  </si>
  <si>
    <t>AccurioPro Connect: Maintenance Reactivation Key</t>
  </si>
  <si>
    <t>7640020227</t>
  </si>
  <si>
    <t>AccurioPro Connect Software Maintenance (1 yr.)</t>
  </si>
  <si>
    <t>7640020228</t>
  </si>
  <si>
    <t>AccurioPro Connect Software Maintenance (3 yr.)</t>
  </si>
  <si>
    <t>7640020229</t>
  </si>
  <si>
    <t>AccurioPro Connect Software Maintenance (5 yr.)</t>
  </si>
  <si>
    <t>7640020230</t>
  </si>
  <si>
    <t>AccurioPro Connect Book Builder</t>
  </si>
  <si>
    <t>7640020231</t>
  </si>
  <si>
    <t>AccurioPro Connect Connectivity</t>
  </si>
  <si>
    <t>7640020232</t>
  </si>
  <si>
    <t>AccurioPro Connect Power Tools</t>
  </si>
  <si>
    <t>7640020233</t>
  </si>
  <si>
    <t>AccurioPro Connect Flux Connector</t>
  </si>
  <si>
    <t>7640020234</t>
  </si>
  <si>
    <t>AccurioPro Connect Upgrade</t>
  </si>
  <si>
    <t>7640020235</t>
  </si>
  <si>
    <t>AccurioPro Connect BookBuild Main. 1 yr.</t>
  </si>
  <si>
    <t>7640020236</t>
  </si>
  <si>
    <t>AccurioPro Connect BookBuild Main. 3 yr.</t>
  </si>
  <si>
    <t>7640020237</t>
  </si>
  <si>
    <t>AccurioPro Connect BookBuild Main. 5 yr.</t>
  </si>
  <si>
    <t>7640020238</t>
  </si>
  <si>
    <t>AccurioPro Connect Connectivity Main.1yr</t>
  </si>
  <si>
    <t>7640020239</t>
  </si>
  <si>
    <t>AccurioPro Connect Connectivity Main.3yr</t>
  </si>
  <si>
    <t>7640020240</t>
  </si>
  <si>
    <t>AccurioPro Connect Connectivity Main.5yr</t>
  </si>
  <si>
    <t>7640020241</t>
  </si>
  <si>
    <t>AccurioPro Connect Power Tools Main.1 yr</t>
  </si>
  <si>
    <t>7640020242</t>
  </si>
  <si>
    <t>AccurioPro Connect Power Tools Main.3 yr</t>
  </si>
  <si>
    <t>7640020243</t>
  </si>
  <si>
    <t>AccurioPro Connect Power Tools Main.5 yr</t>
  </si>
  <si>
    <t>7640020244</t>
  </si>
  <si>
    <t>AccurioPro Connect Flux Main.1 yr</t>
  </si>
  <si>
    <t>7640020245</t>
  </si>
  <si>
    <t>AccurioPro Connect Flux Main.3 yr</t>
  </si>
  <si>
    <t>7640020246</t>
  </si>
  <si>
    <t>AccurioPro Connect Flux Main.5 yr</t>
  </si>
  <si>
    <t>7640020247</t>
  </si>
  <si>
    <t>AccurioPro Connect Upgrade SW Maint.1 yr</t>
  </si>
  <si>
    <t>7640020248</t>
  </si>
  <si>
    <t>AccurioPro Connect Upgrade SW Maint.3 yr</t>
  </si>
  <si>
    <t>7640020249</t>
  </si>
  <si>
    <t>AccurioPro Connect Upgrade SW Maint.5 yr</t>
  </si>
  <si>
    <t>7640020250</t>
  </si>
  <si>
    <t>KMBS Basic Install and Training for APC</t>
  </si>
  <si>
    <t>7640020300</t>
  </si>
  <si>
    <t>KMBS Advanced Training for APC</t>
  </si>
  <si>
    <t>7640020301</t>
  </si>
  <si>
    <r>
      <rPr>
        <vertAlign val="superscript"/>
        <sz val="10"/>
        <rFont val="Arial"/>
        <family val="2"/>
      </rPr>
      <t>1</t>
    </r>
    <r>
      <rPr>
        <sz val="10"/>
        <rFont val="Arial"/>
        <family val="2"/>
      </rPr>
      <t xml:space="preserve">01/25/2019 Per Catherine Brill, Item #7640020710 replaced Item #7640020226.
</t>
    </r>
  </si>
  <si>
    <t>Optional VBS Offerings</t>
  </si>
  <si>
    <t>PROFESSIONAL SERVICES</t>
  </si>
  <si>
    <t>EQUIPMENT MOVE</t>
  </si>
  <si>
    <t>EQUIPMENT MOVE/INSTALL with STAIRCLIMBER</t>
  </si>
  <si>
    <t>HP Mobile/ Security Solutions</t>
  </si>
  <si>
    <t>HP ROAM FOR BUSINESS, 1 Yr</t>
  </si>
  <si>
    <t>LICENSE FEE PER DEVICE</t>
  </si>
  <si>
    <t>4HH57AAE</t>
  </si>
  <si>
    <t>HP ROAM FOR BUSINESS, 3 Yr</t>
  </si>
  <si>
    <t>4HH58AAE</t>
  </si>
  <si>
    <t>HP ROAM FOR BUSINESS, 4 Yr</t>
  </si>
  <si>
    <t>4HH59AAE</t>
  </si>
  <si>
    <t>HP ROAM FOR BUSINESS, 5 Yr</t>
  </si>
  <si>
    <t>4HH60AAE</t>
  </si>
  <si>
    <t>PrintShop Mail 7  Version 7</t>
  </si>
  <si>
    <t>PRINTSHOP MAIL 7 STARTER</t>
  </si>
  <si>
    <t>PrintShop Mail 7 Starter (100,000 records)</t>
  </si>
  <si>
    <t>7640009493</t>
  </si>
  <si>
    <t>PRINTSHOP MAIL 7 PRODUCTION</t>
  </si>
  <si>
    <t>PrintShop Mail 7 Production (unlimited records)</t>
  </si>
  <si>
    <t>7640009497</t>
  </si>
  <si>
    <t>PSM 7 STARTER: 1YR MAINT</t>
  </si>
  <si>
    <t>PrintShop Mail 7 Starter: Annual Maintenance</t>
  </si>
  <si>
    <t>7640009494</t>
  </si>
  <si>
    <t>PSM 7 PRODUCTION: 1YR MAINT</t>
  </si>
  <si>
    <t>PrintShop Mail 7 Production: Annual Maintenance</t>
  </si>
  <si>
    <t>7640009498</t>
  </si>
  <si>
    <t>Main Software Maintenance Annual Renewal</t>
  </si>
  <si>
    <t>PSM 7 STARTER: 1YR MAINT RENEWAL</t>
  </si>
  <si>
    <t>PrintShop Mail 7 Starter: Annual Maintenance Renewal</t>
  </si>
  <si>
    <t>7640009495</t>
  </si>
  <si>
    <t>PSM 7 PRODUCTION: 1YR MAINT RENEWAL</t>
  </si>
  <si>
    <t>PrintShop Mail 7 Production: Annual Maintenance Renewal</t>
  </si>
  <si>
    <t>7640009499</t>
  </si>
  <si>
    <t>Main Software Maintenance Re-entry</t>
  </si>
  <si>
    <t>PSM 7 STARTER: 1YR MAINT RE-ENTRY</t>
  </si>
  <si>
    <t>PrintShop Mail 7 Starter: Annual Maintenance Re-Entry</t>
  </si>
  <si>
    <t>7640009496</t>
  </si>
  <si>
    <t>PSM 7 PRODUCTION: 1 YR MAINT RE-ENTRY</t>
  </si>
  <si>
    <t>PrintShop Mail 7 Production: Annual Maintenance Re-Entry</t>
  </si>
  <si>
    <t>7640009500</t>
  </si>
  <si>
    <t>Main Software Upgrades</t>
  </si>
  <si>
    <t>PRINTSHOP MAIL 7 STARTER TO PROD UPGRADE</t>
  </si>
  <si>
    <t>PrintShop Mail 7 Starter to PrintShop Mail 7 Production Upgrade</t>
  </si>
  <si>
    <t>7640009509</t>
  </si>
  <si>
    <t>PSM 7 STARTER TO PROD UPGD: 1YR MAINT</t>
  </si>
  <si>
    <t>PrintShop Mail 7 Starter to PrintShop Mail 7 Production Upgrade: Annual Maintenance</t>
  </si>
  <si>
    <t>7640009510</t>
  </si>
  <si>
    <t>PSM 7 ADDITIONAL 350K RECORDS</t>
  </si>
  <si>
    <t>PrintShop Mail 7 Additional 350,000 Records (PrintShop Mail 7 Starter only)</t>
  </si>
  <si>
    <t>7640009516</t>
  </si>
  <si>
    <r>
      <rPr>
        <vertAlign val="superscript"/>
        <sz val="10"/>
        <rFont val="Arial"/>
        <family val="2"/>
      </rPr>
      <t>1</t>
    </r>
    <r>
      <rPr>
        <sz val="10"/>
        <rFont val="Arial"/>
        <family val="2"/>
      </rPr>
      <t>Pricing and Specifications subject to change without notice. All PrintShop Mail products, including DirectSmile, must include the first year of mandatory maintenance. Maintenance Re-Entry is to resume annual maintenance when there was a lapse in coverage. Unlimited access to Print Shop Mail End-User Web Training via Objectif Lune's web-based training site is provided at no charge to end-customers with a current annual maintenance agreement in effect.</t>
    </r>
  </si>
  <si>
    <t>PlanetPress V7</t>
  </si>
  <si>
    <t>(A1) PlanetPress Software License</t>
  </si>
  <si>
    <t>PLANETPRESS 7 WATCH  1 LIC</t>
  </si>
  <si>
    <t>PlanetPress 7 Watch - 1 License</t>
  </si>
  <si>
    <t>7640007953</t>
  </si>
  <si>
    <t>PLANETPRESS 7 WATCH  2  LIC</t>
  </si>
  <si>
    <t>PlanetPress 7 Watch - 2  Licenses (per license)</t>
  </si>
  <si>
    <t>7640007954</t>
  </si>
  <si>
    <t>PLANETPRESS OFFICE 1 LIC</t>
  </si>
  <si>
    <t>PlanetPress Office - 1 License</t>
  </si>
  <si>
    <t>7640007955</t>
  </si>
  <si>
    <t>PLANETPRESS OFFICE 2  LIC</t>
  </si>
  <si>
    <t>PlanetPress Office -  2  Licenses (per license)</t>
  </si>
  <si>
    <t>7640007956</t>
  </si>
  <si>
    <t>PLANETPRESS PRODUCTION 1 LIC</t>
  </si>
  <si>
    <t>PlanetPress Production - 1 License</t>
  </si>
  <si>
    <t>7640007957</t>
  </si>
  <si>
    <t>PLANETPRESS PRODUCTION 2  LIC</t>
  </si>
  <si>
    <t>PlanetPress Production - 2  Licenses (per license)</t>
  </si>
  <si>
    <t>7640007958</t>
  </si>
  <si>
    <t>PLANETPRESS 7 IMAGING 1 LIC</t>
  </si>
  <si>
    <t>PlanetPress 7 Imaging - 1 License</t>
  </si>
  <si>
    <t>7640007959</t>
  </si>
  <si>
    <t>PLANETPRESS 7 IMAGING 2  LIC</t>
  </si>
  <si>
    <t>PlanetPress 7 Imaging - 2  Licenses (per license)</t>
  </si>
  <si>
    <t>7640007960</t>
  </si>
  <si>
    <t>PP WATCH DISASTER RECOVERY/DEV LICENSE</t>
  </si>
  <si>
    <t>PlanetPress Watch Disaster Recovery/Development License</t>
  </si>
  <si>
    <r>
      <t>7640016079</t>
    </r>
    <r>
      <rPr>
        <vertAlign val="superscript"/>
        <sz val="10"/>
        <rFont val="Arial"/>
        <family val="2"/>
      </rPr>
      <t>2</t>
    </r>
  </si>
  <si>
    <t>PP OFFICE DISASTER RECOVERY/DEV LICENSE</t>
  </si>
  <si>
    <t>PlanetPress Office Disaster Recovery/Development License</t>
  </si>
  <si>
    <r>
      <t>7640016080</t>
    </r>
    <r>
      <rPr>
        <vertAlign val="superscript"/>
        <sz val="10"/>
        <rFont val="Arial"/>
        <family val="2"/>
      </rPr>
      <t>3</t>
    </r>
  </si>
  <si>
    <t>PP PROD DISASTER RECOVERY/DEV LICENSE</t>
  </si>
  <si>
    <t>PlanetPress Production Disaster Recovery/Development License</t>
  </si>
  <si>
    <r>
      <t>7640016081</t>
    </r>
    <r>
      <rPr>
        <vertAlign val="superscript"/>
        <sz val="10"/>
        <rFont val="Arial"/>
        <family val="2"/>
      </rPr>
      <t>4</t>
    </r>
  </si>
  <si>
    <t>PP IMAGING DISASTER RECOVERY/DEV LICENSE</t>
  </si>
  <si>
    <t>PlanetPress Imaging Disaster Recovery/Development License</t>
  </si>
  <si>
    <r>
      <t>7640016082</t>
    </r>
    <r>
      <rPr>
        <vertAlign val="superscript"/>
        <sz val="10"/>
        <rFont val="Arial"/>
        <family val="2"/>
      </rPr>
      <t>5</t>
    </r>
  </si>
  <si>
    <t>(A2) PlanetPress Software License Maintenance (Mandatory)</t>
  </si>
  <si>
    <t>PP WATCH 1 LIC MAINT</t>
  </si>
  <si>
    <t>PlanetPress Watch - 1 License: Maintenance</t>
  </si>
  <si>
    <t>7640007967</t>
  </si>
  <si>
    <t>PP WATCH UPTO 2  LIC MAINT</t>
  </si>
  <si>
    <t>PlanetPress Watch - 2  Licenses: Maintenance (per license)</t>
  </si>
  <si>
    <t>7640007968</t>
  </si>
  <si>
    <t>PP OFFICE 1 LIC  MAINT</t>
  </si>
  <si>
    <t>PlanetPress Office - 1 License: Maintenance</t>
  </si>
  <si>
    <t>7640007969</t>
  </si>
  <si>
    <t>PP OFFICE 2  LIC  MAINT</t>
  </si>
  <si>
    <t>PlanetPress Office - 2  Licenses: Maintenance (per license)</t>
  </si>
  <si>
    <t>7640007970</t>
  </si>
  <si>
    <t>PP PRODUCTION 1 LIC  MAINT</t>
  </si>
  <si>
    <t>PlanetPress Production - 1 License: Maintenance</t>
  </si>
  <si>
    <t>7640007971</t>
  </si>
  <si>
    <t>PP PRODUCTION 2  LIC  MAINT</t>
  </si>
  <si>
    <t>PlanetPress Production - 2  Licenses: Maintenance (per license)</t>
  </si>
  <si>
    <t>7640007972</t>
  </si>
  <si>
    <t>PP IMAGING 1 LIC: MAINT</t>
  </si>
  <si>
    <t xml:space="preserve">PlanetPress Imaging - 1 License: Maintenance </t>
  </si>
  <si>
    <t>7640007973</t>
  </si>
  <si>
    <t xml:space="preserve">PP IMAGING 2  LIC: MAINT </t>
  </si>
  <si>
    <t>PlanetPress Imaging - 2  Licenses (per license): Maintenance</t>
  </si>
  <si>
    <t>7640007974</t>
  </si>
  <si>
    <t>(A3) PlanetPress Software License Maintenance Renewal</t>
  </si>
  <si>
    <t>PP WATCH 1 LIC MNT RENEW</t>
  </si>
  <si>
    <t>PlanetPress Watch - 1 License: Maintenance Renewal</t>
  </si>
  <si>
    <t>7640007981</t>
  </si>
  <si>
    <t>PP WATCH UPTO 2  LIC MNT RENEW</t>
  </si>
  <si>
    <t>PlanetPress Watch -  2  Licenses: Maintenance Renewal (per license)</t>
  </si>
  <si>
    <t>7640007982</t>
  </si>
  <si>
    <t>PP OFFC 1 LIC: MNT RENEW</t>
  </si>
  <si>
    <t>PlanetPress Office - 1 License: Maintenance Renewal</t>
  </si>
  <si>
    <t>7640007983</t>
  </si>
  <si>
    <t>PP OFFC 2  LIC: MNT RENEW</t>
  </si>
  <si>
    <t>PlanetPress Office -  2  Licenses: Maintenance Renewal (per license)</t>
  </si>
  <si>
    <t>7640007984</t>
  </si>
  <si>
    <t>PP PROD 1 LIC: MNT RENEW</t>
  </si>
  <si>
    <t>PlanetPress Production - 1 License: Maintenance Renewal</t>
  </si>
  <si>
    <t>7640007985</t>
  </si>
  <si>
    <t>PP PROD 2  LIC: MNT RENEW</t>
  </si>
  <si>
    <t>PlanetPress Production -  2  Licenses: Maintenance Renewal (per license)</t>
  </si>
  <si>
    <t>7640007986</t>
  </si>
  <si>
    <t>PP IMAGING 1 LIC: MNT RENEW</t>
  </si>
  <si>
    <t>PlanetPress Imaging - 1 License: Maintenance Renewal</t>
  </si>
  <si>
    <t>7640007987</t>
  </si>
  <si>
    <t>PP IMAGING 2  LIC: MNT RENEW</t>
  </si>
  <si>
    <t>PlanetPress Imaging - 2  Licenses (per license): Maintenance Renewal</t>
  </si>
  <si>
    <t>7640007988</t>
  </si>
  <si>
    <t>(A4) PlanetPress Software License Maintenance Re-Entry</t>
  </si>
  <si>
    <t>PP WATCH 1 LIC MNT RE-ENT</t>
  </si>
  <si>
    <t>PlanetPress Watch 1 License: Maintenance Re-entry</t>
  </si>
  <si>
    <t>7640007995</t>
  </si>
  <si>
    <t>PP WATCH UPTO 2  LIC MNT RE-ENT</t>
  </si>
  <si>
    <t>PlanetPress Watch 2  Licenses: Maintenance Re-entry (per license)</t>
  </si>
  <si>
    <t>7640007996</t>
  </si>
  <si>
    <t>PP OFFICE 1 LIC  MNT RE-ENT</t>
  </si>
  <si>
    <t>PlanetPress Office 1 License: Maintenance Re-entry</t>
  </si>
  <si>
    <t>7640007997</t>
  </si>
  <si>
    <t>PP OFFICE 2  LIC  MNT RE-ENT</t>
  </si>
  <si>
    <t>PlanetPress Office 2  Licenses: Maintenance Re-entry (per license)</t>
  </si>
  <si>
    <t>7640007998</t>
  </si>
  <si>
    <t>PP PROD 1 LIC  MNT RE-ENT</t>
  </si>
  <si>
    <t>PlanetPress Production 1 License: Maintenance Re-entry</t>
  </si>
  <si>
    <t>7640007999</t>
  </si>
  <si>
    <t>PP PROD 2  LIC  MNT RE-ENT</t>
  </si>
  <si>
    <t>PlanetPress Production 2  Licenses: Maintenance Re-entry (per license)</t>
  </si>
  <si>
    <t>7640008000</t>
  </si>
  <si>
    <t>PP IMAGING 1 LIC: MNT RE-ENT</t>
  </si>
  <si>
    <t>PlanetPress Imaging - 1 License: Maintenance Re-entry</t>
  </si>
  <si>
    <t>7640008001</t>
  </si>
  <si>
    <t>PP IMAGING 2  LIC: MNT RE-ENT</t>
  </si>
  <si>
    <t>PlanetPress Imaging - 2  Licenses (per license): Maintenance Re-entry</t>
  </si>
  <si>
    <t>7640008002</t>
  </si>
  <si>
    <t>(B1) PlanetPress Printer Licenses</t>
  </si>
  <si>
    <t xml:space="preserve">PP PR LIC UPGD: 1-50 TO 51-69 QTY 1 </t>
  </si>
  <si>
    <t>PlanetPress Printer Speed-Up License Upgrade: 1-50ppm to 51-69ppm (Cat 1 to Cat 2) Qty 1</t>
  </si>
  <si>
    <t>7640003039</t>
  </si>
  <si>
    <t>PP PRINTER 1-50 PPM 1 LIC</t>
  </si>
  <si>
    <t>PlanetPress printer license (1-50 ppm); 1 license</t>
  </si>
  <si>
    <t>7640004227</t>
  </si>
  <si>
    <t>PP PRINTER 1-50 PPM UPTO 5 LIC</t>
  </si>
  <si>
    <t>PlanetPress printer license (1-50 ppm); up to 5 licenses</t>
  </si>
  <si>
    <t>7640004228</t>
  </si>
  <si>
    <t>PP PRINTER 1-50 PPM UPTO 10 LIC</t>
  </si>
  <si>
    <t>PlanetPress printer license (1-50 ppm); up to 10 licenses</t>
  </si>
  <si>
    <t>7640004229</t>
  </si>
  <si>
    <t>PP PRINTER 1-50 PPM UPTO 11  LIC</t>
  </si>
  <si>
    <t>PlanetPress printer license (1-50 ppm); 11 or more licenses</t>
  </si>
  <si>
    <t>7640004230</t>
  </si>
  <si>
    <t>PP PRINTER 51-69 PPM 1 LIC</t>
  </si>
  <si>
    <t>PlanetPress printer license (51-69 ppm); 1 license</t>
  </si>
  <si>
    <t>7640004231</t>
  </si>
  <si>
    <t>PP PRINTER 51-69 PPM UPTO 5 LIC</t>
  </si>
  <si>
    <t>PlanetPress printer license (51-69 ppm); up to 5 licenses</t>
  </si>
  <si>
    <t>7640004232</t>
  </si>
  <si>
    <t>PP PRINTER 51-69 PPM UPTO 10 LIC</t>
  </si>
  <si>
    <t>PlanetPress printer license (51-69 ppm); up to 10 licenses</t>
  </si>
  <si>
    <t>7640004233</t>
  </si>
  <si>
    <t>PP PRINTER 51-69 PPM UPTO 11  LIC</t>
  </si>
  <si>
    <t>PlanetPress printer license (51-69 ppm); 11 or more licenses</t>
  </si>
  <si>
    <t>7640004234</t>
  </si>
  <si>
    <t>PP PRINTER 70-105 PPM 1 LIC</t>
  </si>
  <si>
    <t>PlanetPress printer license (70-105 ppm); 1 license</t>
  </si>
  <si>
    <t>7640004235</t>
  </si>
  <si>
    <t>PP PRINTER 70-105 PPM UPTO 5 LIC</t>
  </si>
  <si>
    <t>PlanetPress printer license (70-105 ppm); up to 5 licenses</t>
  </si>
  <si>
    <t>7640004236</t>
  </si>
  <si>
    <t>PP PRINTER 70-105 PPM UPTO 6  LIC</t>
  </si>
  <si>
    <t>PlanetPress printer license (70-105 ppm); 6 or more licenses</t>
  </si>
  <si>
    <t>7640004237</t>
  </si>
  <si>
    <t>PP PRINTER 106-179 PPM 1 LIC</t>
  </si>
  <si>
    <t>PlanetPress printer license (106-179 ppm); 1 license</t>
  </si>
  <si>
    <t>7640004238</t>
  </si>
  <si>
    <t>PP PRINTER 106-179 PPM UPTO 2  LIC</t>
  </si>
  <si>
    <t>PlanetPress printer license (106-179 ppm); up to 5 licenses</t>
  </si>
  <si>
    <t>7640004239</t>
  </si>
  <si>
    <t>PP PRINTER 180  PPM 1 LIC</t>
  </si>
  <si>
    <t>PlanetPress printer license (180  ppm); 1 license</t>
  </si>
  <si>
    <t>7640004240</t>
  </si>
  <si>
    <t>PP PRINTER 180  PPM UPTO 2  LIC</t>
  </si>
  <si>
    <t>PlanetPress printer license (180  ppm); 2 or more licenses</t>
  </si>
  <si>
    <t>7640004241</t>
  </si>
  <si>
    <t xml:space="preserve">PP PR LIC UPGD: 1-50 TO 70-105 QTY 1 </t>
  </si>
  <si>
    <t>PlanetPress Printer Speed-Up License Upgrade: 1-50ppm to 70-105ppm (Cat 1 to Cat 3) Qty 1</t>
  </si>
  <si>
    <t>7640004583</t>
  </si>
  <si>
    <t>PP PR LIC UPGD: 70-105 TO 179  QTY 1</t>
  </si>
  <si>
    <t>PlanetPress Printer Speed-Up License Upgrade: 70-105ppm to 179 ppm (Cat 3 to Cat 5) Qty 1</t>
  </si>
  <si>
    <t>7640005050</t>
  </si>
  <si>
    <t>PP PR LIC UPGD: 106-179 TO 179  QTY 1</t>
  </si>
  <si>
    <t>PlanetPress Printer Speed-Up License Upgrade: 106-179ppm to 179 ppm (Cat 4 to Cat 5) Qty 1</t>
  </si>
  <si>
    <t>7640006866</t>
  </si>
  <si>
    <t xml:space="preserve">PP PR LIC UPGD: 106-179 TO 179  QTY 2 </t>
  </si>
  <si>
    <t>PlanetPress Printer Speed-Up License Upgrade: 106-179ppm to 179 ppm (Cat 4 to Cat 5) Qty 2  per license</t>
  </si>
  <si>
    <t>7640006867</t>
  </si>
  <si>
    <t xml:space="preserve">PP PR LIC UPGD: 51-69 TO 106-179 QTY 1 </t>
  </si>
  <si>
    <t>PlanetPress Printer Speed-Up License Upgrade: 51-69ppm to 106-179ppm (Cat 2 to Cat 4) Qty 1</t>
  </si>
  <si>
    <t>7640009369</t>
  </si>
  <si>
    <t>PP PR LIC UPGD: 70-105 TO 106-179 QTY 1</t>
  </si>
  <si>
    <t>PlanetPress Printer Speed-Up License Upgrade: 70-105ppm to 106-179ppm (Cat 3 to Cat 4) Qty 1</t>
  </si>
  <si>
    <t>7640013080</t>
  </si>
  <si>
    <t xml:space="preserve">PP PR LIC UPGD: 70-105 TO 106-179 QTY 2 </t>
  </si>
  <si>
    <t>PlanetPress Printer Speed-Up License Upgrade: 70-105ppm to 106-179ppm (Cat 3 to Cat 4) Qty 2  per license</t>
  </si>
  <si>
    <t>7640013081</t>
  </si>
  <si>
    <t xml:space="preserve">PP PR LIC UPGD: 51-69 TO 70-105 QTY 1 </t>
  </si>
  <si>
    <t>PlanetPress Printer Speed-Up License Upgrade: 51-69ppm to 70-105ppm (Cat 2 to Cat 3) Qty 1</t>
  </si>
  <si>
    <t>7640013588</t>
  </si>
  <si>
    <t xml:space="preserve">PP PR LIC UPGD: 1-50 TO 51-69 QTY 2  </t>
  </si>
  <si>
    <t>PlanetPress Printer Speed-Up License Upgrade: 1-50ppm to 51-69ppm (Cat 1 to Cat 2) Qty 2  per license</t>
  </si>
  <si>
    <t>7640015840</t>
  </si>
  <si>
    <t xml:space="preserve">PP PR LIC UPGD: 1-50 TO 70-105 QTY 2  </t>
  </si>
  <si>
    <t>PlanetPress Printer Speed-Up License Upgrade: 1-50ppm to 70-105ppm (Cat 1 to Cat 3) Qty 2  per license</t>
  </si>
  <si>
    <t>7640015841</t>
  </si>
  <si>
    <t xml:space="preserve">PP PR LIC UPGD: 1-50 TO 106-179 QTY 1 </t>
  </si>
  <si>
    <t>PlanetPress Printer Speed-Up License Upgrade: 1-50ppm to 106-179ppm (Cat 1 to Cat 4) Qty 1</t>
  </si>
  <si>
    <t>7640015842</t>
  </si>
  <si>
    <t xml:space="preserve">PP PR LIC UPGD: 1-50 TO 106-179 QTY 2  </t>
  </si>
  <si>
    <t>PlanetPress Printer Speed-Up License Upgrade: 1-50ppm to 106-179ppm (Cat 1 to Cat 4) Qty 2  per license</t>
  </si>
  <si>
    <t>7640015843</t>
  </si>
  <si>
    <t xml:space="preserve">PP PR LIC UPGD: 51-69 TO 70-105 QTY 2  </t>
  </si>
  <si>
    <t>PlanetPress Printer Speed-Up License Upgrade: 51-69ppm to 70-105ppm (Cat 2 to Cat 3) Qty 2  per license</t>
  </si>
  <si>
    <t>7640015844</t>
  </si>
  <si>
    <t xml:space="preserve">PP PR LIC UPGD: 51-69 TO 106-179 QTY 2 </t>
  </si>
  <si>
    <t>PlanetPress Printer Speed-Up License Upgrade: 51-69ppm to 106-179ppm (Cat 2 to Cat 4) Qty 2  per license</t>
  </si>
  <si>
    <t>7640015845</t>
  </si>
  <si>
    <t>(B2) PlanetPress Printer License Maintenance (Mandatory)</t>
  </si>
  <si>
    <t>PP PRT 1-50 PPM 1 LIC MAINT</t>
  </si>
  <si>
    <t>PlanetPress printer license (1-50 ppm); 1 license, maintenance</t>
  </si>
  <si>
    <t>7640004315</t>
  </si>
  <si>
    <t>PP PRT 1-50 PPM UPTO 5 LIC MAINT</t>
  </si>
  <si>
    <t>PlanetPress printer license (1-50 ppm); up to 5 licenses, maintenance per license</t>
  </si>
  <si>
    <t>7640004316</t>
  </si>
  <si>
    <t>PP PRT 1-50 PPM UPTO 10 LIC MAINT</t>
  </si>
  <si>
    <t>PlanetPress printer license (1-50 ppm); up to 10 licenses, maintenance per license</t>
  </si>
  <si>
    <t>7640004317</t>
  </si>
  <si>
    <t>PP PRT 1-50 PPM UP TO 11  LIC MAINT</t>
  </si>
  <si>
    <t>PlanetPress printer license (1-50 ppm); 11 or more licenses, maintenance per license</t>
  </si>
  <si>
    <t>7640004318</t>
  </si>
  <si>
    <t>PP PRT 51-69 PPM 1 LIC MAINT</t>
  </si>
  <si>
    <t>PlanetPress printer license (51-69 ppm); 1 license, maintenance per license</t>
  </si>
  <si>
    <t>7640004319</t>
  </si>
  <si>
    <t>PP PRT 51-69 PPM 2-5 LIC MAINT</t>
  </si>
  <si>
    <t>PlanetPress printer license (51-69 ppm); up to 5 licenses, maintenance per license</t>
  </si>
  <si>
    <t>7640004320</t>
  </si>
  <si>
    <t>PP PRT 51-69 PPM UPTO 10 LIC MAINT</t>
  </si>
  <si>
    <t>PlanetPress printer license (51-69 ppm); up to 10 licenses, maintenance per license</t>
  </si>
  <si>
    <t>7640004321</t>
  </si>
  <si>
    <t>PP PRT 51-69 PPM UPTO 11  LIC MAINT</t>
  </si>
  <si>
    <t>PlanetPress printer license (51-69 ppm); 11 or more licenses, maintenance per license</t>
  </si>
  <si>
    <t>7640004322</t>
  </si>
  <si>
    <t>PP PRT 70-105 PPM 1 LIC MAINT</t>
  </si>
  <si>
    <t>PlanetPress printer license (70-105 ppm); 1 license, maintenance per license</t>
  </si>
  <si>
    <t>7640004323</t>
  </si>
  <si>
    <t>PP PRT 70-105 PPM UPTO 5 LIC MAINT</t>
  </si>
  <si>
    <t>PlanetPress printer license (70-105 ppm); up to 5 licenses, maintenance per license</t>
  </si>
  <si>
    <t>7640004324</t>
  </si>
  <si>
    <t>PP PRT 70-105 PPM UPTO 6  LIC MAINT</t>
  </si>
  <si>
    <t>PlanetPress printer license (70-105 ppm); 6 or more licenses, maintenance per license</t>
  </si>
  <si>
    <t>7640004325</t>
  </si>
  <si>
    <t>PP PRT 106-179 PPM 1 LIC MAINT</t>
  </si>
  <si>
    <t>PlanetPress printer license (106-179 ppm); 1 license, maintenance per license</t>
  </si>
  <si>
    <t>7640004326</t>
  </si>
  <si>
    <t>PP PRT 106-179 PPM UPTO 2  LIC MAINT REN</t>
  </si>
  <si>
    <t>PlanetPress printer license (106-179 ppm); up to 5 licenses, maintenance per license</t>
  </si>
  <si>
    <t>7640004327</t>
  </si>
  <si>
    <t>PP PRT 180  PPM 1 LIC MAINT</t>
  </si>
  <si>
    <t>PlanetPress printer license (180  ppm); 1 license, maintenance per license</t>
  </si>
  <si>
    <t>7640004328</t>
  </si>
  <si>
    <t>PP PRT 180  PPM UPTO 2  LIC MAINT</t>
  </si>
  <si>
    <t>PlanetPress printer license (180  ppm); 2 or more licenses, maintenance per license</t>
  </si>
  <si>
    <t>7640004329</t>
  </si>
  <si>
    <t>(B3) PlanetPress Printer License Maintenance Renewal</t>
  </si>
  <si>
    <t>PP PRT 1-50 PPM 1 LIC MNT RENEW</t>
  </si>
  <si>
    <t>PlanetPress printer license (1-50 ppm); 1 license, maintenance renewal</t>
  </si>
  <si>
    <t>7640004260</t>
  </si>
  <si>
    <t>PP PRT 1-50 PPM UPTO 5 LIC MNT RENEW</t>
  </si>
  <si>
    <t>PlanetPress printer license (1-50 ppm); up to 5 licenses, maintenance renewal per license</t>
  </si>
  <si>
    <t>7640004261</t>
  </si>
  <si>
    <t>PP PRT 1-50 PPM UPTO 10 LIC MNT RENEW</t>
  </si>
  <si>
    <t>PlanetPress printer license (1-50 ppm); up to 10 licenses, maintenance renewal per license</t>
  </si>
  <si>
    <t>7640004262</t>
  </si>
  <si>
    <t>PP PRT 1-50 PPM UP TO 11  LIC MNT RENEW</t>
  </si>
  <si>
    <t>PlanetPress printer license (1-50 ppm); 11 or more licenses, maintenance renewal per license</t>
  </si>
  <si>
    <t>7640004263</t>
  </si>
  <si>
    <t>PP PRT 51-69 PPM 1 LIC MNT RENEW</t>
  </si>
  <si>
    <t>PlanetPress printer license (51-69 ppm); 1 license, maintenance renewal per license</t>
  </si>
  <si>
    <t>7640004268</t>
  </si>
  <si>
    <t>PP PRT 51-69 PPM 2-5 LIC MNT RENEW</t>
  </si>
  <si>
    <t>PlanetPress printer license (51-69 ppm); up to 5 licenses, maintenance renewal per license</t>
  </si>
  <si>
    <t>7640004269</t>
  </si>
  <si>
    <t>PP PRT 51-69 PPM UPTO 10 LIC MNT RENEW</t>
  </si>
  <si>
    <t>PlanetPress printer license (51-69 ppm); up to 10 licenses, maintenance renewal per license</t>
  </si>
  <si>
    <t>7640004270</t>
  </si>
  <si>
    <t>PP PRT 70-105 PPM 1 LIC MNT RENEW</t>
  </si>
  <si>
    <t>PlanetPress printer license (70-105 ppm); up to 5 licenses, maintenance renewal per license</t>
  </si>
  <si>
    <t>7640004271</t>
  </si>
  <si>
    <t>PlanetPress printer license (70-105 ppm); 1 license, maintenance renewal per license</t>
  </si>
  <si>
    <t>7640004276</t>
  </si>
  <si>
    <t>PP PRT 70-105 PPM UPTO 5 LIC MNT RENEW</t>
  </si>
  <si>
    <t>7640004277</t>
  </si>
  <si>
    <t>PP PRT 70-105 PPM UPTO 6  LIC MNT RENEW</t>
  </si>
  <si>
    <t>PlanetPress printer license (70-105 ppm); 6 or more licenses, maintenance renewal per license</t>
  </si>
  <si>
    <t>7640004278</t>
  </si>
  <si>
    <t>PP PRT 106-179 PPM 1 LIC MNT RENEW</t>
  </si>
  <si>
    <t>PlanetPress printer license (106-179 ppm); 1 license, maintenance renewal per license</t>
  </si>
  <si>
    <t>7640004282</t>
  </si>
  <si>
    <t>PP PRT 106-179 PPM UPTO 2  LIC MNT REN</t>
  </si>
  <si>
    <t>PlanetPress printer license (106-179 ppm); up to 5 licenses, maintenance renewal per license</t>
  </si>
  <si>
    <t>7640004283</t>
  </si>
  <si>
    <t>PP PRT 180  PPM 1 LIC MNT RENEW</t>
  </si>
  <si>
    <t>PlanetPress printer license (180  ppm); 1 license, maintenance renewal per license</t>
  </si>
  <si>
    <t>7640004286</t>
  </si>
  <si>
    <t>PP PRT 180  PPM UPTO 2  LIC MNT RENEW</t>
  </si>
  <si>
    <t>PlanetPress printer license (180  ppm); 2 or more licenses, maintenance renewal per license</t>
  </si>
  <si>
    <t>7640004287</t>
  </si>
  <si>
    <t>(B4) PlanetPress Printer License Maintenance Re-Entry</t>
  </si>
  <si>
    <t>PP PRT 1-50 PPM 1 LIC MNT RE-ENT</t>
  </si>
  <si>
    <t>7640004264</t>
  </si>
  <si>
    <t>PP PRT 1-50 PPM UPTO 5 LIC MNT RE-ENT</t>
  </si>
  <si>
    <t>PlanetPress printer license (1-50 ppm); up to 5 licenses, maintenance re-entry per license</t>
  </si>
  <si>
    <t>7640004265</t>
  </si>
  <si>
    <t>PP PRT 1-50 PPM UPTO 10 LIC MNT RE-ENT</t>
  </si>
  <si>
    <t>PlanetPress printer license (1-50 ppm); up to 10 licenses, maintenance re-entry per license</t>
  </si>
  <si>
    <t>7640004266</t>
  </si>
  <si>
    <t>PP PRT 1-50 PPM UPTO 11  LIC MNT RE-ENT</t>
  </si>
  <si>
    <t>PlanetPress printer license (1-50 ppm); 11 or more licenses, maintenance re-entry per license</t>
  </si>
  <si>
    <t>7640004267</t>
  </si>
  <si>
    <t>PP PRT 51-69 PPM 1 LIC MNT RE-ENT</t>
  </si>
  <si>
    <t>PlanetPress printer license (51-69 ppm); 1 license, maintenance re-entry per license</t>
  </si>
  <si>
    <t>7640004272</t>
  </si>
  <si>
    <t>PP PRT 51-69 PPM UPTO 5 LIC MNT RE-ENT</t>
  </si>
  <si>
    <t>PlanetPress printer license (51-69 ppm); up to 5 licenses, maintenance re-entry per license</t>
  </si>
  <si>
    <t>7640004273</t>
  </si>
  <si>
    <t>PP PRT 51-69 PPM UPTO 10 LIC MNT RE-ENT</t>
  </si>
  <si>
    <t>PlanetPress printer license (51-69 ppm); up to 10 licenses, maintenance re-entry per license</t>
  </si>
  <si>
    <t>7640004274</t>
  </si>
  <si>
    <t>PP PRT 51-69 PPM UPTO 11  LIC MNT RE-ENT</t>
  </si>
  <si>
    <t>PlanetPress printer license (51-69 ppm); 11 or more licenses, maintenance re-entry per license</t>
  </si>
  <si>
    <t>7640004275</t>
  </si>
  <si>
    <t>PP PRT 70-105 PPM 1 LIC MNT RE-ENT</t>
  </si>
  <si>
    <t>PlanetPress printer license (70-105 ppm); 1 license, maintenance re-entry per license</t>
  </si>
  <si>
    <t>7640004279</t>
  </si>
  <si>
    <t>PP PRT 70-105 PPM UPTO 5 LIC MNT RE-ENT</t>
  </si>
  <si>
    <t>PlanetPress printer license (70-105 ppm); up to 5 licenses, maintenance re-entry per license</t>
  </si>
  <si>
    <t>7640004280</t>
  </si>
  <si>
    <t>PP PRT 70-105 PPM UPTO 6  LIC MNT RE-ENT</t>
  </si>
  <si>
    <t>PlanetPress printer license (70-105 ppm); 6 or more licenses, maintenance re-entry per license</t>
  </si>
  <si>
    <t>7640004281</t>
  </si>
  <si>
    <t>PP PRT 106-179 PPM 1 LIC MNT RE-ENT</t>
  </si>
  <si>
    <t>PlanetPress printer license (106-179 ppm); 1 license, maintenance re-entry per license</t>
  </si>
  <si>
    <t>7640004284</t>
  </si>
  <si>
    <t>PP PRT 106-179 PPM UPTO 2  LIC MNT RE-EN</t>
  </si>
  <si>
    <t>PlanetPress printer license (106-179 ppm); up to 5 licenses, maintenance re-entry per license</t>
  </si>
  <si>
    <t>7640004285</t>
  </si>
  <si>
    <t>PP PRT 180  PPM 1 LIC MNT RE-ENT</t>
  </si>
  <si>
    <t>PlanetPress printer license (180  ppm); 1 license, maintenance re-entry per license</t>
  </si>
  <si>
    <t>7640004288</t>
  </si>
  <si>
    <t>PP PRT 180  PPM UPTO 2  LIC MNT RE-ENT</t>
  </si>
  <si>
    <t>PlanetPress printer license (180  ppm); 2 or more licenses, maintenance re-entry per license</t>
  </si>
  <si>
    <t>7640004289</t>
  </si>
  <si>
    <t>(C1) PlanetPress Software Upgrade</t>
  </si>
  <si>
    <t>PP WATCH TO OFFICE UPGD 1 LIC</t>
  </si>
  <si>
    <t>Upgrade from PlanetPress Watch to PlanetPress Office - 1 License</t>
  </si>
  <si>
    <t>7640007961</t>
  </si>
  <si>
    <t>PP WATCH TO OFFICE UPGD 2  LIC</t>
  </si>
  <si>
    <t>Upgrade from PlanetPress Watch to PlanetPress Office - 2  Licenses (per license)</t>
  </si>
  <si>
    <t>7640007962</t>
  </si>
  <si>
    <t>PP WATCH TO PROD UPGD 1 LIC</t>
  </si>
  <si>
    <t>Upgrade from PlanetPress Watch to PlanetPress Production - 1 License</t>
  </si>
  <si>
    <t>7640007963</t>
  </si>
  <si>
    <t>PP WATCH TO PROD UPGD 2  LIC</t>
  </si>
  <si>
    <t>Upgrade from PlanetPress Watch to PlanetPress Production - 2  Licenses (per license)</t>
  </si>
  <si>
    <t>7640007964</t>
  </si>
  <si>
    <t>PP OFFICE TO PROD UPGD 1 LIC</t>
  </si>
  <si>
    <t>Upgrade from PlanetPress Office to PlanetPress Production - 1 License</t>
  </si>
  <si>
    <t>7640007965</t>
  </si>
  <si>
    <t>PP OFFICE TO PROD UPGD 2  LIC</t>
  </si>
  <si>
    <t>Upgrade from PlanetPress Office to PlanetPress Production - 2  Licenses (per license)</t>
  </si>
  <si>
    <t>7640007966</t>
  </si>
  <si>
    <t>(C2) PlanetPress Software Upgrade Maintenance (Mandatory)</t>
  </si>
  <si>
    <t>PP WATCH TO OFFICE UPGD 1 LIC: MAINT</t>
  </si>
  <si>
    <t>Upgrade from PlanetPress Watch to PlanetPress Office - 1 License: Maintenance</t>
  </si>
  <si>
    <t>7640007975</t>
  </si>
  <si>
    <t>PP WATCH TO OFFICE UPGD 2  LIC: MAINT</t>
  </si>
  <si>
    <t>Upgrade from PlanetPress Watch to PlanetPress Office - 2  Licenses (per license): Maintenance</t>
  </si>
  <si>
    <t>7640007976</t>
  </si>
  <si>
    <t>PP WATCH TO PROD UPGD 1 LIC: MAINT</t>
  </si>
  <si>
    <t>Upgrade from PlanetPress Watch to PlanetPress Production - 1 License: Maintenance</t>
  </si>
  <si>
    <t>7640007977</t>
  </si>
  <si>
    <t>PP WATCH TO PROD UPGD 2  LIC: MAINT</t>
  </si>
  <si>
    <t>Upgrade from PlanetPress Watch to PlanetPress Production - 2  Licenses (per license): Maintenance</t>
  </si>
  <si>
    <t>7640007978</t>
  </si>
  <si>
    <t>PP OFFICE TO PROD UPGD 1 LIC: MAINT</t>
  </si>
  <si>
    <t>Upgrade from PlanetPress Office to PlanetPress Production - 1 License: Maintenance</t>
  </si>
  <si>
    <t>7640007979</t>
  </si>
  <si>
    <t>PP OFFICE TO PROD UPGD 2  LIC: MAINT</t>
  </si>
  <si>
    <t>Upgrade from PlanetPress Office to PlanetPress Production - 2 Licenses (per license): Maintenance</t>
  </si>
  <si>
    <t>7640007980</t>
  </si>
  <si>
    <t>(C3) PlanetPress Software Upgrade Maintenance Renewal</t>
  </si>
  <si>
    <t>PP WATCH TO OFFC UPGD 1 LIC: MNT RENEW</t>
  </si>
  <si>
    <t>Upgrade from PlanetPress Watch to PlanetPress Office - 1 License: Maintenance Renewal</t>
  </si>
  <si>
    <t>7640007989</t>
  </si>
  <si>
    <t>PP WATCH TO OFFC UPGD 2  LIC: MNT RENEW</t>
  </si>
  <si>
    <t>Upgrade from PlanetPress Watch to PlanetPress Office - 2  Licenses (per license): Maintenance Renewal</t>
  </si>
  <si>
    <t>7640007990</t>
  </si>
  <si>
    <t>PP WATCH TO PROD UPGD 1 LIC: MNT RENEW</t>
  </si>
  <si>
    <t>Upgrade from PlanetPress Watch to PlanetPress Production - 1 License: Maintenance Renewal</t>
  </si>
  <si>
    <t>7640007991</t>
  </si>
  <si>
    <t>PP OFFC TO PROD UPGD 1 LIC: MNT RENEW</t>
  </si>
  <si>
    <t>Upgrade from PlanetPress Office to PlanetPress Production - 1 License: Maintenance Renewal</t>
  </si>
  <si>
    <t>7640007993</t>
  </si>
  <si>
    <t>PP OFFC TO PROD UPGD 2  LIC: MNT RENEW</t>
  </si>
  <si>
    <t>Upgrade from PlanetPress Office to PlanetPress Production - 2 Licenses (per license): Maintenance Renewal</t>
  </si>
  <si>
    <t>7640007994</t>
  </si>
  <si>
    <t>(C4) PlanetPress Software Upgrade Maintenance Re-Entry</t>
  </si>
  <si>
    <t>PP WATCH TO OFFC UPGD 1 LIC: MNT RE-ENT</t>
  </si>
  <si>
    <t>Upgrade from PlanetPress Watch to PlanetPress Office - 1 License: Maintenance Re-entry</t>
  </si>
  <si>
    <t>7640008003</t>
  </si>
  <si>
    <t>PP WATCH TO OFFC UPGD 2  LIC: MNT RE-ENT</t>
  </si>
  <si>
    <t>Upgrade from PlanetPress Watch to PlanetPress Office - 2  Licenses (per license): Maintenance Re-entry</t>
  </si>
  <si>
    <t>7640008004</t>
  </si>
  <si>
    <t>PP WATCH TO PROD UPGD 1 LIC: MNT RE-ENT</t>
  </si>
  <si>
    <t>Upgrade from PlanetPress Watch to PlanetPress Production - 1 License: Maintenance Re-entry</t>
  </si>
  <si>
    <t>7640008005</t>
  </si>
  <si>
    <t>PP WATCH TO PROD UPGD 2  LIC: MNT RE-ENT</t>
  </si>
  <si>
    <t>Upgrade from PlanetPress Watch to PlanetPress Production - 2  Licenses (per license): Maintenance Re-entry</t>
  </si>
  <si>
    <t>7640008006</t>
  </si>
  <si>
    <t>PP OFFC TO PROD UPGD 1 LIC: MNT RE-ENT</t>
  </si>
  <si>
    <t>Upgrade from PlanetPress Office to PlanetPress Production - 1 License: Maintenance Re-entry</t>
  </si>
  <si>
    <t>7640008007</t>
  </si>
  <si>
    <t>PP OFFC TO PROD UPGD 2  LIC: MNT RE-ENT</t>
  </si>
  <si>
    <t>Upgrade from PlanetPress Office to PlanetPress Production - 2 Licenses (per license): Maintenance Re-entry</t>
  </si>
  <si>
    <t>7640008008</t>
  </si>
  <si>
    <t>(D1) PlanetPress Physical Media</t>
  </si>
  <si>
    <t>PLANETPRESS SOFTWARE MEDIA</t>
  </si>
  <si>
    <t xml:space="preserve">PlanetPress Suite 7 Software Media </t>
  </si>
  <si>
    <r>
      <t>7640008009</t>
    </r>
    <r>
      <rPr>
        <vertAlign val="superscript"/>
        <sz val="10"/>
        <rFont val="Arial"/>
        <family val="2"/>
      </rPr>
      <t>6</t>
    </r>
  </si>
  <si>
    <t>(E1) PlanetPress Training</t>
  </si>
  <si>
    <t>PPS WEB-BASED END-USER TRAINING</t>
  </si>
  <si>
    <t>PlanetPress Suite Web-Based End-User Training</t>
  </si>
  <si>
    <r>
      <t>7640005082</t>
    </r>
    <r>
      <rPr>
        <vertAlign val="superscript"/>
        <sz val="10"/>
        <rFont val="Arial"/>
        <family val="2"/>
      </rPr>
      <t>7</t>
    </r>
  </si>
  <si>
    <t xml:space="preserve">PP DOCUMENT DESIGN AT OL (2 DAYS) </t>
  </si>
  <si>
    <t>PlanetPress Document Design at Objectif Lune: Per Student (2 days) - English</t>
  </si>
  <si>
    <t>7640008010</t>
  </si>
  <si>
    <t>PP DOCUMENT FLOW: AT OL  (2 DAYS)</t>
  </si>
  <si>
    <t>PlanetPress Document Flow at Objectif Lune: Per Student(2 days) - English</t>
  </si>
  <si>
    <t>7640008011</t>
  </si>
  <si>
    <t>PP SOLUTION DEV AT OL (4 DAYS)</t>
  </si>
  <si>
    <t>PlanetPress Solution Development at Objectif Lune: Per Student (4 days) - English</t>
  </si>
  <si>
    <t>7640008012</t>
  </si>
  <si>
    <t>PP CUSTOM TRAINING AT OL (PER DAY)</t>
  </si>
  <si>
    <t>PlanetPress Custom Training at Objectif Lune: Per Student (per day) - English</t>
  </si>
  <si>
    <t>7640008013</t>
  </si>
  <si>
    <t>PLANETPRESS TALK AT OL (PER DAY)</t>
  </si>
  <si>
    <t>PlanetPress Talk at Objectif Lune: Per Student (per day) - English</t>
  </si>
  <si>
    <t>7640008014</t>
  </si>
  <si>
    <t>PP DOCUMENT DESIGN ON-SITE (2 DAYS)</t>
  </si>
  <si>
    <t>PlanetPress Document Design On-Site (2 days with a maximum of 5 students) - English</t>
  </si>
  <si>
    <r>
      <t>7640008015</t>
    </r>
    <r>
      <rPr>
        <vertAlign val="superscript"/>
        <sz val="10"/>
        <rFont val="Arial"/>
        <family val="2"/>
      </rPr>
      <t>8</t>
    </r>
  </si>
  <si>
    <t>PP DOCUMENT FLOW ON-SITE (2 DAYS)</t>
  </si>
  <si>
    <t>PlanetPress Document Flow On-Site (2 days with a maximum of 5 students) - English</t>
  </si>
  <si>
    <r>
      <t>7640008016</t>
    </r>
    <r>
      <rPr>
        <vertAlign val="superscript"/>
        <sz val="10"/>
        <rFont val="Arial"/>
        <family val="2"/>
      </rPr>
      <t>9</t>
    </r>
  </si>
  <si>
    <t>PP SOLUTION DEV ON-SITE (4 DAYS)</t>
  </si>
  <si>
    <t>PlanetPress Solution Development On-Site (4 days with a maximum of 5 students) - English</t>
  </si>
  <si>
    <r>
      <t>7640008017</t>
    </r>
    <r>
      <rPr>
        <vertAlign val="superscript"/>
        <sz val="10"/>
        <rFont val="Arial"/>
        <family val="2"/>
      </rPr>
      <t>10</t>
    </r>
  </si>
  <si>
    <t>PP CUSTOM TRAINING ON-SITE (PER DAY)</t>
  </si>
  <si>
    <t>PlanetPress Custom Training On-Site (per day) - English</t>
  </si>
  <si>
    <r>
      <t>7640008018</t>
    </r>
    <r>
      <rPr>
        <vertAlign val="superscript"/>
        <sz val="10"/>
        <rFont val="Arial"/>
        <family val="2"/>
      </rPr>
      <t>11</t>
    </r>
  </si>
  <si>
    <t>PLANETPRESS TALK ON-SITE (PER DAY)</t>
  </si>
  <si>
    <t>PlanetPress Talk On-Site (per day with a maximum of 5 students) - English</t>
  </si>
  <si>
    <r>
      <t>7640008019</t>
    </r>
    <r>
      <rPr>
        <vertAlign val="superscript"/>
        <sz val="10"/>
        <rFont val="Arial"/>
        <family val="2"/>
      </rPr>
      <t>12</t>
    </r>
  </si>
  <si>
    <t>(H1) Objectif Lune Professional Services</t>
  </si>
  <si>
    <t>OBJECTIF LUNE - AIR FARE</t>
  </si>
  <si>
    <t>Objectif Lune - Air fare</t>
  </si>
  <si>
    <t>7640004310</t>
  </si>
  <si>
    <t>OBJECTIF LUNE ON-SITE SRVCS(ONE 8-HRDAY)</t>
  </si>
  <si>
    <t>Professional Services - on-site per day</t>
  </si>
  <si>
    <r>
      <t>7640001275</t>
    </r>
    <r>
      <rPr>
        <vertAlign val="superscript"/>
        <sz val="10"/>
        <rFont val="Arial"/>
        <family val="2"/>
      </rPr>
      <t>13</t>
    </r>
  </si>
  <si>
    <t>OBJECTIF LUNE CUSTM APPLICATN DEVELOPMNT</t>
  </si>
  <si>
    <t>Professional Services - at OL (Hourly)</t>
  </si>
  <si>
    <t>7640001519</t>
  </si>
  <si>
    <t>OL PRO SERVICES -PER DIEM</t>
  </si>
  <si>
    <t>Objectif Lune Professional Services -  Per Diem</t>
  </si>
  <si>
    <t>7640004304</t>
  </si>
  <si>
    <t>OL PROF SERVICES - HOURLY (MIN 4 HOURS)</t>
  </si>
  <si>
    <t>Professional Services - remote (Hourly, min 4hrs)</t>
  </si>
  <si>
    <t>7640008020</t>
  </si>
  <si>
    <r>
      <rPr>
        <vertAlign val="superscript"/>
        <sz val="10"/>
        <rFont val="Arial"/>
        <family val="2"/>
      </rPr>
      <t>1</t>
    </r>
    <r>
      <rPr>
        <sz val="10"/>
        <rFont val="Arial"/>
        <family val="2"/>
      </rPr>
      <t>To place an order for any item on this price sheet, please contact your Document Solutions Consultant or fax an order directly to Konica Minolta's ordering department based on your region. PlanetPress Office and Production include Watch. All PlanetPress orders must include the first year of mandatory maintenance for all software and printer licenses. Maintenance Renewal is for the subsequent year's maintenance. Maintenance Re-Entry is to resume maintenance when there is a lapse in coverage. Training in the form of web-based modules, classes in Montreal, or on-site is strongly recommended.  As of January 4, 2010, software maintenance now includes unlimited end-customer access to Objectif Lune's OL Learn eLearning portal AND access to all software updates and upgrades for customers with a current maintenance agreement in effect.</t>
    </r>
  </si>
  <si>
    <r>
      <rPr>
        <vertAlign val="superscript"/>
        <sz val="10"/>
        <rFont val="Arial"/>
        <family val="2"/>
      </rPr>
      <t>2</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</si>
  <si>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3</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</si>
  <si>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4</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</si>
  <si>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5</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</si>
  <si>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6</t>
    </r>
    <r>
      <rPr>
        <sz val="10"/>
        <rFont val="Arial"/>
        <family val="2"/>
      </rPr>
      <t xml:space="preserve">All PlanetPress software and licenses are e-mailed to the end-customer. PlanetPress Software Media (Item 7640008009) is available for customers who require a physical CD.  </t>
    </r>
  </si>
  <si>
    <r>
      <rPr>
        <vertAlign val="superscript"/>
        <sz val="10"/>
        <rFont val="Arial"/>
        <family val="2"/>
      </rPr>
      <t>7</t>
    </r>
    <r>
      <rPr>
        <sz val="10"/>
        <rFont val="Arial"/>
        <family val="2"/>
      </rPr>
      <t>PlanetPress Suite Web-Based Training (Item 7640005082) provides 1 student with access to Objectif Lune's learning site for 1 year for the version selected.  This is only required for customers WITHOUT a current maintenance agreement in effect.  As of January 4, 2010, software maintenance now includes unlimited end-customer access to Objectif Lune's OL Learn eLearning portal for customers with a current maintenance agreement in effect.</t>
    </r>
  </si>
  <si>
    <r>
      <rPr>
        <vertAlign val="superscript"/>
        <sz val="10"/>
        <rFont val="Arial"/>
        <family val="2"/>
      </rPr>
      <t>8</t>
    </r>
    <r>
      <rPr>
        <sz val="10"/>
        <rFont val="Arial"/>
        <family val="2"/>
      </rPr>
      <t>2-Day On-Site Document Design Training (Item 7640008015) requires the purchase of Per Diem (item# 7640004304, $335 x 2 = $670), and airfare at cost.</t>
    </r>
  </si>
  <si>
    <r>
      <rPr>
        <vertAlign val="superscript"/>
        <sz val="10"/>
        <rFont val="Arial"/>
        <family val="2"/>
      </rPr>
      <t>9</t>
    </r>
    <r>
      <rPr>
        <sz val="10"/>
        <rFont val="Arial"/>
        <family val="2"/>
      </rPr>
      <t>2-Day On-Site Document Flow Training (Item 7640008016) requires the purchase of Per Diem (item# 7640004304, $335 x 2 = $670), and airfare at cost.</t>
    </r>
  </si>
  <si>
    <r>
      <rPr>
        <vertAlign val="superscript"/>
        <sz val="10"/>
        <rFont val="Arial"/>
        <family val="2"/>
      </rPr>
      <t>10</t>
    </r>
    <r>
      <rPr>
        <sz val="10"/>
        <rFont val="Arial"/>
        <family val="2"/>
      </rPr>
      <t>4-Day On-Site Solution Development Training (Item 7640008017) requires the purchase of Per Diem (item# 7640004304, $335 x 4 = $1,340), and airfare at cost.</t>
    </r>
  </si>
  <si>
    <r>
      <rPr>
        <vertAlign val="superscript"/>
        <sz val="10"/>
        <rFont val="Arial"/>
        <family val="2"/>
      </rPr>
      <t>11</t>
    </r>
    <r>
      <rPr>
        <sz val="10"/>
        <rFont val="Arial"/>
        <family val="2"/>
      </rPr>
      <t>PlanetPress Custom On-Site Training (Item 7640008018) requires the purchase of Per Diem (7640004304, $335 x number of days), with a 2-day minumum and airfare at cost.  On-site services can be combined to reach the 2-day minimum.</t>
    </r>
  </si>
  <si>
    <r>
      <rPr>
        <vertAlign val="superscript"/>
        <sz val="10"/>
        <rFont val="Arial"/>
        <family val="2"/>
      </rPr>
      <t>12</t>
    </r>
    <r>
      <rPr>
        <sz val="10"/>
        <rFont val="Arial"/>
        <family val="2"/>
      </rPr>
      <t>PlanetPress Talk On-Site Training (Item 7640008019) requires the purchase of Per Diem (7640004304, $335 x number of days), with a 2-day minumum and airfare at cost.  On-site services can be combined to reach the 2-day minimum.</t>
    </r>
  </si>
  <si>
    <r>
      <rPr>
        <vertAlign val="superscript"/>
        <sz val="10"/>
        <rFont val="Arial"/>
        <family val="2"/>
      </rPr>
      <t>13</t>
    </r>
    <r>
      <rPr>
        <sz val="10"/>
        <rFont val="Arial"/>
        <family val="2"/>
      </rPr>
      <t>Objectif Lune One Site Services (Item 7640001275) requires the purchase of Per Diem (7640004304, $335 x number of days), with a 2-day minumum and airfare at cost.  On-site services can be combined to reach the 2-day minimum.</t>
    </r>
  </si>
  <si>
    <t>ENGAGEIT VARIABLE DATA EngageIT Variable Data</t>
  </si>
  <si>
    <t>Upgrade from EngageIT VDP Desk top to EngageIT VDP PRO (per quote)</t>
  </si>
  <si>
    <t>UPG ENGAGEIT VDP DESKTOP TO PRO(QUOTE)</t>
  </si>
  <si>
    <r>
      <t>KM210VDPTOPROUPG</t>
    </r>
    <r>
      <rPr>
        <vertAlign val="superscript"/>
        <sz val="10"/>
        <rFont val="Arial"/>
        <family val="2"/>
      </rPr>
      <t>2</t>
    </r>
  </si>
  <si>
    <t>Re-Entry Annual Support and  Upgrades for EngageIT VDP Pro</t>
  </si>
  <si>
    <t>REENTRY ANN MAINT ENGAGEIT VDP PRO</t>
  </si>
  <si>
    <t>KM525DMPROBBI</t>
  </si>
  <si>
    <t>Re-Entry Annual Support and  Upgrades for EngageIT VDP Desk Top</t>
  </si>
  <si>
    <t>REENTRY ANN MAINT ENGAGEIT VDP DESKTOP</t>
  </si>
  <si>
    <t>KM525DMVDPBBI</t>
  </si>
  <si>
    <t>Professional Service UnitsOne unit of professional services for project or development work</t>
  </si>
  <si>
    <r>
      <t>KM600SVPRJ</t>
    </r>
    <r>
      <rPr>
        <vertAlign val="superscript"/>
        <sz val="10"/>
        <rFont val="Arial"/>
        <family val="2"/>
      </rPr>
      <t>3</t>
    </r>
  </si>
  <si>
    <t>Training</t>
  </si>
  <si>
    <t>JOB SETUP WITH TRAINING ON JOB</t>
  </si>
  <si>
    <t>First VDP Job Setup Training PackagePrepare a single VDP job for user plus webinar training on that job only*</t>
  </si>
  <si>
    <t>KM700DMJSU</t>
  </si>
  <si>
    <t>VIDEO TRAINING</t>
  </si>
  <si>
    <t>Video Training, Self-train with Video Access</t>
  </si>
  <si>
    <t>KM700DMVID</t>
  </si>
  <si>
    <t>WEBINAR TRAINING</t>
  </si>
  <si>
    <t>Webinar Training PackageThis package includes hands-on, basic training. The training is Instructor-guided and is delivered typically in a single online session</t>
  </si>
  <si>
    <t>KM700DMWEB</t>
  </si>
  <si>
    <r>
      <rPr>
        <vertAlign val="superscript"/>
        <sz val="10"/>
        <rFont val="Arial"/>
        <family val="2"/>
      </rPr>
      <t>1</t>
    </r>
    <r>
      <rPr>
        <sz val="10"/>
        <rFont val="Arial"/>
        <family val="2"/>
      </rPr>
      <t>IMPORTANT NOTES ABOUT ENGAGEIT VARIABLE DATA All EngageIT Variable Data software components work directly with the Adobe AE InDesign AE application provide powerful Variable Data Printing features. EngageIT VDP Desktop is the special, low-cost solution for Variable Data Printing developed exclusively for Konica Minolta. The software is fully functional and is limited to PDF and PDF/VT output. EngageIT VDP PRO is the professional version of the software, which includes faster performance, a few extra "power user" features, and access to more print output formats, including PDF, PDF/VT, PostScript, and PPML. For a full comparison of the Desktop and PRO version features, please visit www.EngageITVDP.com/compare. SYSTEM REQUIREMENTS EngageIT VDP Desktop and PRO work with the Adobe InDesign application. The client must have a license to Adobe InDesign Creative Cloud 2014 (CC2014) or higher in order to use the software. Both Macintosh and Windows platforms are fully supported. INSTALLATION EngageIT VDP Desktop and EngageIT VDP PRO are customer-installed. There are no media shipped. The installers can be accessed online at www.EngageITVDP.com/installers. License codes are delivered via email. A valid customer email address is mandatory for each order. LICENSE TYPE All licenses for the EngageIT VDP Desktop or PRO are Perpetual, meaning that the license will not expire and does not need to be renewed. However, support for the product, if desired, must be renewed. SUPPORT Support is mandatory at the point of sale for both EngageIT VDP Desktop and EngageIT VDP Pro. One support is required for each license purchased. Software updates are included with support UPGRADING FROM DESKTOP TO PRO When upgrading from EngageIT VDP Desktop to EngageIT VDP PRO, support for EngageIT VDP PRO must be purchased. When the software is activated, the user will be allowed to select the version of Adobe InDesign they wish to use for the EngageIT VDP PRO software. John Kriho jkriho@meadowsps.com (847) 882-8202; Mike Clancy mclancy@meadowsps.com (847) 882-8202 SUPPORT RENEWAL Support is required only for the initial purchase. After the first year, support renewal is optional. Software support is provided only to those clients who maintain a current support plan. Each license owned by a client must have support.</t>
    </r>
  </si>
  <si>
    <t>2.25 GB Standard</t>
  </si>
  <si>
    <t>2 GB Standard</t>
  </si>
  <si>
    <t>Cassette - 1 X 550 sheets</t>
  </si>
  <si>
    <t>Cassette - 1 X 550 sheets plus stand</t>
  </si>
  <si>
    <t>Cassette - 3 X 550 sheets plus stand</t>
  </si>
  <si>
    <t>Cassette - 2 X 2000 sheets plus stand</t>
  </si>
  <si>
    <t>Stapler/Stacker Finisher (designated by “z+”)</t>
  </si>
  <si>
    <t>Hole punch - 2/3 for external finisher</t>
  </si>
  <si>
    <t>Stapler/Stacker Finisher Staples</t>
  </si>
  <si>
    <t xml:space="preserve">Staple Cartridge Refill </t>
  </si>
  <si>
    <t>1GB 90-Pin DDR3 DIMM</t>
  </si>
  <si>
    <t>2GB DDR3x32 144-Pin 800MHz SODIMM</t>
  </si>
  <si>
    <t>Smartcard US Govt Niprnet Solution</t>
  </si>
  <si>
    <t>Smartcard US Govt Siprnet Solution</t>
  </si>
  <si>
    <t xml:space="preserve">MFP Analog 700 Fax </t>
  </si>
  <si>
    <t>2GB RAM Disk Memory</t>
  </si>
  <si>
    <t>1GB RAM Disk Memory</t>
  </si>
  <si>
    <t>Hard Disk Drive with FIPS Validation</t>
  </si>
  <si>
    <t>Black Ink</t>
  </si>
  <si>
    <t xml:space="preserve">Cyan Ink </t>
  </si>
  <si>
    <t>Yellow Ink</t>
  </si>
  <si>
    <t>Magenta Ink</t>
  </si>
  <si>
    <t>HP 300 ADF Roller Replacement Kit</t>
  </si>
  <si>
    <t>110V Heated Pressure Roller (designated by “z+”)</t>
  </si>
  <si>
    <t>Printhead Wiper</t>
  </si>
  <si>
    <t>ADF Roller Replacement</t>
  </si>
  <si>
    <t>Service Fluid Container</t>
  </si>
  <si>
    <t>Tray Roller</t>
  </si>
  <si>
    <t>P1V16A</t>
  </si>
  <si>
    <t>P1V17A</t>
  </si>
  <si>
    <t>P1V18A</t>
  </si>
  <si>
    <t>P1V19A</t>
  </si>
  <si>
    <t>Z4L04A</t>
  </si>
  <si>
    <t>Y1G10A</t>
  </si>
  <si>
    <t>Y1G14A</t>
  </si>
  <si>
    <t>J8J96A</t>
  </si>
  <si>
    <t>CC543B</t>
  </si>
  <si>
    <t>F8B30A</t>
  </si>
  <si>
    <t>2EH31A</t>
  </si>
  <si>
    <t>2NR09A</t>
  </si>
  <si>
    <t>2NR03A</t>
  </si>
  <si>
    <t>5EL03A</t>
  </si>
  <si>
    <t>M0K28XC</t>
  </si>
  <si>
    <t>M0K05XC</t>
  </si>
  <si>
    <t>M0K24XC</t>
  </si>
  <si>
    <t>M0K09XC</t>
  </si>
  <si>
    <t>J8J95A</t>
  </si>
  <si>
    <t>3MM39A</t>
  </si>
  <si>
    <t>W1B43A</t>
  </si>
  <si>
    <t>W1B47A</t>
  </si>
  <si>
    <t>W1B44A</t>
  </si>
  <si>
    <t>W1B45A</t>
  </si>
  <si>
    <t>PRODUCT DESCRIPTION</t>
  </si>
  <si>
    <t>LIST PRICE</t>
  </si>
  <si>
    <t>CURRENT GSA DISCOUNT (Percentage Amount)</t>
  </si>
  <si>
    <t>VITA DISCOUNT (Percentage Amount, should be equal to or greater than GSA Discount)</t>
  </si>
  <si>
    <t>WEBJET 100D CONTINUOUS FEED DIGITAL INKJET PRESS</t>
  </si>
  <si>
    <t>WEBJET 100D PROGRAMMABLE HORIZONTAL PERFORATOR</t>
  </si>
  <si>
    <t>WEBJET 100D CAMERA INSPECTION SYSTEM</t>
  </si>
  <si>
    <t>WEBJET 100D 3 OR 5 HOLE PUNCH UNIT</t>
  </si>
  <si>
    <t>PRINT HEAD (x1)</t>
  </si>
  <si>
    <t>CYAN INK DRUM 55L</t>
  </si>
  <si>
    <t>MAGENTA INK DRUM 55L</t>
  </si>
  <si>
    <t>YELLOW  INK DRUM 55L</t>
  </si>
  <si>
    <t>BLACK INK DRUM 55L</t>
  </si>
  <si>
    <t>WEBJET WIPER ROLLER GEN2</t>
  </si>
  <si>
    <t>WEBJET ASM MODULE WIPER ASSEMBLY GEN2</t>
  </si>
  <si>
    <t>WEBJET 100D SHEETER KNIFE SET</t>
  </si>
  <si>
    <t>WEBJET 100D CROSS PERF 12 TEETH/INCH</t>
  </si>
  <si>
    <t>WEBJET 100D CROSS PERF 50 TEETH/INCH</t>
  </si>
  <si>
    <t>WEBJET IDS BLADE ASSEMBLY (COMPLETE)</t>
  </si>
  <si>
    <t>WEBJET MAINTENCE CHASSIS</t>
  </si>
  <si>
    <t>Professional Services Project Fee</t>
  </si>
  <si>
    <t>WEBJET PROFESSIONAL SERVICES - OPERATOR TRAINING 5 DAY - KM</t>
  </si>
  <si>
    <t>WEBJET PROFESSIONAL SERVICES - ADVANCED OPERATOR TRAINING 5 DAY - KM</t>
  </si>
  <si>
    <t>PROKOM MEMBERSHIP </t>
  </si>
  <si>
    <t>WEBJET ENGINE FREIGHT (REQUEST QUOTE)</t>
  </si>
  <si>
    <t>WEBJET INK FREIGHT (REQUEST QUOTE)</t>
  </si>
  <si>
    <t>WEBJET 100D INSTALLATION - KM</t>
  </si>
  <si>
    <t>WEBJET 200D CONTINUOUS FEED DIGITAL INKJET PRESS</t>
  </si>
  <si>
    <t>WEBJET 200D PROGRAMMABLEHORIZONTAL PERFORATOR</t>
  </si>
  <si>
    <t>WEBJET 200D CAMERA INSPECTION SYSTEM</t>
  </si>
  <si>
    <t>WEBJET 200D 3 OR 5 HOLE PUNCH UNIT</t>
  </si>
  <si>
    <t>WEBJET 200D SLIT AND MERGE UNIT</t>
  </si>
  <si>
    <t>WEBJET VERSASTACK PLUS FOR WEBJET 200D ONLY</t>
  </si>
  <si>
    <t xml:space="preserve">WEBJET 200D INLINE LETTER FOLDER </t>
  </si>
  <si>
    <t>WEBJET 200D OUTFEED AND REWIND UNIT</t>
  </si>
  <si>
    <t>WEBJET 200D SHEETER KNIFE SET</t>
  </si>
  <si>
    <t>WEBJET 200D CROSS PERF 12 TEETH/INCH</t>
  </si>
  <si>
    <t>WEBJET 200D CROSS PERF 50 TEETH/INCH</t>
  </si>
  <si>
    <t>WEBJET 200D SLITTER KNIFE (SLIT/MERGE)</t>
  </si>
  <si>
    <t>WEBJET 200D INSTALLATION - KM</t>
  </si>
  <si>
    <r>
      <t xml:space="preserve">The brilliantly compact KIP 660 multifunction system is the single solution for all your wide format imaging and can save up to 50% over current print costs. KIP 600 Series systems produce excellent toner image quality with pinpoint accuracy and game changing productivity. KIP 600 Series systems feature KIP’s exclusive Contact Control Technology. The KIP 600 Series with CCT Technology delivers reliability that surpasses expectations in a sleek compact design that requires 25% less space.
</t>
    </r>
    <r>
      <rPr>
        <sz val="10"/>
        <rFont val="Tahoma"/>
        <family val="2"/>
      </rPr>
      <t>**Picture below may show optional accessories not included with the base configuration. Consult VBS Sales Professional for product information.</t>
    </r>
  </si>
  <si>
    <t>SYS660K</t>
  </si>
  <si>
    <t>KIP 660 2 Roll MFP Color Print System</t>
  </si>
  <si>
    <t>MAINTENANCE OPTION - 31</t>
  </si>
  <si>
    <t>PDF Format Printing Keycod</t>
  </si>
  <si>
    <t>Integrated Solution Keycode for 3rd Party Application -</t>
  </si>
  <si>
    <t>EQACCQCKIT</t>
  </si>
  <si>
    <t>DIGPDF-800K</t>
  </si>
  <si>
    <t>Monochrome Laser</t>
  </si>
  <si>
    <t>6 seconds</t>
  </si>
  <si>
    <t>10.2 x 15.7 x 14.7 in.</t>
  </si>
  <si>
    <t>31.1 lbs.</t>
  </si>
  <si>
    <t>1024MB Standard</t>
  </si>
  <si>
    <t>11.9 x 15.7 x 14.7 in.</t>
  </si>
  <si>
    <t>35.5 lbs.</t>
  </si>
  <si>
    <t>55 ppm</t>
  </si>
  <si>
    <t>4.5 seconds</t>
  </si>
  <si>
    <t>Up to 4400 sheets</t>
  </si>
  <si>
    <t>17.4 x 16.85 x 20.1 in.</t>
  </si>
  <si>
    <t>56.4 lbs.</t>
  </si>
  <si>
    <t>Color Laser</t>
  </si>
  <si>
    <t>Black: 35 ppm / Color: 35 ppm</t>
  </si>
  <si>
    <t>Black: &lt;8.5 seconds / Color: &lt;8.5 seconds</t>
  </si>
  <si>
    <t>Up to 1451 sheets</t>
  </si>
  <si>
    <t>2048MB Standard</t>
  </si>
  <si>
    <t>18.2 x 17.4 x 23.1 in.</t>
  </si>
  <si>
    <t>60 lbs.</t>
  </si>
  <si>
    <t>Black: 50 ppm / Color: 50 ppm</t>
  </si>
  <si>
    <t>Black: &lt;5 seconds / Color: &lt;5.5 seconds</t>
  </si>
  <si>
    <t>16.4 x 18.7 x 19.65 in.</t>
  </si>
  <si>
    <t>80 lbs.</t>
  </si>
  <si>
    <t>21.12 x 22 x 20.6 in.</t>
  </si>
  <si>
    <t>137 lbs.</t>
  </si>
  <si>
    <t>Black: 60 ppm / Color: 60 ppm</t>
  </si>
  <si>
    <t>Black: &lt;7 seconds / Color: &lt;7 seconds</t>
  </si>
  <si>
    <t>Up to 4500 sheets</t>
  </si>
  <si>
    <t>MAINTENANCE OPTION - 45</t>
  </si>
  <si>
    <t>1GY94A</t>
  </si>
  <si>
    <t>MAINTENANCE OPTION - 52</t>
  </si>
  <si>
    <t>3D40FLXEDU</t>
  </si>
  <si>
    <t>26153DBTAB</t>
  </si>
  <si>
    <t>2615BP40AA</t>
  </si>
  <si>
    <t>BP40FLX01</t>
  </si>
  <si>
    <t>BP40FLX02</t>
  </si>
  <si>
    <t xml:space="preserve">BP4501 </t>
  </si>
  <si>
    <t>BT40-01 Build Sheet (Pack of 3)</t>
  </si>
  <si>
    <t>BP40-01 Build Platform (each)</t>
  </si>
  <si>
    <t>Dremel 3D40 FLEX Build Plate Assembly-used to convert a 3D40 printer to a flexible build plate inlcudes build plate holder build plate and one flexible sheet</t>
  </si>
  <si>
    <t>Dremel 3D40 FLEX Flexible Build Plate EXTRA</t>
  </si>
  <si>
    <t>Build Plate for 3D45-01 DigiLab 3D printer</t>
  </si>
  <si>
    <t>Dremel 3D40 3DPrinter with FlexBuildPlate with EDU Curriculum</t>
  </si>
  <si>
    <r>
      <t xml:space="preserve">For versatile 3D printing, the Material Extrusion 3D printers from Konica Minolta are your high quality solution. Our 3D printing technology and functionality has surpassed what is being delivered on the market, and our printers can help bring your digital concepts to fruition. Delivering only the highest of quality, you can count on Konica Minolta’s reliability when you purchase one of our Material Extrusion 3D printers.
</t>
    </r>
    <r>
      <rPr>
        <sz val="10"/>
        <rFont val="Tahoma"/>
        <family val="2"/>
      </rPr>
      <t>**Picture below may show optional accessories not included with the base configuration. Consult VBS Sales Professional for product information.</t>
    </r>
  </si>
  <si>
    <r>
      <t xml:space="preserve">Scan and copy your everyday documents and maps at high speeds without fringing, using the HP DesignJet SD Pro Multifunction Printer and advanced CIS technology. Simplify operation and boost workflow productivity with dual rolls and smart switching.
</t>
    </r>
    <r>
      <rPr>
        <sz val="10"/>
        <rFont val="Tahoma"/>
        <family val="2"/>
      </rPr>
      <t>**Picture below may show optional accessories not included with the base configuration. Consult VBS Sales Professional for product information.</t>
    </r>
  </si>
  <si>
    <t>HP Designjet T1700 SD Pro MFP</t>
  </si>
  <si>
    <t>HP Designjet T2600dr MFP</t>
  </si>
  <si>
    <t>MAINTENANCE OPTION - 46</t>
  </si>
  <si>
    <t>HP Designjet T7100 Roll Upgrade</t>
  </si>
  <si>
    <t>HP DesignJet T2600dr PS MFP Printer trade compliant</t>
  </si>
  <si>
    <t>HM-103  Humidification Unit for RU-518</t>
  </si>
  <si>
    <t>NexGen Cable</t>
  </si>
  <si>
    <t>B\W Copies Included:</t>
  </si>
  <si>
    <t>Professional Color CPC</t>
  </si>
  <si>
    <t>Accent Color CPC</t>
  </si>
  <si>
    <t>Color Save CPC</t>
  </si>
  <si>
    <t xml:space="preserve"> B\WCopies Included:</t>
  </si>
  <si>
    <t xml:space="preserve"> Color Copies Included:</t>
  </si>
  <si>
    <t>B\W CPC:</t>
  </si>
  <si>
    <t>CPC billed at $0.065</t>
  </si>
  <si>
    <t>CPC billed at $0.016</t>
  </si>
  <si>
    <t>CPC billed at $0.019</t>
  </si>
  <si>
    <t>CPC billed at $0.009</t>
  </si>
  <si>
    <t xml:space="preserve"> B\W Copies Included:</t>
  </si>
  <si>
    <t>CPC billed at $0.044</t>
  </si>
  <si>
    <t>CPC billed at $0.015</t>
  </si>
  <si>
    <t>CPC billed at $0.011</t>
  </si>
  <si>
    <t>B\W Overages</t>
  </si>
  <si>
    <t>B\W Overages:</t>
  </si>
  <si>
    <t>Professional Color CPC:</t>
  </si>
  <si>
    <t>Accent Color CPC:</t>
  </si>
  <si>
    <t>Color Save CPC:</t>
  </si>
  <si>
    <t>CPC billed at $0.017</t>
  </si>
  <si>
    <t>CPC billed at $0.057</t>
  </si>
  <si>
    <t>A0PDAA1</t>
  </si>
  <si>
    <t>4623485</t>
  </si>
  <si>
    <t>ACDJWY1</t>
  </si>
  <si>
    <t>G844100LCMUS2</t>
  </si>
  <si>
    <t>R5427011136466GEN2</t>
  </si>
  <si>
    <t>A2YUWY3 &amp; ACW5WY1</t>
  </si>
  <si>
    <t>A63GWY2</t>
  </si>
  <si>
    <t>A8C6WY2</t>
  </si>
  <si>
    <t>AAR4WY1 &amp; A87JWY2</t>
  </si>
  <si>
    <t>AAR4WYA &amp; A87JWY2</t>
  </si>
  <si>
    <t>AAR5WY1 &amp; A87JWY2</t>
  </si>
  <si>
    <t>AAR5WYA &amp; A87JWY2</t>
  </si>
  <si>
    <t>AC28W11</t>
  </si>
  <si>
    <t>ACF5W11</t>
  </si>
  <si>
    <t>ACV0WY1</t>
  </si>
  <si>
    <t>ACV2WY1</t>
  </si>
  <si>
    <t>A9EFW12</t>
  </si>
  <si>
    <t>AAV5016</t>
  </si>
  <si>
    <t>FK-514 Fax Kit supports 1st &amp; 2nd fax line - no mount kit required</t>
  </si>
  <si>
    <t>FK-515  Fax Kit (Supports 3rd &amp; 4th fax line)</t>
  </si>
  <si>
    <t>LK-116 Bitdefender Virus Scan</t>
  </si>
  <si>
    <t>Key Counter Mount Kit 1</t>
  </si>
  <si>
    <t>Stylus Pen Stylus for INFO-Palette Series</t>
  </si>
  <si>
    <t>KH-102  Keyboard Holder</t>
  </si>
  <si>
    <t>EK-609 USB Host Board (Local Interface Kit)  with Bluetooth Printing Support</t>
  </si>
  <si>
    <t>EM-908 1 TB Solid State Drive</t>
  </si>
  <si>
    <t>UK-221 Upgrade Kit (Provides Wireless LAN)</t>
  </si>
  <si>
    <t>JS-602 Job Separator (FS-540/FS-540SD)</t>
  </si>
  <si>
    <t>FS-533 &amp; MK607 INNER FINISHER &amp; Mount Kit</t>
  </si>
  <si>
    <t>ZU-609 Z-Fold Unit</t>
  </si>
  <si>
    <t>PI-507 Post Inserter</t>
  </si>
  <si>
    <t>FS-539 &amp; RU-513 Finisher (50 Sheets) plus manual stapler &amp; Relay Unit</t>
  </si>
  <si>
    <t>FS-539 &amp; RU-513 SD Booklet Finisher (50 Sheets) plus manual stapler &amp; Relay Unit</t>
  </si>
  <si>
    <t>FS-540 &amp; RU-513 Finisher (100 Sheets) plus manual stapler &amp; Relay Unit</t>
  </si>
  <si>
    <t>FS-540 &amp; RU-513 SD Booklet Finisher (100 Sheets) plus manual stapler &amp; Relay Unit</t>
  </si>
  <si>
    <t>PK-524 2/3 Hole Punch Unit (FS-539/FS-539SD)</t>
  </si>
  <si>
    <t>PK-526 2/3 Hole Punch Unit (FS-540/FS-540SD)</t>
  </si>
  <si>
    <t>OT-513 Output Tray</t>
  </si>
  <si>
    <t>JS-508 Job Separator</t>
  </si>
  <si>
    <t>MK-730 Banner Guide</t>
  </si>
  <si>
    <t>LU-302 Large Capacity Unit</t>
  </si>
  <si>
    <t>LU-207 Large Capacity Unit</t>
  </si>
  <si>
    <t>PC-416 Paper Feed Cabinet</t>
  </si>
  <si>
    <t>PC-417 Paper Feed Cabinet</t>
  </si>
  <si>
    <t>PC-116 Paper Feed Cabinet</t>
  </si>
  <si>
    <t>PC-216 Paper Feed Cabinet</t>
  </si>
  <si>
    <t>EFI AutoTrap Graphic Arts Feature</t>
  </si>
  <si>
    <t>EFI Fiery SeeQuence Impose Compose Suite</t>
  </si>
  <si>
    <t>EFI Hot Folders Graphic Arts Feature</t>
  </si>
  <si>
    <t>220 lbs.</t>
  </si>
  <si>
    <t>1200 X 1200 dpi</t>
  </si>
  <si>
    <t>Approx 13 seconds</t>
  </si>
  <si>
    <t xml:space="preserve">Full Color: 5.0 seconds or less (letter) </t>
  </si>
  <si>
    <t>B&amp;W: 3.8 seconds or less (letter)</t>
  </si>
  <si>
    <t>24.2” x 27.1" x 37.8” (WDH)</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</si>
  <si>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expertly blends reliable functionality with versatile serviceability.
</t>
    </r>
    <r>
      <rPr>
        <sz val="10"/>
        <rFont val="Tahoma"/>
        <family val="2"/>
      </rPr>
      <t xml:space="preserve">**Picture below may show optional accessories not included with the base configuration. Consult VBS Sales Professional for product information. </t>
    </r>
  </si>
  <si>
    <t>250,000 pages</t>
  </si>
  <si>
    <t xml:space="preserve">Full Color: 4.3 seconds or less (letter) </t>
  </si>
  <si>
    <t>B&amp;W: 3.3 seconds or less (letter)</t>
  </si>
  <si>
    <t xml:space="preserve">Full Color: 3.8 seconds or less (letter) </t>
  </si>
  <si>
    <t>B&amp;W: 2.8 seconds or less (letter)</t>
  </si>
  <si>
    <t>Dispatcher Phoenix</t>
  </si>
  <si>
    <t>Cost per Copy billed at $0.006</t>
  </si>
  <si>
    <t>Color CPC billed at $0.04</t>
  </si>
  <si>
    <t>Overages billed at $0.005</t>
  </si>
  <si>
    <t>Cost per Copy billed at $0.004</t>
  </si>
  <si>
    <t>Overages billed at $0.004</t>
  </si>
  <si>
    <t>MAINTENANCE OPTION - 24</t>
  </si>
  <si>
    <t>MAINTENANCE OPTION - 25</t>
  </si>
  <si>
    <t>MAINTENANCE OPTION - 26</t>
  </si>
  <si>
    <t>MAINTENANCE OPTION - 27</t>
  </si>
  <si>
    <t>MAINTENANCE OPTION - 28</t>
  </si>
  <si>
    <t>MAINTENANCE OPTION - 29</t>
  </si>
  <si>
    <t xml:space="preserve">Spare TX Marker Stamp 2 </t>
  </si>
  <si>
    <t xml:space="preserve">Key Counter Mount Kit </t>
  </si>
  <si>
    <t>WT-506   Working Table</t>
  </si>
  <si>
    <t xml:space="preserve">Stylus for INFO-Palette Series </t>
  </si>
  <si>
    <t xml:space="preserve">EM-908 1 TB Solid State Drive </t>
  </si>
  <si>
    <t xml:space="preserve">SC-509 Security Kit </t>
  </si>
  <si>
    <t xml:space="preserve">UK-221 Upgrade Kit (Provides Wireless LAN) </t>
  </si>
  <si>
    <t xml:space="preserve">ESP ENVISIONSENSE PMS 120V/15A Comprehensive Monitoring &amp; Predictive Analytics </t>
  </si>
  <si>
    <t xml:space="preserve">AU-205H IC Card Reader </t>
  </si>
  <si>
    <t>FS-533 Inner Finisher (50 Sheets)</t>
  </si>
  <si>
    <t>PK-519 2/3 Hole Punch Unit (FS-533)</t>
  </si>
  <si>
    <t>RU-513 Relay Unit</t>
  </si>
  <si>
    <t xml:space="preserve">OT-513 Output Tray </t>
  </si>
  <si>
    <t xml:space="preserve">bizhub SECURE Healthcare  </t>
  </si>
  <si>
    <t>AC8XWY1</t>
  </si>
  <si>
    <t>A2YUWY3</t>
  </si>
  <si>
    <t>A87JWY2</t>
  </si>
  <si>
    <t>7640015657</t>
  </si>
  <si>
    <t>7640019024</t>
  </si>
  <si>
    <t>Laser w/ Simitri® HD Polymerized Toner</t>
  </si>
  <si>
    <t>Approx. 11 seconds</t>
  </si>
  <si>
    <t>8,192 MB Standard</t>
  </si>
  <si>
    <t>110–120 V / 50/60 Hz</t>
  </si>
  <si>
    <t>24.2” x 27” x 31”  (WDH)</t>
  </si>
  <si>
    <t>187 lbs</t>
  </si>
  <si>
    <t>Key Counter Mount Kit Mount Kit 1</t>
  </si>
  <si>
    <t>Approx. 12 seconds</t>
  </si>
  <si>
    <t>4.6 seconds or less</t>
  </si>
  <si>
    <t>Stylus for INFO-Palette Series Stylus for INFO-Palette Series</t>
  </si>
  <si>
    <t xml:space="preserve">IM-102 Intelligent Media Sensor </t>
  </si>
  <si>
    <t xml:space="preserve">PK-526 2/3 Hole Punch Unit (FS-540/FS-540SD) </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</si>
  <si>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expertly blends reliable functionality with versatile serviceability.
</t>
    </r>
    <r>
      <rPr>
        <sz val="10"/>
        <rFont val="Tahoma"/>
        <family val="2"/>
      </rPr>
      <t>**Picture below may show optional accessories not included with the base configuration. Consult VBS Sales Professional for product information.</t>
    </r>
  </si>
  <si>
    <r>
      <t xml:space="preserve">This i-Series houses a powerful engine, a quad-core central processing unit with standard 8 GB of memory and 256 GB SSD, which allows for quick-response, high-performance operations with higher print speeds. With an additional combination of full-speed media printing range, high-speed single pass dual scan doc feeder as well as finishing options, digital skew correction, and large capability trays, it blends reliable functionality with versatile serviceability.
</t>
    </r>
    <r>
      <rPr>
        <sz val="10"/>
        <rFont val="Tahoma"/>
        <family val="2"/>
      </rPr>
      <t>**Picture below may show optional accessories not included with the base configuration. Consult VBS Sales Professional for product information.</t>
    </r>
  </si>
  <si>
    <t xml:space="preserve">bizhub SECURE Healthcare   </t>
  </si>
  <si>
    <t>LK-117 i-Option License (IP FAX T.38 FAX)</t>
  </si>
  <si>
    <t>ESP ENVISIONSENSE PMS 120V/20A Comprehensive Monitoring &amp; Predictive Analytics</t>
  </si>
  <si>
    <t xml:space="preserve">PK-526 2/3 Hole Punch Kit for FS-540/FS-540 SD </t>
  </si>
  <si>
    <t xml:space="preserve">OT-514 Output Tray </t>
  </si>
  <si>
    <t xml:space="preserve">WT-519 Upright Working Table </t>
  </si>
  <si>
    <t>A0PDA12</t>
  </si>
  <si>
    <t>EVS12020</t>
  </si>
  <si>
    <t>AC28W21</t>
  </si>
  <si>
    <t>ACF5W21</t>
  </si>
  <si>
    <t>ACWAWY1</t>
  </si>
  <si>
    <t>ACWCWY1</t>
  </si>
  <si>
    <t>A8H6W12</t>
  </si>
  <si>
    <t>A8H7W12</t>
  </si>
  <si>
    <t xml:space="preserve">EFI AutoTrap Graphic Arts Feature </t>
  </si>
  <si>
    <t xml:space="preserve">EFI FIERY CPS V4.0 ES-2000 Fiery Color Profiler Suite v4.0 with ES-2000 Spectrophotometer </t>
  </si>
  <si>
    <t xml:space="preserve">EFI Fiery SeeQuence Compose </t>
  </si>
  <si>
    <t xml:space="preserve">EFI Hot Folders Graphic Arts Feature </t>
  </si>
  <si>
    <t xml:space="preserve">EFI IC-418 Productivity Package </t>
  </si>
  <si>
    <t xml:space="preserve">Fiery Impose without Acrbt-Ptstp </t>
  </si>
  <si>
    <t xml:space="preserve">Fiery Impose-Compose without Acrbt-Ptstp </t>
  </si>
  <si>
    <t xml:space="preserve">IC-420 Image Controller </t>
  </si>
  <si>
    <t xml:space="preserve">Key Counter Mount Kit 1 for Hecon Conventional Counter </t>
  </si>
  <si>
    <t xml:space="preserve">UK-115 Fiery Controller Mount Kit </t>
  </si>
  <si>
    <t xml:space="preserve">VI-516 Video Interface Kit </t>
  </si>
  <si>
    <t>Approx. 15 seconds</t>
  </si>
  <si>
    <t>3.8 seconds or less</t>
  </si>
  <si>
    <t>110–120 V / 60 Hz</t>
  </si>
  <si>
    <t>24.2” x 27.1” x 37.8” (WDH)</t>
  </si>
  <si>
    <t>220 lbs</t>
  </si>
  <si>
    <t>Approx. 14 seconds</t>
  </si>
  <si>
    <t>3.3 seconds or less</t>
  </si>
  <si>
    <t>220–240 V / 50/60 Hz</t>
  </si>
  <si>
    <t>2.8 seconds or less</t>
  </si>
  <si>
    <t>24.2” x 27.1” x 37.8”   (WDH)</t>
  </si>
  <si>
    <t>75 pages per minute</t>
  </si>
  <si>
    <t>Approx. 17 seconds</t>
  </si>
  <si>
    <t>110-120V/ 50/60 Hz</t>
  </si>
  <si>
    <t>24.2” x 27.1” x 47.5”  (WDH)</t>
  </si>
  <si>
    <t>307 lbs</t>
  </si>
  <si>
    <t>FS-539 &amp; RU-513 Finisher (50 Sheets) plus manual stapler &amp;  Relay Unit</t>
  </si>
  <si>
    <t>FS-539 SD &amp; RU-513 Booklet Finisher (50 Sheets) plus manual stapler &amp; relay Unit</t>
  </si>
  <si>
    <t>FS-540 &amp; RU-513 Finisher (100 Sheets) plus manual stapler Relay Unit</t>
  </si>
  <si>
    <t>FS-540 SD &amp; RU-513 Booklet Finisher (100 Sheets) plus manual stapler Relay Unit</t>
  </si>
  <si>
    <t>AAR4WY3 &amp; ACU6WY1</t>
  </si>
  <si>
    <t>AAR4WYE &amp; ACU6WY1</t>
  </si>
  <si>
    <t>AAR5WY1 &amp; ACU6WY1</t>
  </si>
  <si>
    <t>AAR5WYA &amp; ACU6WY1</t>
  </si>
  <si>
    <t>FS-539 &amp; RU-519 Finisher (50 Sheets) plus manual stapler &amp; Relay Unit</t>
  </si>
  <si>
    <t>FS-539 SD &amp; RU-519 Booklet Finisher (50 Sheets) plus manual stapler &amp; Relay Unit</t>
  </si>
  <si>
    <t>FS-540 &amp; RU-519 Finisher (100 Sheets) plus manual stapler &amp; Relay Unit</t>
  </si>
  <si>
    <t>FS-540 SD &amp; RU-519 Booklet Finisher (100 Sheets) plus manual stapler &amp; Relay Unit</t>
  </si>
  <si>
    <t>AccurioPress C12000</t>
  </si>
  <si>
    <t>AC0D011</t>
  </si>
  <si>
    <t xml:space="preserve">SMART-UPS 1500VA LCD 120V WITH SMARTCONN </t>
  </si>
  <si>
    <t xml:space="preserve">ESP ENVISIONSENSE PMS 208V-240V/30A </t>
  </si>
  <si>
    <t xml:space="preserve">eWire Spool, Element Size A, Black </t>
  </si>
  <si>
    <t xml:space="preserve">eWire Spool, Element Size B,  Black </t>
  </si>
  <si>
    <t xml:space="preserve">eWire Spool, Element Size C,  Black </t>
  </si>
  <si>
    <t xml:space="preserve">eWire Spool, Element Size D,  Black </t>
  </si>
  <si>
    <t xml:space="preserve">eWire Spool, Element Size E,  Black </t>
  </si>
  <si>
    <t xml:space="preserve">eWire Spool, Element Size A,  White </t>
  </si>
  <si>
    <t xml:space="preserve">eWire Spool, Element Size B,  White </t>
  </si>
  <si>
    <t xml:space="preserve">eWire Spool, Element Size C,  White </t>
  </si>
  <si>
    <t xml:space="preserve">eWire Spool, Element Size D,  White </t>
  </si>
  <si>
    <t xml:space="preserve">eWire Spool, Element Size E,  White </t>
  </si>
  <si>
    <t xml:space="preserve">eWire Spool, Element Size A,  Silver </t>
  </si>
  <si>
    <t xml:space="preserve">eWire Spool, Element Size B,  Silver </t>
  </si>
  <si>
    <t xml:space="preserve">eWire Spool, Element Size C,  Silver </t>
  </si>
  <si>
    <t xml:space="preserve">eWire Spool, Element Size D,  Silver </t>
  </si>
  <si>
    <t xml:space="preserve">eWire Spool, Element Size E,  Silver </t>
  </si>
  <si>
    <t xml:space="preserve">C14000 Fuser Loading Wagon </t>
  </si>
  <si>
    <t xml:space="preserve">FD-504 Square Folding Unit </t>
  </si>
  <si>
    <t xml:space="preserve">TU-503 Trimmer Unit </t>
  </si>
  <si>
    <t xml:space="preserve">CR-101 Creaser Unit </t>
  </si>
  <si>
    <t>RU-518m Relay Unit</t>
  </si>
  <si>
    <t>LS-507 Large Stacker</t>
  </si>
  <si>
    <t>FS-541 Staple Finisher</t>
  </si>
  <si>
    <t>TU-510 Trimmer Unit</t>
  </si>
  <si>
    <t>UK-301 Auto Inspection Unit</t>
  </si>
  <si>
    <t>RU-702 Purge Tray</t>
  </si>
  <si>
    <t>PK-525 Punch Kit</t>
  </si>
  <si>
    <t>OT-512  Output Tray</t>
  </si>
  <si>
    <t>LC-502 Stacker Cart</t>
  </si>
  <si>
    <t>CR-102 Creaser for TU-510</t>
  </si>
  <si>
    <t>TU-504 Slitter for TU-510</t>
  </si>
  <si>
    <t>MK-764 Banner Output for TU-510</t>
  </si>
  <si>
    <t>JS-507 Business Card Tray for TU-510</t>
  </si>
  <si>
    <t>VI-514 Video Interface for IQ-501 &amp;  Auto Inspection</t>
  </si>
  <si>
    <t>EF-106 Envelope Fuser</t>
  </si>
  <si>
    <t>WT-518 Working Table</t>
  </si>
  <si>
    <t xml:space="preserve">HT-506 Dehumidifier Heater </t>
  </si>
  <si>
    <t>PF-712 Paper Feed</t>
  </si>
  <si>
    <t>PF-713 Paper Feed with Scanner</t>
  </si>
  <si>
    <t>MB-511 Bypass Banner Tray</t>
  </si>
  <si>
    <t>FA-505 PF Connection Kit</t>
  </si>
  <si>
    <t>UK-112 HDD for PF-713</t>
  </si>
  <si>
    <t>MK-760 banner input</t>
  </si>
  <si>
    <t>MK-761 banner output</t>
  </si>
  <si>
    <t xml:space="preserve">Fiery JobFlow Annual Support &amp; Maintenance </t>
  </si>
  <si>
    <t xml:space="preserve">Fiery JobFlow (includes 1yr maintenance) </t>
  </si>
  <si>
    <t xml:space="preserve">Fiery Graphic Arts Pro - 1yr license KIT </t>
  </si>
  <si>
    <t xml:space="preserve">Fiery Graphic Arts Pro - 2yr license KIT </t>
  </si>
  <si>
    <t xml:space="preserve">Fiery Graphic Arts Pro - 3yr license KIT </t>
  </si>
  <si>
    <t xml:space="preserve">Fiery Graphic Arts Pro - 4yr license KIT </t>
  </si>
  <si>
    <t xml:space="preserve">Fiery Graphic Arts Pro - 5yr license KIT </t>
  </si>
  <si>
    <t xml:space="preserve">EFI Bundle NX-22in Stand CPS SW JM-IM GA </t>
  </si>
  <si>
    <t xml:space="preserve">EFI Bundle CPS SW ONLY JM-IM GA PRO </t>
  </si>
  <si>
    <t xml:space="preserve">Adobe Acrobat 2017 and Pitstop Edit 2019 </t>
  </si>
  <si>
    <t xml:space="preserve">Fiery JobMaster without Acrbt-Ptstp </t>
  </si>
  <si>
    <t xml:space="preserve">Fiery JobMaster-Impose w-out Acrbt-Ptstp </t>
  </si>
  <si>
    <t xml:space="preserve">Fast Pack Option for Creo IC-309 and IC-309m </t>
  </si>
  <si>
    <t xml:space="preserve">Action Pack Option for Creo IC-309 and IC-309m </t>
  </si>
  <si>
    <t>IC-318 Fiery Image Controller</t>
  </si>
  <si>
    <t>VI-515 Video Interface for Controller</t>
  </si>
  <si>
    <t>IC-316 Creo Controller</t>
  </si>
  <si>
    <t>IC-319 Fiery Premium Image Controller</t>
  </si>
  <si>
    <t>UK-117 Upgrade Kit Req for Creo IC-316</t>
  </si>
  <si>
    <t>2CL133</t>
  </si>
  <si>
    <t>EVS20830L630GNS</t>
  </si>
  <si>
    <t>7717962</t>
  </si>
  <si>
    <t>7717963</t>
  </si>
  <si>
    <t>7717964</t>
  </si>
  <si>
    <t>7717965</t>
  </si>
  <si>
    <t>7717966</t>
  </si>
  <si>
    <t>7717968</t>
  </si>
  <si>
    <t>7717969</t>
  </si>
  <si>
    <t>7717970</t>
  </si>
  <si>
    <t>7717971</t>
  </si>
  <si>
    <t>7717972</t>
  </si>
  <si>
    <t>7717974</t>
  </si>
  <si>
    <t>7717975</t>
  </si>
  <si>
    <t>7717976</t>
  </si>
  <si>
    <t>7717977</t>
  </si>
  <si>
    <t>7717978</t>
  </si>
  <si>
    <t>A0H0W12</t>
  </si>
  <si>
    <t>A0H2WY3</t>
  </si>
  <si>
    <t>A15XW13</t>
  </si>
  <si>
    <t>A4FCWY2</t>
  </si>
  <si>
    <t>A5AWRX0011A</t>
  </si>
  <si>
    <t>A65UWY2</t>
  </si>
  <si>
    <t>A65VW12</t>
  </si>
  <si>
    <t>A729W12</t>
  </si>
  <si>
    <t>A9CEWY2</t>
  </si>
  <si>
    <t>AAPKWY1</t>
  </si>
  <si>
    <t>AAUUWY1</t>
  </si>
  <si>
    <t>AC3TWY1</t>
  </si>
  <si>
    <t>AC8UW11</t>
  </si>
  <si>
    <t>AC8WWY1</t>
  </si>
  <si>
    <t>ACHKWY1</t>
  </si>
  <si>
    <t>ACJ5WY1</t>
  </si>
  <si>
    <t>ACJ6WY1</t>
  </si>
  <si>
    <t>ACJ7WY1</t>
  </si>
  <si>
    <t>ACJ8WY1</t>
  </si>
  <si>
    <t>ACMAWY1</t>
  </si>
  <si>
    <t>ACT1W21</t>
  </si>
  <si>
    <t>ACT2WY1</t>
  </si>
  <si>
    <t>AC4GWY1</t>
  </si>
  <si>
    <t>AC4HWY1</t>
  </si>
  <si>
    <t>AC4KWY1</t>
  </si>
  <si>
    <t>AC4MWY1</t>
  </si>
  <si>
    <t>ACMHWY1</t>
  </si>
  <si>
    <t>ACR3WY1</t>
  </si>
  <si>
    <t>ACR4WY1</t>
  </si>
  <si>
    <t>100000006365</t>
  </si>
  <si>
    <t>45150368</t>
  </si>
  <si>
    <t>45201479</t>
  </si>
  <si>
    <t>45201481</t>
  </si>
  <si>
    <t>45201483</t>
  </si>
  <si>
    <t>45201485</t>
  </si>
  <si>
    <t>45201487</t>
  </si>
  <si>
    <t>ACAYWY1</t>
  </si>
  <si>
    <t>ACMKWY1</t>
  </si>
  <si>
    <t>ACN1WY1</t>
  </si>
  <si>
    <t>ACVAWY1</t>
  </si>
  <si>
    <t>ACYNWY1</t>
  </si>
  <si>
    <t xml:space="preserve">AccurioPress C120000Digital Color Press </t>
  </si>
  <si>
    <t>AccurioPress C14000</t>
  </si>
  <si>
    <t>AC0C011</t>
  </si>
  <si>
    <t>Up To 2,200,000 pages</t>
  </si>
  <si>
    <t>120.9-ppm Full Color and Black &amp; White (letter, portrait)</t>
  </si>
  <si>
    <t>Up To 2,500,000 pages</t>
  </si>
  <si>
    <t>141-ppm Full Color and Black &amp; White (letter, portrait)</t>
  </si>
  <si>
    <t>1200 X 2400 8 bit</t>
  </si>
  <si>
    <t>45.32" x 36.69" x 63.78" (WDH) Machine Only</t>
  </si>
  <si>
    <t>1234.59 lbs. Main body only</t>
  </si>
  <si>
    <t xml:space="preserve">AccurioPress C140000 Digital Color Press </t>
  </si>
  <si>
    <r>
      <t xml:space="preserve">Konica Minolta is constantly rethinking what's possible. Introducing the ultra-efficient, super-reliable new AccurioPress C12000. This new CMYK cut-sheet toner press is complete with advanced automation to maximize production and produce unparalleled quality and consistency print after print. New finishing options and media compatibility allow you to offer new value to your customers. IQ-501 Intelligent Quality Optimizer performs automatic density correction and front-to-back registration prior to printing.
</t>
    </r>
    <r>
      <rPr>
        <sz val="10"/>
        <rFont val="Tahoma"/>
        <family val="2"/>
      </rPr>
      <t xml:space="preserve">**Picture below may show optional accessories not included with the base configuration. Consult VBS Sales Professional for product information. </t>
    </r>
  </si>
  <si>
    <r>
      <t xml:space="preserve">Konica Minolta is constantly rethinking what's possible. Introducing the ultra-efficient, super-reliable new AccurioPress C14000. This new CMYK cut-sheet toner press is complete with advanced automation to maximize production and produce unparalleled quality and consistency print after print. New finishing options and media compatibility allow you to offer new value to your customers. IQ-501 Intelligent Quality Optimizer performs automatic density correction and front-to-back registration prior to printing.
</t>
    </r>
    <r>
      <rPr>
        <sz val="10"/>
        <rFont val="Tahoma"/>
        <family val="2"/>
      </rPr>
      <t xml:space="preserve">**Picture below may show optional accessories not included with the base configuration. Consult VBS Sales Professional for product information. </t>
    </r>
  </si>
  <si>
    <t>AAR4WY3</t>
  </si>
  <si>
    <t>AAR4WYE</t>
  </si>
  <si>
    <t xml:space="preserve">FIERY IMPOSE WITHOUT ACRBT-PTSTP </t>
  </si>
  <si>
    <t>FS-539 + RU-513 Finisher (50 Sheets) plus manual stapler + Relay Unit</t>
  </si>
  <si>
    <t>FS-539SD + RU-513 Booklet Finisher (50 Sheets) plus manual stapler + Relay Unit</t>
  </si>
  <si>
    <t>IM-102 Intelligent Media Sensor IM-102 Intelligent Media Sensor</t>
  </si>
  <si>
    <t>PC-116  Paper Feed Cabinet</t>
  </si>
  <si>
    <t>PC-216  Paper Feed Cabinet</t>
  </si>
  <si>
    <t>PC-416  Paper Feed Cabinet</t>
  </si>
  <si>
    <t>PC-417  Paper Feed Cabinet</t>
  </si>
  <si>
    <t>Spare TX Marker Stamp 2 Spare TX Marker Stamp 2</t>
  </si>
  <si>
    <t>Stylus Pen Stylus Pen for INFO-Palette Series</t>
  </si>
  <si>
    <t>AAR4WY3 &amp; A87JWY2</t>
  </si>
  <si>
    <t>IM-102 Intelligent Media Sensor</t>
  </si>
  <si>
    <t>7640018746</t>
  </si>
  <si>
    <t>HP DesignJet T1600 Printer</t>
  </si>
  <si>
    <t>3EK11F</t>
  </si>
  <si>
    <t>HP DesignJet T1600dr Printer</t>
  </si>
  <si>
    <t>3EK13F</t>
  </si>
  <si>
    <r>
      <t xml:space="preserve">Keep the project momentum. With radically simple solutions and the easiest PDF printing, it's easy for everyone to get great results every time. Meet deadlines with the fastest print speed in the most compact, quiet printer. to fit the needs of your application.
</t>
    </r>
    <r>
      <rPr>
        <sz val="10"/>
        <rFont val="Tahoma"/>
        <family val="2"/>
      </rPr>
      <t>**Picture below may show optional accessories not included with the base configuration. Consult VBS Sales Professional for product information.</t>
    </r>
  </si>
  <si>
    <r>
      <t xml:space="preserve">Keep the project momentum. With radically simple solutions and the easiest PDF printing, it's easy for everyone to get great results every time. Meet deadlines with the fastest print speed in the most compact, quiet printer.
</t>
    </r>
    <r>
      <rPr>
        <sz val="10"/>
        <rFont val="Tahoma"/>
        <family val="2"/>
      </rPr>
      <t>**Picture below may show optional accessories not included with the base configuration. Consult VBS Sales Professional for product information.</t>
    </r>
  </si>
  <si>
    <t xml:space="preserve">FS-533 &amp; MK-607 Inner Finisher (50 Sheets) &amp;  mount kit </t>
  </si>
  <si>
    <t>AU-204H MagStripe card reader</t>
  </si>
  <si>
    <t>MK-P08 Mount Kit for AU-205H</t>
  </si>
  <si>
    <t>Approx 13 sec. or less / 4.8 sec. or less</t>
  </si>
  <si>
    <t>600 Sheet Tray w/100 sheet Manual Bypass tray</t>
  </si>
  <si>
    <t>1600 Sheets</t>
  </si>
  <si>
    <t>5GB Standard</t>
  </si>
  <si>
    <t>110-120V, 60Hz / 50/60 Hz</t>
  </si>
  <si>
    <t>16.5” x 20.8” x 22.5”</t>
  </si>
  <si>
    <t>77 lbs.</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</si>
  <si>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it blends reliable functionality with versatile serviceability.
</t>
    </r>
    <r>
      <rPr>
        <sz val="10"/>
        <rFont val="Tahoma"/>
        <family val="2"/>
      </rPr>
      <t xml:space="preserve">**Picture below may show optional accessories not included with the base configuration. Consult VBS Sales Professional for product information. </t>
    </r>
  </si>
  <si>
    <t>ACJ1101</t>
  </si>
  <si>
    <t xml:space="preserve">Spectrophotometer MYIRO-1 </t>
  </si>
  <si>
    <t>UK-221 Wireless Upgrade Kit</t>
  </si>
  <si>
    <t xml:space="preserve">AU-205H </t>
  </si>
  <si>
    <t xml:space="preserve">FIERY COMPOSE S/W LICENSE </t>
  </si>
  <si>
    <t xml:space="preserve">EFI HOT FOLDERS &amp; VIRTUAL S/W LICENSE </t>
  </si>
  <si>
    <t xml:space="preserve">FIERY IMPOSE-COMPOSE WITHOUT ACRBT-PTSTP </t>
  </si>
  <si>
    <t>Approx 13 sec. or less / 4.3 sec. or less</t>
  </si>
  <si>
    <t>110-120V, 60Hz</t>
  </si>
  <si>
    <t>BIZHUB C3320i A4 COPIER/PRINTER</t>
  </si>
  <si>
    <t xml:space="preserve">AccurioPrint C4065 Digital Press </t>
  </si>
  <si>
    <r>
      <t>The AccurioPrint C4065 digital press offers productivity and versatility in one compact, affordable unit. It is the perfect digital press for lower-volume print shops, corporate reprographics departments, and office environments. The outstanding image and color quality, media versatility, and fast 65 color ppm or 80 black &amp; white ppm output make this press a high-value, yet cost-effective solution for print professionals.
**</t>
    </r>
    <r>
      <rPr>
        <sz val="10"/>
        <rFont val="Tahoma"/>
        <family val="2"/>
      </rPr>
      <t>Picture below may show optional accessories not included with the base configuration. Consult VBS Sales Professional for product information.</t>
    </r>
  </si>
  <si>
    <t>AccurioPrint C4065</t>
  </si>
  <si>
    <t>ACC2011</t>
  </si>
  <si>
    <t>AAMPWY1</t>
  </si>
  <si>
    <t>EVS20820</t>
  </si>
  <si>
    <t>A4F3WY6</t>
  </si>
  <si>
    <t>A55CWY3</t>
  </si>
  <si>
    <t>ACCXWY1</t>
  </si>
  <si>
    <t>ACE7WY1</t>
  </si>
  <si>
    <t>ACKHW11</t>
  </si>
  <si>
    <t>ACC0WY1</t>
  </si>
  <si>
    <t>ACMCWY1</t>
  </si>
  <si>
    <t>ACMG0Y1</t>
  </si>
  <si>
    <t>7640021191</t>
  </si>
  <si>
    <t>OC-511 ORIGINAL COVER</t>
  </si>
  <si>
    <t>DF-713 Auto Duplex Document Feeder</t>
  </si>
  <si>
    <t>UK-112 HDD</t>
  </si>
  <si>
    <t>ESP ENVISIONSENSE PMS 208V/20A Comprehensive Monitoring &amp; Predictive Analytics</t>
  </si>
  <si>
    <t xml:space="preserve">LR5402C CUST TOWER LIGHT ASSEMBLY </t>
  </si>
  <si>
    <t>OT-511 OUTPUT TRAY</t>
  </si>
  <si>
    <t>PI-502 POST INSERTER FOR FS-532</t>
  </si>
  <si>
    <t>FS-532m Staple Finisher</t>
  </si>
  <si>
    <t>SD-510 SADDLE STITCH UNIT</t>
  </si>
  <si>
    <t>MK-732 MOUNT KIT FOR PI-506</t>
  </si>
  <si>
    <t>WT-511 WORKING TABLE</t>
  </si>
  <si>
    <t>HT-511 UPPER TRAY OPTION HEATER</t>
  </si>
  <si>
    <t>PK-525 PUNCH KIT</t>
  </si>
  <si>
    <t>OT-512 OUTPUT TRAY</t>
  </si>
  <si>
    <t>VI-515 VIDEO INTERFACE FOR CONTROLLER</t>
  </si>
  <si>
    <t>LU-202M LARGE CAPACITY TRAY</t>
  </si>
  <si>
    <t>HT-503 DEHUMID HEATER FOR LU-202</t>
  </si>
  <si>
    <t>HT-515 HEATER FOR LU-202XLM</t>
  </si>
  <si>
    <t>PF-602 PAPER FEED UNIT</t>
  </si>
  <si>
    <t>HT-505 HEATER FAN UNIT</t>
  </si>
  <si>
    <t>HT-506 PAPER HEATER/DEHUMIDIFIER</t>
  </si>
  <si>
    <t>PF-707M PAPER FEED UNIT</t>
  </si>
  <si>
    <t>FA-502 FEED ADJUSTER</t>
  </si>
  <si>
    <t>MK-746 ENVELOPE GUIDE KIT</t>
  </si>
  <si>
    <t>LU-202XLM XL PAPER FEED (29.5 IN MAX)</t>
  </si>
  <si>
    <t>MB-508 BANNER SHEET BYPASS TRAY</t>
  </si>
  <si>
    <t>IM-101 Media Sensor</t>
  </si>
  <si>
    <t>MB-509 Bypass Tray</t>
  </si>
  <si>
    <t>EF-107 Envelope Fuser</t>
  </si>
  <si>
    <t>MK-760 BANNER INPUT KIT</t>
  </si>
  <si>
    <t>MK-761 BANNER OUTPUT KIT</t>
  </si>
  <si>
    <t xml:space="preserve">Fiery ColorRight - 1yr License Kit </t>
  </si>
  <si>
    <t xml:space="preserve">Fiery Automation - 1yr License Kit </t>
  </si>
  <si>
    <t xml:space="preserve">BRACKET (REQ IC-419 &amp; PF-707m) </t>
  </si>
  <si>
    <t xml:space="preserve">Fiery ColorRight - 2yr License Kit </t>
  </si>
  <si>
    <t xml:space="preserve">Fiery ColorRight - 3yr License Kit </t>
  </si>
  <si>
    <t xml:space="preserve">Fiery ColorRight - 4yr License Kit </t>
  </si>
  <si>
    <t xml:space="preserve">Fiery ColorRight - 5yr License Kit </t>
  </si>
  <si>
    <t xml:space="preserve">Fiery Automation - 2yr License Kit </t>
  </si>
  <si>
    <t xml:space="preserve">Fiery Automation - 3yr License Kit </t>
  </si>
  <si>
    <t xml:space="preserve">Fiery Automation - 4yr License Kit </t>
  </si>
  <si>
    <t xml:space="preserve">Fiery Automation - 5yr License Kit </t>
  </si>
  <si>
    <t xml:space="preserve">ADOBE ACROBAT 2017 AND PITSTOP EDIT 2019 </t>
  </si>
  <si>
    <t xml:space="preserve">FIERY JOBMASTER WITHOUT ACRBT-PTSTP </t>
  </si>
  <si>
    <t xml:space="preserve">FIERY JOBMASTER-IMPOSE W-OUT ACRBT-PTSTP </t>
  </si>
  <si>
    <t>IC-419 EFI EMBEDDED IMAGE CONTROLLER</t>
  </si>
  <si>
    <t>EK-612 USB Print Kit for KM Controller</t>
  </si>
  <si>
    <t xml:space="preserve">IC-607 KM Image Controller for C4065 </t>
  </si>
  <si>
    <t xml:space="preserve">ACCURIOPRO SECURE </t>
  </si>
  <si>
    <t>696.66 lbs.</t>
  </si>
  <si>
    <t>65-ppm Full Color and 80-ppm Black &amp; White (letter, portrait)</t>
  </si>
  <si>
    <t>3,600 (equivalent) x 2,400 dpi x 8 bit</t>
  </si>
  <si>
    <t>31.49” x 35.55” x 42.36” (WDH) Machine Only</t>
  </si>
  <si>
    <t>Up To 702,000 pages</t>
  </si>
  <si>
    <t>240/20</t>
  </si>
  <si>
    <t>AC58011</t>
  </si>
  <si>
    <t>AccurioPrint C4070</t>
  </si>
  <si>
    <t xml:space="preserve">AccurioPress C4070 Digital Press </t>
  </si>
  <si>
    <r>
      <t>The AccurioPress C4070 is a mid-volume all-in-one digital press featuring advanced automation and ease of use opening opportunities for your business to expand. By streamlining workflow and delivering printed output that exceeds customer expectations, the C4070 will take on many new print applications other digital presses cannot, saving you time and increasing profitability. 
**</t>
    </r>
    <r>
      <rPr>
        <sz val="10"/>
        <rFont val="Tahoma"/>
        <family val="2"/>
      </rPr>
      <t>Picture below may show optional accessories not included with the base configuration. Consult VBS Sales Professional for product information.</t>
    </r>
  </si>
  <si>
    <t>70-ppm Full Color and  Black &amp; White (letter, portrait)</t>
  </si>
  <si>
    <t xml:space="preserve">Full Color:Approx. 7.3 seconds </t>
  </si>
  <si>
    <t xml:space="preserve">B&amp;W: Approx. 4.8 seconds </t>
  </si>
  <si>
    <t xml:space="preserve">B&amp;W: Approx. 4.0 seconds </t>
  </si>
  <si>
    <t>ACWKWY1</t>
  </si>
  <si>
    <t>ACWMWY1</t>
  </si>
  <si>
    <t>ACWNWY1</t>
  </si>
  <si>
    <t>ACWPWY1</t>
  </si>
  <si>
    <t>AD8WWY1</t>
  </si>
  <si>
    <t>AD8XWY1</t>
  </si>
  <si>
    <t>ACAXWY1</t>
  </si>
  <si>
    <t>ACME0Y1</t>
  </si>
  <si>
    <t>ACMJWY1</t>
  </si>
  <si>
    <t xml:space="preserve">PLOCKMATIC 50 SHEET UPGRADE KIT </t>
  </si>
  <si>
    <t xml:space="preserve">PLOCKMATIC SD-350 BOOKLETMAKER </t>
  </si>
  <si>
    <t xml:space="preserve">PLOCKMATIC FACE TRIMMER </t>
  </si>
  <si>
    <t xml:space="preserve">PLOCKMATIC COVER FEEDER </t>
  </si>
  <si>
    <t xml:space="preserve">PLOCKMATIC BOOKFOLD </t>
  </si>
  <si>
    <t xml:space="preserve">PLOCKMATIC TRIM WASTE CONVEYER FOR RCT </t>
  </si>
  <si>
    <t xml:space="preserve">PLOCKMATIC RCT (INCL INTERFACE MODULE) </t>
  </si>
  <si>
    <t xml:space="preserve">PLOCKMATIC HIGH CAPACITY BELT STACKER </t>
  </si>
  <si>
    <t xml:space="preserve">DIE  COIL  RND 44/47H </t>
  </si>
  <si>
    <t xml:space="preserve">DIE  WIRE 2:1  RND 21/23H </t>
  </si>
  <si>
    <t xml:space="preserve">DIE  WIRE 3:1  RND 32/34H </t>
  </si>
  <si>
    <t xml:space="preserve">DIE 3 HOLE 8MM </t>
  </si>
  <si>
    <t xml:space="preserve">DIE 3/5/7 HOLE 8MM </t>
  </si>
  <si>
    <t xml:space="preserve">DIE 2/4 HOLE 8MM </t>
  </si>
  <si>
    <t xml:space="preserve">DIE VELOBIND 11 HOLE LTR </t>
  </si>
  <si>
    <t xml:space="preserve">DIE  COMBBIND 19/21H </t>
  </si>
  <si>
    <t xml:space="preserve">DIE  WIRE 2:1  SQ  21/23H </t>
  </si>
  <si>
    <t xml:space="preserve">DIE  WIRE 3:1  SQ 32/34H </t>
  </si>
  <si>
    <t xml:space="preserve">DIE  COIL  OVAL  44/47H </t>
  </si>
  <si>
    <t xml:space="preserve">DIE EWIRE RND </t>
  </si>
  <si>
    <t xml:space="preserve">DIE EWIRE SQ </t>
  </si>
  <si>
    <t xml:space="preserve">DIE  COIL RND 44/47H HD </t>
  </si>
  <si>
    <t xml:space="preserve">DIE 3 HOLE 8MM HD </t>
  </si>
  <si>
    <t xml:space="preserve">DIE COMBBIND 19/21H HD </t>
  </si>
  <si>
    <t xml:space="preserve">EWIRE SPOOL ELEMENT SIZE 'A' BLACK </t>
  </si>
  <si>
    <t xml:space="preserve">EWIRE SPOOL ELEMENT SIZE 'B'  BLACK </t>
  </si>
  <si>
    <t xml:space="preserve">EWIRE SPOOL ELEMENT SIZE 'C'  BLACK </t>
  </si>
  <si>
    <t xml:space="preserve">EWIRE SPOOL ELEMENT SIZE 'D'  BLACK </t>
  </si>
  <si>
    <t xml:space="preserve">EWIRE SPOOL ELEMENT SIZE 'E'  BLACK </t>
  </si>
  <si>
    <t xml:space="preserve">EWIRE SPOOL ELEMENT SIZE 'A'  WHITE </t>
  </si>
  <si>
    <t xml:space="preserve">EWIRE SPOOL ELEMENT SIZE 'B'  WHITE </t>
  </si>
  <si>
    <t xml:space="preserve">EWIRE SPOOL ELEMENT SIZE 'C'  WHITE </t>
  </si>
  <si>
    <t xml:space="preserve">EWIRE SPOOL ELEMENT SIZE 'D'  WHITE </t>
  </si>
  <si>
    <t xml:space="preserve">EWIRE SPOOL ELEMENT SIZE 'E'  WHITE </t>
  </si>
  <si>
    <t xml:space="preserve">EWIRE SPOOL ELEMENT SIZE 'A'  SILVER </t>
  </si>
  <si>
    <t xml:space="preserve">EWIRE SPOOL ELEMENT SIZE 'B'  SILVER </t>
  </si>
  <si>
    <t xml:space="preserve">EWIRE SPOOL ELEMENT SIZE 'D'  SILVER </t>
  </si>
  <si>
    <t xml:space="preserve">EWIRE SPOOL ELEMENT SIZE 'E'  SILVER </t>
  </si>
  <si>
    <t xml:space="preserve">GBC PUNCH G2 </t>
  </si>
  <si>
    <t>FD-503 MULTI FOLDING UNIT</t>
  </si>
  <si>
    <t>SD-506 SADDLE STITCH UNIT</t>
  </si>
  <si>
    <t>PB-503 PERFECT BINDER</t>
  </si>
  <si>
    <t>RU-510 RELAY UNIT</t>
  </si>
  <si>
    <t>SD-513 SADDLE STITCH UNIT - MAIN BODY</t>
  </si>
  <si>
    <t>FD-504  SQUARE FOLD MODULE FOR SD-513</t>
  </si>
  <si>
    <t>TU-503 TRIMMER UNIT FOR SD-513</t>
  </si>
  <si>
    <t>CR-101 CREASER UNIT FOR SD-513</t>
  </si>
  <si>
    <t>MK-737 MOUNT KIT FOR 3RD PARTY OPTIONS</t>
  </si>
  <si>
    <t>SD-513/F SADDLE STITCH UNIT - FRONT</t>
  </si>
  <si>
    <t>IQ-501 INTELLIGENT QUALITY OPTIMIZER</t>
  </si>
  <si>
    <t>RU-518M RELAY UNIT</t>
  </si>
  <si>
    <t>HM-103 HUMIDIFICATION UNIT FOR RU-518</t>
  </si>
  <si>
    <t>LS-507 LARGE STACKER</t>
  </si>
  <si>
    <t>TU-510 TRIMMER UNIT</t>
  </si>
  <si>
    <t>UK-301 AUTO INSPECTION UNIT</t>
  </si>
  <si>
    <t>RU-702 PURGE TRAY</t>
  </si>
  <si>
    <t>LC-502 STACKER CART</t>
  </si>
  <si>
    <t>CR-102 CREASER FOR TU-510</t>
  </si>
  <si>
    <t>TU-504 SLITTER FOR TU-510</t>
  </si>
  <si>
    <t>MK-764 BANNER OUTPUT FOR TU-510</t>
  </si>
  <si>
    <t>JS-507 BUSINESS CARD TRAY FOR TU-510</t>
  </si>
  <si>
    <t>VI-514 VIDEO INTERFACE FOR IQ-501</t>
  </si>
  <si>
    <t>CR-103 Concave Creasing Unit for TU-510</t>
  </si>
  <si>
    <t>MK-765 Dust Box for TU-510</t>
  </si>
  <si>
    <t>PE-101 Cross Direction Perf for TU-510</t>
  </si>
  <si>
    <t>PE-102 Feed Direction Perf TU-510</t>
  </si>
  <si>
    <t>UK-311 ACCELERATION KIT</t>
  </si>
  <si>
    <t>UK-312 VDP VERIFICATION KIT</t>
  </si>
  <si>
    <t xml:space="preserve">FIERY JOBFLOW W / MAINT </t>
  </si>
  <si>
    <t xml:space="preserve">HDD SECURITY FOR NX PRO </t>
  </si>
  <si>
    <t xml:space="preserve">FIERY GRAPHIC ARTS PRO - 1YR LICENSE KIT </t>
  </si>
  <si>
    <t xml:space="preserve">FIERY GRAPHIC ARTS PRO - 2YR LICENSE KIT </t>
  </si>
  <si>
    <t xml:space="preserve">FIERY GRAPHIC ARTS PRO - 3YR LICENSE KIT </t>
  </si>
  <si>
    <t xml:space="preserve">FIERY GRAPHIC ARTS PRO - 4YR LICENSE KIT </t>
  </si>
  <si>
    <t xml:space="preserve">FIERY GRAPHIC ARTS PRO - 5YR LICENSE KIT </t>
  </si>
  <si>
    <t xml:space="preserve">EFI BUNDLE NX-22IN STAND CPS SW JM-IM GA </t>
  </si>
  <si>
    <t xml:space="preserve">EFI BUNDLE CPS SW ONLY JM-IM GA PRO </t>
  </si>
  <si>
    <t>IC-317 EFI Fiery Server Controller</t>
  </si>
  <si>
    <t>IC-609 KM Image Controller for C4080/C4070</t>
  </si>
  <si>
    <t>UK-220 APPE Expansion Kit</t>
  </si>
  <si>
    <t>ACCURIOPRESS C4080</t>
  </si>
  <si>
    <t>AC57011</t>
  </si>
  <si>
    <t xml:space="preserve">AccurioPress C4080 Digital Press </t>
  </si>
  <si>
    <r>
      <t>The versatile AccurioPress C4080 digital press is an all-in-one print manufacturing powerhouse providing features to streamline workflow and print output that will exceed customer expectations. Advanced real-time automation of color and registration management combined with sophisticated inline finishing options allows your business to excel at delivering a variety of print applications.
**</t>
    </r>
    <r>
      <rPr>
        <sz val="10"/>
        <rFont val="Tahoma"/>
        <family val="2"/>
      </rPr>
      <t>Picture below may show optional accessories not included with the base configuration. Consult VBS Sales Professional for product information.</t>
    </r>
  </si>
  <si>
    <t>80-ppm Full Color and  Black &amp; White (letter, portrait)</t>
  </si>
  <si>
    <t>FD-504 SQUARE FOLD MODULE FOR SD-513</t>
  </si>
  <si>
    <t>Fiery ColorRight - 1yr License Kit Fiery ColorRight - 1yr License Kit</t>
  </si>
  <si>
    <t>ACER011</t>
  </si>
  <si>
    <t>Bizhub 4020i</t>
  </si>
  <si>
    <t>KONICA MINOLTA bizhub 4020i Black and White Multifunction Printer</t>
  </si>
  <si>
    <t>PF-P23 Paper Cassette 250-sheet</t>
  </si>
  <si>
    <t>ACEVWY1</t>
  </si>
  <si>
    <t>PF-P24 Paper Cassette 520-sheet</t>
  </si>
  <si>
    <t>ACEWWY1</t>
  </si>
  <si>
    <r>
      <t xml:space="preserve">With print, copy and color scanning capabilities as well as the standard integrated duplex unit and automatic document feeder, the bizhub 4020i is the ideal multifunctional A4 system for SMB workplace use.
</t>
    </r>
    <r>
      <rPr>
        <sz val="10"/>
        <rFont val="Tahoma"/>
        <family val="2"/>
      </rPr>
      <t>**Picture below may show optional accessories not included with the base configuration. Consult VBS Sales Professional for product information.</t>
    </r>
  </si>
  <si>
    <t>Printer/Copier/Scanner/Fax</t>
  </si>
  <si>
    <t>27 sec. or less /9.2 sec. or less</t>
  </si>
  <si>
    <t>250 Sheet Tray w/50 sheet Bypass tray</t>
  </si>
  <si>
    <t>1340 Sheets</t>
  </si>
  <si>
    <t>120 V / 60 Hz</t>
  </si>
  <si>
    <t>17.1" (W) x 16.8" (D) x 19.1" (H)</t>
  </si>
  <si>
    <t>37 lbs.</t>
  </si>
  <si>
    <t xml:space="preserve">HP PageWide XL 4200 Printer </t>
  </si>
  <si>
    <t>4VW13F</t>
  </si>
  <si>
    <t>8SB02A</t>
  </si>
  <si>
    <t>G6H50BB1K</t>
  </si>
  <si>
    <t>5EK00AB1K</t>
  </si>
  <si>
    <t>5EK00DBCB</t>
  </si>
  <si>
    <t>Designjet SD Pro Scanner</t>
  </si>
  <si>
    <t>HD Pro 2 42In Scanner</t>
  </si>
  <si>
    <t>HD Pro 2 42In Scanner Taa-Compliant</t>
  </si>
  <si>
    <t>8SW00A</t>
  </si>
  <si>
    <t>8SW00AAE</t>
  </si>
  <si>
    <t>8SW03A</t>
  </si>
  <si>
    <t>8SW03AAE</t>
  </si>
  <si>
    <t>Smartstream Preflight Manager Dongle</t>
  </si>
  <si>
    <t>Smartstream Preflight Manager EON</t>
  </si>
  <si>
    <t>Smartstream Prt Ctr For Pw 4X0 Dongle</t>
  </si>
  <si>
    <t>Smartstream Prt Ctr For Pw 4X00 EON</t>
  </si>
  <si>
    <t>Smartstream Document Organizer Module</t>
  </si>
  <si>
    <t>Smartstream Pixel Analysis Module</t>
  </si>
  <si>
    <t>8SW13A</t>
  </si>
  <si>
    <t>8SW13AAE</t>
  </si>
  <si>
    <t>Smarttracker For Pw 4X00 Dongle</t>
  </si>
  <si>
    <t>Smarttracker For Pw 4X00 Eon</t>
  </si>
  <si>
    <r>
      <t xml:space="preserve">Don’t waste time waiting on prints with high-productivity monochrome and color speeds up to 15 D/A1 per minute. Produce excellent technical prints. Save with low running costs in mono and color and with up to 10 times lower energy consumption. Experience easy printing and workflow efficiency with HP software. Easily operate from the front and the back with the market’s largest 15-inch touchscreen. Scan on the fly, and easily collaborate—print, save, and share right away. Enjoy the best network protection with HP Connection Inspector dynamic security, HP Secure Boot, and Whitelisting. Keep your fleet secure and set security preferences, anytime. Control who accesses the printer with secure user authentication.
</t>
    </r>
    <r>
      <rPr>
        <sz val="10"/>
        <rFont val="Tahoma"/>
        <family val="2"/>
      </rPr>
      <t>**Picture below may show optional accessories not included with the base configuration. Consult VBS Sales Professional for product information.</t>
    </r>
  </si>
  <si>
    <r>
      <t>Bizhub 4000i</t>
    </r>
    <r>
      <rPr>
        <sz val="16"/>
        <rFont val="Arial"/>
        <family val="2"/>
      </rPr>
      <t xml:space="preserve"> Monochrome Printer</t>
    </r>
  </si>
  <si>
    <t>ACET011</t>
  </si>
  <si>
    <t xml:space="preserve">AU-205H Gen2 Multi Card Reader with HID Mobile Support </t>
  </si>
  <si>
    <t>KP-P03 10-Key Pad</t>
  </si>
  <si>
    <t>EK-P10 Local Interface Kit-NFC</t>
  </si>
  <si>
    <t>ACCHWY1</t>
  </si>
  <si>
    <t>7.2 seconds</t>
  </si>
  <si>
    <t>64 lbs.</t>
  </si>
  <si>
    <t>256MB Standard</t>
  </si>
  <si>
    <t>Up to 1600 sheets</t>
  </si>
  <si>
    <r>
      <t xml:space="preserve">The bizhub 4000i is a compact, low energy machine that is ideal for expanding your office network. Perfect for your wireless and mobile printing needs. 
</t>
    </r>
    <r>
      <rPr>
        <sz val="12"/>
        <rFont val="Tahoma"/>
        <family val="2"/>
      </rPr>
      <t>**Picture below may show optional accessories not included with the base configuration. Consult VBS Sales Professional for product information.</t>
    </r>
  </si>
  <si>
    <t>KONICA MINOLTA bizhub 4000i Monochrome Printer</t>
  </si>
  <si>
    <t>PF-P23 PAPER TRAY (250-SHEET CAPACITY)</t>
  </si>
  <si>
    <t>PF-P24 PAPER TRAY (520-SHEET CAPACITY)</t>
  </si>
  <si>
    <t>7.4 seconds</t>
  </si>
  <si>
    <t>4GB Standard</t>
  </si>
  <si>
    <t>110-127V / 50/60 Hz</t>
  </si>
  <si>
    <t>16.5” x 20.8” x 18.6”</t>
  </si>
  <si>
    <t>42 ppm</t>
  </si>
  <si>
    <t>Up to 1610 sheets</t>
  </si>
  <si>
    <t>110-120 V / 50/60 Hz</t>
  </si>
  <si>
    <t>14.7”x15.3”x11.3”</t>
  </si>
  <si>
    <t>27 lbs.</t>
  </si>
  <si>
    <t>No Copies Included</t>
  </si>
  <si>
    <t>AccurioPrint 2100</t>
  </si>
  <si>
    <t>ADF2011</t>
  </si>
  <si>
    <t xml:space="preserve">KONICA MINOLTA AccurioPrint 2100 Black and White Digital Copier </t>
  </si>
  <si>
    <t>Bizhub 5020i</t>
  </si>
  <si>
    <t>ACEU011</t>
  </si>
  <si>
    <t>KONICA MINOLTA bizhub 5020i Black and White Multifunction Printer</t>
  </si>
  <si>
    <t>EH91539</t>
  </si>
  <si>
    <t>CS-2 Convenience Stapler</t>
  </si>
  <si>
    <r>
      <t xml:space="preserve">The bizhub 5020i impresses with high productivity and versatility. The amazing print speed combined with standard dual scan document feeder and duplex printing plus various optional functions make this a perfect solution for daily printing demands for any mid-sized to larger business.
</t>
    </r>
    <r>
      <rPr>
        <sz val="10"/>
        <rFont val="Tahoma"/>
        <family val="2"/>
      </rPr>
      <t>**Picture below may show optional accessories not included with the base configuration. Consult VBS Sales Professional for product information.</t>
    </r>
  </si>
  <si>
    <t>52 ppm Ltr</t>
  </si>
  <si>
    <t>1 GB</t>
  </si>
  <si>
    <t>27 sec. or less /9.5 sec. or less</t>
  </si>
  <si>
    <t>1610 Sheets</t>
  </si>
  <si>
    <t>41 lbs.</t>
  </si>
  <si>
    <t>19.4" (W) x 16.8" (D) x 20.3" (H)</t>
  </si>
  <si>
    <t>DIE  COIL  RND 44/47H</t>
  </si>
  <si>
    <t>DIE  WIRE 2:1  RND 21/23H</t>
  </si>
  <si>
    <t>DIE  WIRE 3:1  RND 32/34H</t>
  </si>
  <si>
    <t>DIE 3 HOLE 8MM</t>
  </si>
  <si>
    <t>DIE 3/5/7 HOLE 8MM</t>
  </si>
  <si>
    <t>DIE 2/4 HOLE 8MM</t>
  </si>
  <si>
    <t>DIE VELOBIND 11 HOLE LTR</t>
  </si>
  <si>
    <t>DIE  COMBBIND 19/21H</t>
  </si>
  <si>
    <t>DIE  WIRE 2:1  SQ  21/23H</t>
  </si>
  <si>
    <t>DIE  WIRE 3:1  SQ 32/34H</t>
  </si>
  <si>
    <t>DIE  COIL  OVAL  44/47H</t>
  </si>
  <si>
    <t>DIE EWIRE RND</t>
  </si>
  <si>
    <t>DIE EWIRE SQ</t>
  </si>
  <si>
    <t>DIE  COIL RND 44/47H HD</t>
  </si>
  <si>
    <t>DIE 3 HOLE 8MM HD</t>
  </si>
  <si>
    <t>DIE COMBBIND 19/21H HD</t>
  </si>
  <si>
    <t>EWIRE SPOOL ELEMENT SIZE 'A' BLACK</t>
  </si>
  <si>
    <t>EWIRE SPOOL ELEMENT SIZE 'B'  BLACK</t>
  </si>
  <si>
    <t>EWIRE SPOOL ELEMENT SIZE 'C'  BLACK</t>
  </si>
  <si>
    <t>EWIRE SPOOL ELEMENT SIZE B SILVER</t>
  </si>
  <si>
    <t>EWIRE SPOOL ELEMENT SIZE 'E'  BLACK</t>
  </si>
  <si>
    <t>EWIRE SPOOL ELEMENT SIZE 'A'  WHITE</t>
  </si>
  <si>
    <t>EWIRE SPOOL ELEMENT SIZE 'B'  WHITE</t>
  </si>
  <si>
    <t>EWIRE SPOOL ELEMENT SIZE 'C'  WHITE</t>
  </si>
  <si>
    <t>EWIRE SPOOL ELEMENT SIZE 'D'  WHITE</t>
  </si>
  <si>
    <t>EWIRE SPOOL ELEMENT SIZE 'E'  WHITE</t>
  </si>
  <si>
    <t>EWIRE SPOOL ELEMENT SIZE 'A'  SILVER</t>
  </si>
  <si>
    <t>EWIRE SPOOL ELEMENT SIZE 'B' SILVER</t>
  </si>
  <si>
    <t>EWIRE SPOOL ELEMENT SIZE 'C'  SILVER</t>
  </si>
  <si>
    <t>EWIRE SPOOL ELEMENT SIZE 'D'  SILVER</t>
  </si>
  <si>
    <t>EWIRE SPOOL ELEMENT SIZE 'E'  SILVER</t>
  </si>
  <si>
    <t>FS-532M STAPLE FINISHER</t>
  </si>
  <si>
    <t>ZU-608 Z-FOLDING UNIT</t>
  </si>
  <si>
    <t>OT-507 EXIT TRAY</t>
  </si>
  <si>
    <t>IM-101 INTELLIGENT MEDIA SENSOR</t>
  </si>
  <si>
    <t>EWIRE SPOOL ELEMENT SIZE F  BLACK</t>
  </si>
  <si>
    <t>EWIRE SPOOL ELEMENT SIZE F  WHITE</t>
  </si>
  <si>
    <t>EWIRE SPOOL ELEMENT SIZE F SILVER</t>
  </si>
  <si>
    <t>DIE G3 CREASE 75-300GSM</t>
  </si>
  <si>
    <t>DIE G3 PERF 75-120GSM</t>
  </si>
  <si>
    <t>DIE G3 PERF 120-300GSM</t>
  </si>
  <si>
    <t>GBC PUNCH G3</t>
  </si>
  <si>
    <t>MB-507 MULTI-BYPASS TRAY</t>
  </si>
  <si>
    <t>PF-709 PAPER FEED UNIT</t>
  </si>
  <si>
    <t>LU-414 LARGE CAP PAPER FEED UNIT LETTER</t>
  </si>
  <si>
    <t>LU-415 LARGE CAP PAPER FEED UNIT (12X18)</t>
  </si>
  <si>
    <t>ACCURIOPRO SECURE</t>
  </si>
  <si>
    <t>ACCXWY2</t>
  </si>
  <si>
    <t>WSM7717967</t>
  </si>
  <si>
    <t>WSM7717973</t>
  </si>
  <si>
    <t>WSM7717979</t>
  </si>
  <si>
    <t>WSM7724154</t>
  </si>
  <si>
    <t>WSM7724155</t>
  </si>
  <si>
    <t>WSM7724156</t>
  </si>
  <si>
    <t>WSM7724400</t>
  </si>
  <si>
    <t>A79AWY2</t>
  </si>
  <si>
    <t>A7W7WY3</t>
  </si>
  <si>
    <t>ADF3WY1</t>
  </si>
  <si>
    <t>ADF4WY1</t>
  </si>
  <si>
    <t>AccurioPress C7090</t>
  </si>
  <si>
    <t>AccurioPress C7100</t>
  </si>
  <si>
    <r>
      <t xml:space="preserve">The AccurioPress C7090 is packed with several impressive features to ignite your success. From intelligent automation and enhanced finishing to flawless quality, advanced capabilities and exceptional durability you will have the power to grow your business.
</t>
    </r>
    <r>
      <rPr>
        <sz val="10"/>
        <rFont val="Tahoma"/>
        <family val="2"/>
      </rPr>
      <t xml:space="preserve">**Picture below may show optional accessories not included with the base configuration. Consult VBS Sales Professional for product information. </t>
    </r>
  </si>
  <si>
    <t>Digital Color Press</t>
  </si>
  <si>
    <t>Up To 1,620,00 pages</t>
  </si>
  <si>
    <t>90-ppm Full Color and Black &amp; White (letter, portrait)</t>
  </si>
  <si>
    <t>3600 x 2400 8 bit</t>
  </si>
  <si>
    <t>Approx. 6.5 minutes</t>
  </si>
  <si>
    <t>220V to 240V, 25A</t>
  </si>
  <si>
    <t>31.5” x 44.8 x 58.19” WDH) Machine Only</t>
  </si>
  <si>
    <t>738.5 lbs. Main body only</t>
  </si>
  <si>
    <t>ACW3011</t>
  </si>
  <si>
    <t>P250320120</t>
  </si>
  <si>
    <t xml:space="preserve">DIAGNOSTIC PWRFILTER ETHERNET 120V/20A </t>
  </si>
  <si>
    <t>P350030240NH</t>
  </si>
  <si>
    <t xml:space="preserve">DIAG PWRFILTER 208V/240V/30A W NTWRK HUB </t>
  </si>
  <si>
    <t>W100015120</t>
  </si>
  <si>
    <t xml:space="preserve">PWRFILTER WNOISE &amp;SURGE PROTECT 120V/15A </t>
  </si>
  <si>
    <t xml:space="preserve">Plockmatic RCT 3.0 Module </t>
  </si>
  <si>
    <t xml:space="preserve">Plockmatic Hand Feed Tray </t>
  </si>
  <si>
    <t xml:space="preserve">Plockmatic SD-435 Booklet Maker </t>
  </si>
  <si>
    <t xml:space="preserve">Plockmatic FM-400 Finishing Module </t>
  </si>
  <si>
    <t xml:space="preserve">Plockmatic SD-450 Upgrade kit </t>
  </si>
  <si>
    <t xml:space="preserve">Adobe Acrobat Pro 2020 for Fiery Makerdy </t>
  </si>
  <si>
    <t xml:space="preserve">EWIRE SPOOL ELEMENT SIZE B SILVER </t>
  </si>
  <si>
    <t xml:space="preserve">EWIRE SPOOL ELEMENT SIZE 'B' SILVER </t>
  </si>
  <si>
    <t xml:space="preserve">EWIRE SPOOL ELEMENT SIZE 'C'  SILVER </t>
  </si>
  <si>
    <t>A043WY2</t>
  </si>
  <si>
    <t>PI-502 PI-502 POST INSERTER FOR FS-532</t>
  </si>
  <si>
    <t>FS-532M FS-532M STAPLE FINISHER</t>
  </si>
  <si>
    <t>SD-510 SD-510 SADDLE STITCH UNIT</t>
  </si>
  <si>
    <t>SD-513 SADDLE STITCHER</t>
  </si>
  <si>
    <t>RU-518M  RU-518M RELAY UNIT</t>
  </si>
  <si>
    <t>FS-541 STAPLE FINISHER</t>
  </si>
  <si>
    <t>AAYMW11</t>
  </si>
  <si>
    <t>EF-108 Envelope Fuser</t>
  </si>
  <si>
    <t>CR-102  CREASER FOR TU-510</t>
  </si>
  <si>
    <t>CR-103 CONVEX CREASING UNIT FOR TU-510</t>
  </si>
  <si>
    <t>MK-765 DUST BOX FOR TU-510</t>
  </si>
  <si>
    <t>PE-101 FEED DIRECTION PERF FOR TU-510</t>
  </si>
  <si>
    <t>PE-102 CROSS DIRECTION PERF TU-510</t>
  </si>
  <si>
    <t xml:space="preserve">EWIRE SPOOL ELEMENT SIZE F  BLACK </t>
  </si>
  <si>
    <t xml:space="preserve">EWIRE SPOOL ELEMENT SIZE F  WHITE </t>
  </si>
  <si>
    <t xml:space="preserve">EWIRE SPOOL ELEMENT SIZE F SILVER </t>
  </si>
  <si>
    <t xml:space="preserve">DIE G3 CREASE 75-300GSM </t>
  </si>
  <si>
    <t xml:space="preserve">DIE G3 PERF 75-120GSM </t>
  </si>
  <si>
    <t xml:space="preserve">DIE G3 PERF 120-300GSM </t>
  </si>
  <si>
    <t xml:space="preserve">GBC PUNCH G3 </t>
  </si>
  <si>
    <t>HT-506 HEATER FOR PF-710</t>
  </si>
  <si>
    <t>PF-712 PAPER FEED</t>
  </si>
  <si>
    <t>PF-713 PAPER FEED WITH SCANNER</t>
  </si>
  <si>
    <t>AC4JWY1</t>
  </si>
  <si>
    <t>PF-812 LONG SHEET 3 DRAWER PAPER FEED</t>
  </si>
  <si>
    <t>MB-511 BYPASS BANNER TRAY</t>
  </si>
  <si>
    <t>FA-505 PF CONNECTION KIT</t>
  </si>
  <si>
    <t>AC4PWY1</t>
  </si>
  <si>
    <t>LU-208 Large Capacity Tray</t>
  </si>
  <si>
    <t>AC4RWY1</t>
  </si>
  <si>
    <t>LU-208XL Long Sheet Paper Feed</t>
  </si>
  <si>
    <t>ACMMWY1</t>
  </si>
  <si>
    <t>MB-510 Bypass Tray</t>
  </si>
  <si>
    <t xml:space="preserve">JOBFLOW-IMPOSE-PITSTOP 2D SETUP-1YR SUP </t>
  </si>
  <si>
    <t>ADDPWY2</t>
  </si>
  <si>
    <t>IC-318L FIERY IMAGE CONTROLLER</t>
  </si>
  <si>
    <t xml:space="preserve">FIERY JOBFLOW ANNUAL MAINTENANCE </t>
  </si>
  <si>
    <t xml:space="preserve">FIERY JOBMASTER ANNUAL MAINTENANCE </t>
  </si>
  <si>
    <t xml:space="preserve">FIERY JOBMASTER-IMPOSE ANNUAL MAINT </t>
  </si>
  <si>
    <t xml:space="preserve">FURNITURE FOR FIERY NX STATION LS W 27IN </t>
  </si>
  <si>
    <t xml:space="preserve">Fiery Compose without Acrbt-Ptstp </t>
  </si>
  <si>
    <t>63900289A</t>
  </si>
  <si>
    <t xml:space="preserve">IC-316 FAST PACK </t>
  </si>
  <si>
    <t>63900290A</t>
  </si>
  <si>
    <t xml:space="preserve">IC-316 ACTION PACK </t>
  </si>
  <si>
    <t>63900291A</t>
  </si>
  <si>
    <t xml:space="preserve">IC-316 MATCH PACK </t>
  </si>
  <si>
    <t>63900292A</t>
  </si>
  <si>
    <t xml:space="preserve">IC-316 TRANS PACK </t>
  </si>
  <si>
    <t>IC-609 KM CONTROLLER - C4080/C4070/C7100/C7090</t>
  </si>
  <si>
    <t>UK-220 UPGRADE KIT</t>
  </si>
  <si>
    <t>IC-316 CREO CONTROLLER</t>
  </si>
  <si>
    <t>ACVAWY2</t>
  </si>
  <si>
    <t>IC-319 FIERY PREMIUM IMAGE CONTROLLER</t>
  </si>
  <si>
    <r>
      <t xml:space="preserve">The AccurioPress C7100 will get you rethinking agility. This 100 ppm colour press has the potential to make your business more profitable. Working smarter, not harder with optimised performance, flawless quality, intelligent automation, advanced media handling, enhanced finishing and exceptional durability, the AccurioPress C7100 combines a range of innovative technologies to power your business success
</t>
    </r>
    <r>
      <rPr>
        <sz val="10"/>
        <rFont val="Tahoma"/>
        <family val="2"/>
      </rPr>
      <t xml:space="preserve">**Picture below may show optional accessories not included with the base configuration. Consult VBS Sales Professional for product information. </t>
    </r>
  </si>
  <si>
    <t>Up To 1,800,00 pages</t>
  </si>
  <si>
    <t>A9VP011</t>
  </si>
  <si>
    <t xml:space="preserve"> 7ZU78A#BGJ</t>
  </si>
  <si>
    <t>Color LaserJet Enterprise M555dn</t>
  </si>
  <si>
    <t>HP Removable Hard Drive Enclosure</t>
  </si>
  <si>
    <t>2NR12A</t>
  </si>
  <si>
    <t>HP Accessibility Assistant</t>
  </si>
  <si>
    <t>HP Color LaserJet Printer Cabinet</t>
  </si>
  <si>
    <t>HP Internal USB Ports</t>
  </si>
  <si>
    <t>HP MICR Printing Solution - USB</t>
  </si>
  <si>
    <t>HG277TT</t>
  </si>
  <si>
    <t>HP 1 GB 90-pin DDR3 DIMM</t>
  </si>
  <si>
    <t>HP Jetdirect 3100w BLE/NFC/Wireless Accessory</t>
  </si>
  <si>
    <t>HP Jetdirect LAN Accessory</t>
  </si>
  <si>
    <t>8FP31A</t>
  </si>
  <si>
    <t>HP Color LaserJet 550-sheet Media Tray</t>
  </si>
  <si>
    <t>HP High-Performance Secure Hard Disk</t>
  </si>
  <si>
    <t>HP TAA Version Secure Hard Disk Drive</t>
  </si>
  <si>
    <t>HP HIP2 Keystroke Reader</t>
  </si>
  <si>
    <t>Y7C05A</t>
  </si>
  <si>
    <t>HP Legic Secure USB Reader</t>
  </si>
  <si>
    <t>4QL32A</t>
  </si>
  <si>
    <t>HP SmartCard NIPRNet Solution for US Government</t>
  </si>
  <si>
    <t>HP USB Universal Card Reader</t>
  </si>
  <si>
    <t>X3D03A</t>
  </si>
  <si>
    <r>
      <t xml:space="preserve">Give workgroups what they need to succeed. Easily choose and deploy hundreds of HP and third-party solutions.
</t>
    </r>
    <r>
      <rPr>
        <sz val="12"/>
        <rFont val="Tahoma"/>
        <family val="2"/>
      </rPr>
      <t>**Picture below may show optional accessories not included with the base configuration. Consult VBS Sales Professional for product information.</t>
    </r>
  </si>
  <si>
    <t>Color: 7.5 seconds, Monochrome: 6 seconds</t>
  </si>
  <si>
    <t>18 x 18.9 x 15" (W x D x H)</t>
  </si>
  <si>
    <t>60.6 lb</t>
  </si>
  <si>
    <t>HP Color LaserJet Enterprise M555dn</t>
  </si>
  <si>
    <t>bizhub 850i</t>
  </si>
  <si>
    <t>ACVW015</t>
  </si>
  <si>
    <t xml:space="preserve">AU-204H Mag Stripe Card Reader </t>
  </si>
  <si>
    <t>AU-205HGEN2  SQ-2020-94643 CARD READER</t>
  </si>
  <si>
    <t xml:space="preserve">bizhub Secure Notifier </t>
  </si>
  <si>
    <t xml:space="preserve">CONNECTOR FOR KNO2 (SHARE PHI APP) </t>
  </si>
  <si>
    <t xml:space="preserve">CS-2 CONVENIENCE STAPLER </t>
  </si>
  <si>
    <t>EK-611 USB Host Board (Local Interface Kit)  with Bluetooth Printing Support</t>
  </si>
  <si>
    <t>FK-516 Fax Kit</t>
  </si>
  <si>
    <t>FS-539 Finisher (50 Sheets) plus manual stapler + RU-515 Relay Unit</t>
  </si>
  <si>
    <t>FS-539 SD Booklet Finisher (50 Sheets) plus manual stapler + RU-515 Relay Unit</t>
  </si>
  <si>
    <t>FS-540 Finisher (100 Sheets) plus manual stapler + RU-515 Relay Unit</t>
  </si>
  <si>
    <t>FS-540 SD Booklet Finisher (100 Sheets) plus manual stapler + RU-515 Relay Unit</t>
  </si>
  <si>
    <t xml:space="preserve">KEY COUNTER MOUNT KIT 1 </t>
  </si>
  <si>
    <t xml:space="preserve">KM PRO SERVICES OFFICE SOLUTIONS TIER 1 </t>
  </si>
  <si>
    <t>MK-715 Banner Paper Mount Kit</t>
  </si>
  <si>
    <t>PEN Stylus</t>
  </si>
  <si>
    <t xml:space="preserve">UPGRADE KIT UK-221 </t>
  </si>
  <si>
    <t>A8HAWY2</t>
  </si>
  <si>
    <t>AAR5WY1</t>
  </si>
  <si>
    <t>AAR5WYA</t>
  </si>
  <si>
    <t>4623486</t>
  </si>
  <si>
    <t>DIRPROJOSOLT1</t>
  </si>
  <si>
    <t>A0G5WY0</t>
  </si>
  <si>
    <t>A8HDWY2</t>
  </si>
  <si>
    <t>A5C1192104</t>
  </si>
  <si>
    <t>A8C6WY3</t>
  </si>
  <si>
    <t>ACDKWY2</t>
  </si>
  <si>
    <t>ACDMWY2</t>
  </si>
  <si>
    <t>ACWCWY2</t>
  </si>
  <si>
    <t xml:space="preserve">KONICA MINOLTA bizhub 850i Black and White Digital Copier </t>
  </si>
  <si>
    <r>
      <t xml:space="preserve">The i-Series houses a powerful engine, a quad-core central processing unit with standard 8 GB of memory and 256 GB SSD, which allows for quick-response, high-performance operations with higher print speeds. With an additional combination of full-speed media printing range, high-speed single pass dual scan doc feeder as well as finishing options, intelligent media sensor, digital skew correction, and large capacity trays, it blends reliable functionality with versatile serviceability.
</t>
    </r>
    <r>
      <rPr>
        <sz val="10"/>
        <rFont val="Tahoma"/>
        <family val="2"/>
      </rPr>
      <t>**Picture below may show optional accessories not included with the base configuration. Consult VBS Sales Professional for product information.</t>
    </r>
  </si>
  <si>
    <t>445 lbs</t>
  </si>
  <si>
    <t>26.4"(W) 32.3"(D) 48.3"(H)</t>
  </si>
  <si>
    <t>208 V / 60 Hz, 20A</t>
  </si>
  <si>
    <t>8 GB RAM</t>
  </si>
  <si>
    <t>bizhub 950i</t>
  </si>
  <si>
    <t xml:space="preserve">KONICA MINOLTA bizhub 950i Black and White Digital Copier </t>
  </si>
  <si>
    <t>ACVX015</t>
  </si>
  <si>
    <t>Less than 55 seconds</t>
  </si>
  <si>
    <t>85 pages per minute</t>
  </si>
  <si>
    <t xml:space="preserve"> </t>
  </si>
  <si>
    <t>KONICA MINOLTA bizhub 4051i Black and White Multifunction Printer</t>
  </si>
  <si>
    <r>
      <t xml:space="preserve">The latest addition to the new generation of the bizhub A4 series, the bizhub 4051i monochrome MFP. The updated A4 model maintains the company’s objective to create value, ease, and convenience for our customers while also taking into consideration a changed work environment with more people working from home. The A4 MFP model incorporates features that are simple enough for use at home yet still offer advanced features for a professional office setup. 
</t>
    </r>
    <r>
      <rPr>
        <sz val="10"/>
        <rFont val="Tahoma"/>
        <family val="2"/>
      </rPr>
      <t>**Picture below may show optional accessories not included with the base configuration. Consult VBS Sales Professional for product information.</t>
    </r>
  </si>
  <si>
    <r>
      <t xml:space="preserve">Bizhub 4051i </t>
    </r>
    <r>
      <rPr>
        <i/>
        <sz val="10"/>
        <rFont val="Arial"/>
        <family val="2"/>
      </rPr>
      <t>(two optional Paper Feed Units (PF-P21) or the PF-P25 (height adjustment) are recommended to reach operational height)</t>
    </r>
  </si>
  <si>
    <t>KONICA MINOLTA bizhub 4751i Black and White Multifunction Printer</t>
  </si>
  <si>
    <r>
      <t xml:space="preserve">The latest addition to the new generation of the bizhub A4 series, the bizhub 4751i monochrome MFP. The updated A4 model maintains the company’s objective to create value, ease and convenience for our customers while also taking into consideration a changed work environment with more people working from home.
</t>
    </r>
    <r>
      <rPr>
        <sz val="10"/>
        <rFont val="Tahoma"/>
        <family val="2"/>
      </rPr>
      <t>**Picture below may show optional accessories not included with the base configuration. Consult VBS Sales Professional for product information.</t>
    </r>
  </si>
  <si>
    <r>
      <t xml:space="preserve">Bizhub 4751i </t>
    </r>
    <r>
      <rPr>
        <i/>
        <sz val="10"/>
        <rFont val="Arial"/>
        <family val="2"/>
      </rPr>
      <t>(two optional Paper Feed Units (PF-P21) or the PF-P25 (height adjustment) are recommended to reach operational height)</t>
    </r>
  </si>
  <si>
    <t>KONICA MINOLTA bizhub 4701i Monochrome Printer</t>
  </si>
  <si>
    <r>
      <t xml:space="preserve">The latest addition to the new generation of the bizhub A4 series, the bizhub 4701i monochrome single function printer. The updated A4 model maintains the company’s objective to create value, ease and convenience for our customers while also taking into consideration a changed work environment with more people working from home. The A4 SFP incorporates features that are simple enough for use at home yet still offer advanced features for a professional office setup. The bizhub 4701i replaces the 4702P. The specifications of the 4701i will be essentially the same as the C4000i/C3300i, except for the speed and monochrome printing.
</t>
    </r>
    <r>
      <rPr>
        <sz val="12"/>
        <rFont val="Tahoma"/>
        <family val="2"/>
      </rPr>
      <t>**Picture below may show optional accessories not included with the base configuration. Consult VBS Sales Professional for product information.</t>
    </r>
  </si>
  <si>
    <t xml:space="preserve">	ACTA017</t>
  </si>
  <si>
    <r>
      <t xml:space="preserve">	bizhub 4701i</t>
    </r>
    <r>
      <rPr>
        <sz val="16"/>
        <rFont val="Arial"/>
        <family val="2"/>
      </rPr>
      <t xml:space="preserve"> Monochrome Printer</t>
    </r>
  </si>
  <si>
    <t>ACT9017</t>
  </si>
  <si>
    <t>ACT8017</t>
  </si>
  <si>
    <t>KONICA MINOLTA AccurioPress 7120 Digital Press</t>
  </si>
  <si>
    <r>
      <t xml:space="preserve">Built to perform in high volume environments, the AccurioPress 7120 digtial press sets a new standard in monochrome printing. Print and copy speeds up to 120 ppm reach new levels in efficiency, with high-volume monthly duty cycle of 2.5 million impressions, real-time automated density and registration adjustments deliver ultimate quality and productivity to almost any customer in the printing industry.
</t>
    </r>
    <r>
      <rPr>
        <sz val="9"/>
        <rFont val="Tahoma"/>
        <family val="2"/>
      </rPr>
      <t>**Picture below may show optional accessories not included with the base configuration. Consult VBS Sales Professional for product information.</t>
    </r>
  </si>
  <si>
    <t xml:space="preserve">	AE1M011</t>
  </si>
  <si>
    <t>AccurioPress 7120</t>
  </si>
  <si>
    <t>Barcode Serial Number Validation for AIT</t>
  </si>
  <si>
    <t>CREASER FOR TU-510</t>
  </si>
  <si>
    <t>AE58WY1</t>
  </si>
  <si>
    <t>EF-109 EF-109 ENVELOPE FUSER</t>
  </si>
  <si>
    <t>FA-503 PFU Adjustment Kit FA-503</t>
  </si>
  <si>
    <t>45201403</t>
  </si>
  <si>
    <t>FIERY COMPOSE 1YEAR SUBSCRIPTION</t>
  </si>
  <si>
    <t>45201405</t>
  </si>
  <si>
    <t>FIERY COMPOSE 2YEAR SUBSCRIPTION</t>
  </si>
  <si>
    <t>45201407</t>
  </si>
  <si>
    <t>FIERY COMPOSE 3YEAR SUBSCRIPTION</t>
  </si>
  <si>
    <t>45201410</t>
  </si>
  <si>
    <t>FIERY COMPOSE 4YEAR SUBSCRIPTION</t>
  </si>
  <si>
    <t>45201412</t>
  </si>
  <si>
    <t>FIERY COMPOSE 5YEAR SUBSCRIPTION</t>
  </si>
  <si>
    <t>45201393</t>
  </si>
  <si>
    <t>Fiery Impose 1YEAR Subscription</t>
  </si>
  <si>
    <t>45201395</t>
  </si>
  <si>
    <t>FIERY IMPOSE 2YEAR SUBSCRIPTION</t>
  </si>
  <si>
    <t>45201397</t>
  </si>
  <si>
    <t>FIERY IMPOSE 3YEAR SUBSCRIPTION</t>
  </si>
  <si>
    <t>45201399</t>
  </si>
  <si>
    <t>FIERY IMPOSE 4YEAR SUBSCRIPTION</t>
  </si>
  <si>
    <t>45201401</t>
  </si>
  <si>
    <t>FIERY IMPOSE 5YEAR SUBSCRIPTION</t>
  </si>
  <si>
    <t>45201414</t>
  </si>
  <si>
    <t>FIERY IMPOSE-COMPOSE 1YEAR SUBSCRIPTION</t>
  </si>
  <si>
    <t>45201416</t>
  </si>
  <si>
    <t>FIERY IMPOSE-COMPOSE 2YEAR SUBSCRIPTION</t>
  </si>
  <si>
    <t>45201418</t>
  </si>
  <si>
    <t>FIERY IMPOSE-COMPOSE 3YEAR SUBSCRIPTION</t>
  </si>
  <si>
    <t>45201423</t>
  </si>
  <si>
    <t>FIERY IMPOSE-COMPOSE 4YEAR SUBSCRIPTION</t>
  </si>
  <si>
    <t>45201425</t>
  </si>
  <si>
    <t>FIERY IMPOSE-COMPOSE 5YEAR SUBSCRIPTION</t>
  </si>
  <si>
    <t>45201427</t>
  </si>
  <si>
    <t>FIERY JOBMASTER 1YEAR SUBSCRIPTION</t>
  </si>
  <si>
    <t>45201429</t>
  </si>
  <si>
    <t>FIERY JOBMASTER 2YEAR SUBSCRIPTION</t>
  </si>
  <si>
    <t>45201431</t>
  </si>
  <si>
    <t>FIERY JOBMASTER 3YEAR SUBSCRIPTION</t>
  </si>
  <si>
    <t>45201433</t>
  </si>
  <si>
    <t>FIERY JOBMASTER 4YEAR SUBSCRIPTION</t>
  </si>
  <si>
    <t>45201435</t>
  </si>
  <si>
    <t>FIERY JOBMASTER 5YEAR SUBSCRIPTION</t>
  </si>
  <si>
    <t>IC-316 ACTION PACK</t>
  </si>
  <si>
    <t>IC-316 FAST PACK</t>
  </si>
  <si>
    <t>IC-316 TRANS PACK</t>
  </si>
  <si>
    <t>01002011A</t>
  </si>
  <si>
    <t>IC-316M CREO IMAGE CONTROLLER</t>
  </si>
  <si>
    <t>ACJ8WY2</t>
  </si>
  <si>
    <t>45236414</t>
  </si>
  <si>
    <t>MIC-4170 FIERY IMAGE CONTROLLER</t>
  </si>
  <si>
    <t>OT-512 Output Tray</t>
  </si>
  <si>
    <t>ACWPWY2</t>
  </si>
  <si>
    <t>PE-102 CROSS DIRECTION PERF TU-510 PE102 CROSS DIRECTION PERF TU-510</t>
  </si>
  <si>
    <t>A9JXWY2</t>
  </si>
  <si>
    <t>PF-710 PAPER FEED UNIT</t>
  </si>
  <si>
    <t>13300005</t>
  </si>
  <si>
    <t>Plockmatic Carepack FM-400</t>
  </si>
  <si>
    <t>13200005</t>
  </si>
  <si>
    <t>Plockmatic Carepack SD-435</t>
  </si>
  <si>
    <t>13307100</t>
  </si>
  <si>
    <t>Plockmatic FM-400 Finishing Module</t>
  </si>
  <si>
    <t>Plockmatic Hand Feed Tray</t>
  </si>
  <si>
    <t>4707000</t>
  </si>
  <si>
    <t>PLOCKMATIC HIGH CAPACITY BELT STACKER</t>
  </si>
  <si>
    <t>12207100</t>
  </si>
  <si>
    <t>Plockmatic RCT 3.0 Module</t>
  </si>
  <si>
    <t>Plockmatic SD-435 Booklet Maker</t>
  </si>
  <si>
    <t>Plockmatic SD-450 Upgrade kit</t>
  </si>
  <si>
    <t>A0W6WY5</t>
  </si>
  <si>
    <t xml:space="preserve">RH-101 REMOVABLE HDD_x000D_
</t>
  </si>
  <si>
    <t>SLITTER FOR TU-510</t>
  </si>
  <si>
    <t>12200032</t>
  </si>
  <si>
    <t>TRIM WASTE CONVEYOR 2.0</t>
  </si>
  <si>
    <t>AC3TWY2</t>
  </si>
  <si>
    <t>AAAMWY2</t>
  </si>
  <si>
    <t>UK-217 UPGRADE KIT</t>
  </si>
  <si>
    <t>UK-301 UK-301 Auto Inspection Unit</t>
  </si>
  <si>
    <t>AAANWY2</t>
  </si>
  <si>
    <t>VI-512 VIDEO INTERFACE KIT VI-512</t>
  </si>
  <si>
    <t>AC5MWY2</t>
  </si>
  <si>
    <t>VI-513 VIDEO INTERFACE KIT VI-513</t>
  </si>
  <si>
    <t>KONICA MINOLTA AccurioPress 7136 Digital Press</t>
  </si>
  <si>
    <r>
      <t xml:space="preserve">With a print speed of 136 pages per minute, the AccurioPress 7136 digital printing press provides high-quality black and white output at high volume. It’s the digital press that runs like a pro, with a duty cycle of over three million impressions, and real-time automated image density and registration adjustments maintain image stability over long press runs.
</t>
    </r>
    <r>
      <rPr>
        <sz val="9"/>
        <rFont val="Tahoma"/>
        <family val="2"/>
      </rPr>
      <t>**Picture below may show optional accessories not included with the base configuration. Consult VBS Sales Professional for product information.</t>
    </r>
  </si>
  <si>
    <t>AE1K011</t>
  </si>
  <si>
    <t xml:space="preserve"> AccurioPress 7136</t>
  </si>
  <si>
    <t>7640021823</t>
  </si>
  <si>
    <t xml:space="preserve">Barcode Serial Number Validation for AIT </t>
  </si>
  <si>
    <t>EF-109 ENVELOPE FUSER</t>
  </si>
  <si>
    <t xml:space="preserve">FIERY COMPOSE 1YEAR SUBSCRIPTION </t>
  </si>
  <si>
    <t xml:space="preserve">FIERY COMPOSE 2YEAR SUBSCRIPTION </t>
  </si>
  <si>
    <t xml:space="preserve">FIERY COMPOSE 3YEAR SUBSCRIPTION </t>
  </si>
  <si>
    <t xml:space="preserve">FIERY COMPOSE 4YEAR SUBSCRIPTION </t>
  </si>
  <si>
    <t xml:space="preserve">FIERY COMPOSE 5YEAR SUBSCRIPTION </t>
  </si>
  <si>
    <t xml:space="preserve">FIERY IMPOSE 1YEAR SUBSCRIPTION </t>
  </si>
  <si>
    <t xml:space="preserve">FIERY IMPOSE 2YEAR SUBSCRIPTION </t>
  </si>
  <si>
    <t xml:space="preserve">FIERY IMPOSE 3YEAR SUBSCRIPTION </t>
  </si>
  <si>
    <t xml:space="preserve">FIERY IMPOSE 4YEAR SUBSCRIPTION </t>
  </si>
  <si>
    <t xml:space="preserve">FIERY IMPOSE 5YEAR SUBSCRIPTION </t>
  </si>
  <si>
    <t xml:space="preserve">FIERY IMPOSE-COMPOSE 1YEAR SUBSCRIPTION </t>
  </si>
  <si>
    <t xml:space="preserve">FIERY IMPOSE-COMPOSE 2YEAR SUBSCRIPTION </t>
  </si>
  <si>
    <t xml:space="preserve">FIERY IMPOSE-COMPOSE 3YEAR SUBSCRIPTION </t>
  </si>
  <si>
    <t xml:space="preserve">FIERY IMPOSE-COMPOSE 4YEAR SUBSCRIPTION </t>
  </si>
  <si>
    <t xml:space="preserve">FIERY IMPOSE-COMPOSE 5YEAR SUBSCRIPTION </t>
  </si>
  <si>
    <t xml:space="preserve">FIERY JOBMASTER 1YEAR SUBSCRIPTION </t>
  </si>
  <si>
    <t xml:space="preserve">FIERY JOBMASTER 2YEAR SUBSCRIPTION </t>
  </si>
  <si>
    <t xml:space="preserve">FIERY JOBMASTER 3YEAR SUBSCRIPTION </t>
  </si>
  <si>
    <t xml:space="preserve">FIERY JOBMASTER 4YEAR SUBSCRIPTION </t>
  </si>
  <si>
    <t xml:space="preserve">FIERY JOBMASTER 5YEAR SUBSCRIPTION </t>
  </si>
  <si>
    <t xml:space="preserve">IC-316M CREO IMAGE CONTROLLER </t>
  </si>
  <si>
    <t xml:space="preserve">JS-507 BUSINESS CARD TRAY FOR TU-510 </t>
  </si>
  <si>
    <t xml:space="preserve">MIC-4170 FIERY IMAGE CONTROLLER </t>
  </si>
  <si>
    <t>MK-737 MK-737 MOUNT KIT FOR 3RD PARTY OPTIONS</t>
  </si>
  <si>
    <t>PE102 CROSS DIRECTION PERF TU-510</t>
  </si>
  <si>
    <t xml:space="preserve">Plockmatic Carepack FM-400 </t>
  </si>
  <si>
    <t xml:space="preserve">Plockmatic Carepack SD-435 </t>
  </si>
  <si>
    <t xml:space="preserve">TRIM WASTE CONVEYOR 2.0 </t>
  </si>
  <si>
    <t xml:space="preserve">TU-510 TRIMMER UNIT </t>
  </si>
  <si>
    <t>CS-2 CONVENIENCE STAPLER</t>
  </si>
  <si>
    <t xml:space="preserve">PF-P28 PAPER FEED UNIT </t>
  </si>
  <si>
    <t>AU-205HGEN2  SQ-2020-94643 AU-205H IC Card Reader</t>
  </si>
  <si>
    <t>AU-205HGEN2 SQ-2020-94643 AU-205H IC Card Reader</t>
  </si>
  <si>
    <t>ACCGWY2</t>
  </si>
  <si>
    <t>AAJUW14</t>
  </si>
  <si>
    <t>LK-106 I-OPTION Bar Code Font</t>
  </si>
  <si>
    <t>LK-110v2 i-Option License Kit (Enhanced Imaging)</t>
  </si>
  <si>
    <t>KP-102 KP-102 KEYPAD</t>
  </si>
  <si>
    <t>EM-908 (1 TB SSD)</t>
  </si>
  <si>
    <t>PF-P25 Height Adjustment Unit</t>
  </si>
  <si>
    <t>KP-102 Keypad</t>
  </si>
  <si>
    <t>LK-110 v2 i-Option License Kit (Enhanced Imaging)</t>
  </si>
  <si>
    <t>LK-116 LK-116 Bitdefender Virus Scan</t>
  </si>
  <si>
    <t>PF-P28 Paper Feed Unit</t>
  </si>
  <si>
    <t>7640019090</t>
  </si>
  <si>
    <t xml:space="preserve">BIZHUB SECURE HEALTHCARE SMALL MFP DLR </t>
  </si>
  <si>
    <t xml:space="preserve">BIZHUB SECURE PLATINUM SMALL MFP DLR </t>
  </si>
  <si>
    <t xml:space="preserve">BIZHUB SECURE SMALL MFP DLR </t>
  </si>
  <si>
    <t xml:space="preserve">CS-2 Convenience Stapler </t>
  </si>
  <si>
    <t xml:space="preserve">Paper Tray Lock </t>
  </si>
  <si>
    <t xml:space="preserve">PF-P28 Paper Feed Unit </t>
  </si>
  <si>
    <t>ADXT011</t>
  </si>
  <si>
    <r>
      <t xml:space="preserve">bizhub 451i 
</t>
    </r>
    <r>
      <rPr>
        <b/>
        <sz val="10"/>
        <color indexed="8"/>
        <rFont val="Arial"/>
        <family val="2"/>
      </rPr>
      <t>(OT-513 Output Tray required when no finisher is ordered)</t>
    </r>
  </si>
  <si>
    <t xml:space="preserve">KONICA MINOLTA bizhub 451i Black and White Digital Copier </t>
  </si>
  <si>
    <t>ADXW013</t>
  </si>
  <si>
    <t>BIZHUB 301i + DF-714</t>
  </si>
  <si>
    <t xml:space="preserve">KONICA MINOLTA bizhub 301i Black and White Digital Copier </t>
  </si>
  <si>
    <t>ADXM013</t>
  </si>
  <si>
    <t>C251i &amp; DF-714 Scan Doc Feed COPIER/PRINTER</t>
  </si>
  <si>
    <t xml:space="preserve">KONICA MINOLTA bizhub C251i Full Color Digital Copier </t>
  </si>
  <si>
    <t>ADXK013</t>
  </si>
  <si>
    <t>C301i &amp; DF-714 Scan Doc Feed COPIER/PRINTER</t>
  </si>
  <si>
    <t xml:space="preserve">KONICA MINOLTA bizhub C301i Full Color Digital Copier </t>
  </si>
  <si>
    <t>ADXV013</t>
  </si>
  <si>
    <t>BIZHUB 361i + DF-714</t>
  </si>
  <si>
    <t xml:space="preserve">KONICA MINOLTA bizhub 361i Black and White Digital Copier </t>
  </si>
  <si>
    <t>ADXJ013</t>
  </si>
  <si>
    <t>C361i &amp; DF-714 Scan Doc Feed COPIER/PRINTER</t>
  </si>
  <si>
    <t xml:space="preserve">KONICA MINOLTA bizhub C361i Full Color Digital Copier </t>
  </si>
  <si>
    <t xml:space="preserve">KONICA MINOLTA bizhub 551i Black and White Digital Copier </t>
  </si>
  <si>
    <t>ADXR011</t>
  </si>
  <si>
    <t>bizhub 551i
(OT-513 Output Tray required when with no finisher)</t>
  </si>
  <si>
    <t xml:space="preserve">KONICA MINOLTA bizhub C451i Full Color Digital Copier </t>
  </si>
  <si>
    <t>ADXG011</t>
  </si>
  <si>
    <t>Bizhub C451i (OT-513 Output Tray required when with no finisher)</t>
  </si>
  <si>
    <t xml:space="preserve">KONICA MINOLTA bizhub C551i Full Color Digital Copier </t>
  </si>
  <si>
    <t>ADXF011</t>
  </si>
  <si>
    <t>Bizhub C551i (OT-513 Output Tray required when with no finisher)</t>
  </si>
  <si>
    <t>ADXE011</t>
  </si>
  <si>
    <t xml:space="preserve">KONICA MINOLTA bizhub C651i Full Color Digital Copier </t>
  </si>
  <si>
    <t>Bizhub C651i (OT-513 Output Tray required when with no finisher)</t>
  </si>
  <si>
    <t>ADXD011</t>
  </si>
  <si>
    <r>
      <t xml:space="preserve">Bizhub C751i  </t>
    </r>
    <r>
      <rPr>
        <b/>
        <sz val="9"/>
        <color indexed="8"/>
        <rFont val="Arial"/>
        <family val="2"/>
      </rPr>
      <t>(OT-514 Output Tray required when no finisher is ordered)</t>
    </r>
  </si>
  <si>
    <t xml:space="preserve">KONICA MINOLTA bizhub C751i Full Color Digital Copier </t>
  </si>
  <si>
    <t>ADXP011</t>
  </si>
  <si>
    <t>bizhub 651i
(OT-506 Output Tray required when no finisher is ordered)</t>
  </si>
  <si>
    <t xml:space="preserve">KONICA MINOLTA bizhub 651i Black and White Digital Copier </t>
  </si>
  <si>
    <t xml:space="preserve">KONICA MINOLTA bizhub 751i Black and White Digital Copier </t>
  </si>
  <si>
    <t>ADXN011</t>
  </si>
  <si>
    <r>
      <t xml:space="preserve">bizhub 751i </t>
    </r>
    <r>
      <rPr>
        <b/>
        <i/>
        <sz val="9"/>
        <rFont val="Arial"/>
        <family val="2"/>
      </rPr>
      <t>(OT-514 Output Tray required when no finisher is ordered)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</si>
</sst>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quot;$&quot;#,##0.00"/>
    <numFmt numFmtId="167" formatCode="&quot;$&quot;#,##0.000"/>
    <numFmt numFmtId="168" formatCode="#,##0.0000"/>
    <numFmt numFmtId="169" formatCode="General_)"/>
    <numFmt numFmtId="170" formatCode="[$$-409]#,##0.00"/>
    <numFmt numFmtId="171" formatCode="0_);[Red]\(0\)"/>
    <numFmt numFmtId="172" formatCode="_(&quot;$&quot;* #,##0.0000_);_(&quot;$&quot;* \(#,##0.0000\);_(&quot;$&quot;* &quot;-&quot;????_);_(@_)"/>
    <numFmt numFmtId="173" formatCode="_-* #,##0_-;\-* #,##0_-;_-* &quot;-&quot;_-;_-@_-"/>
    <numFmt numFmtId="174" formatCode="dd\.mm\.yyyy\ hh:mm:ss"/>
    <numFmt numFmtId="175" formatCode="[$$-409]#,##0"/>
    <numFmt numFmtId="176" formatCode="0.000%"/>
  </numFmts>
  <fonts count="139">
    <font>
      <sz val="10"/>
      <name val="Arial"/>
    </font>
    <font>
      <sz val="11"/>
      <color indexed="8"/>
      <name val="Calibri"/>
      <family val="2"/>
    </font>
    <font>
      <sz val="11"/>
      <color indexed="8"/>
      <name val="Calibri"/>
      <family val="2"/>
    </font>
    <font>
      <sz val="11"/>
      <color indexed="8"/>
      <name val="Calibri"/>
      <family val="2"/>
    </font>
    <font>
      <sz val="12"/>
      <name val="Times New Roman"/>
      <family val="1"/>
    </font>
    <font>
      <sz val="10"/>
      <name val="Arial"/>
      <family val="2"/>
    </font>
    <font>
      <sz val="11"/>
      <color indexed="9"/>
      <name val="Calibri"/>
      <family val="2"/>
    </font>
    <font>
      <sz val="11"/>
      <color indexed="14"/>
      <name val="Calibri"/>
      <family val="2"/>
    </font>
    <font>
      <b/>
      <sz val="11"/>
      <color indexed="52"/>
      <name val="Calibri"/>
      <family val="2"/>
    </font>
    <font>
      <b/>
      <sz val="11"/>
      <color indexed="9"/>
      <name val="Calibri"/>
      <family val="2"/>
    </font>
    <font>
      <sz val="10"/>
      <name val="Arial"/>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name val="Osaka"/>
      <family val="3"/>
      <charset val="128"/>
    </font>
    <font>
      <b/>
      <sz val="10"/>
      <name val="Tahoma"/>
      <family val="2"/>
    </font>
    <font>
      <sz val="10"/>
      <name val="Tahoma"/>
      <family val="2"/>
    </font>
    <font>
      <sz val="24"/>
      <name val="MetaPlusBlack"/>
    </font>
    <font>
      <sz val="9"/>
      <name val="Tahoma"/>
      <family val="2"/>
    </font>
    <font>
      <b/>
      <sz val="9"/>
      <name val="Tahoma"/>
      <family val="2"/>
    </font>
    <font>
      <b/>
      <sz val="11"/>
      <name val="Tahoma"/>
      <family val="2"/>
    </font>
    <font>
      <sz val="11"/>
      <name val="Arial"/>
      <family val="2"/>
    </font>
    <font>
      <b/>
      <sz val="11"/>
      <color indexed="9"/>
      <name val="Tahoma"/>
      <family val="2"/>
    </font>
    <font>
      <sz val="10"/>
      <color indexed="63"/>
      <name val="Verdana"/>
      <family val="2"/>
    </font>
    <font>
      <b/>
      <sz val="10"/>
      <name val="Arial"/>
      <family val="2"/>
    </font>
    <font>
      <b/>
      <u/>
      <sz val="10"/>
      <name val="Tahoma"/>
      <family val="2"/>
    </font>
    <font>
      <b/>
      <sz val="11"/>
      <name val="Arial"/>
      <family val="2"/>
    </font>
    <font>
      <b/>
      <sz val="14"/>
      <name val="Tahoma"/>
      <family val="2"/>
    </font>
    <font>
      <b/>
      <sz val="10"/>
      <color indexed="9"/>
      <name val="Tahoma"/>
      <family val="2"/>
    </font>
    <font>
      <b/>
      <i/>
      <sz val="8"/>
      <name val="Tahoma"/>
      <family val="2"/>
    </font>
    <font>
      <b/>
      <sz val="8"/>
      <name val="Tahoma"/>
      <family val="2"/>
    </font>
    <font>
      <b/>
      <sz val="10"/>
      <color indexed="8"/>
      <name val="Arial"/>
      <family val="2"/>
    </font>
    <font>
      <sz val="10"/>
      <color indexed="8"/>
      <name val="Arial"/>
      <family val="2"/>
    </font>
    <font>
      <b/>
      <sz val="11"/>
      <color indexed="48"/>
      <name val="Tahoma"/>
      <family val="2"/>
    </font>
    <font>
      <b/>
      <sz val="10"/>
      <name val="Arial"/>
      <family val="2"/>
    </font>
    <font>
      <b/>
      <u/>
      <sz val="11"/>
      <color indexed="48"/>
      <name val="Tahoma"/>
      <family val="2"/>
    </font>
    <font>
      <b/>
      <sz val="11"/>
      <name val="Arial"/>
      <family val="2"/>
    </font>
    <font>
      <sz val="11"/>
      <name val="Arial"/>
      <family val="2"/>
    </font>
    <font>
      <vertAlign val="superscript"/>
      <sz val="10"/>
      <name val="Tahoma"/>
      <family val="2"/>
    </font>
    <font>
      <sz val="10"/>
      <color indexed="8"/>
      <name val="Arial"/>
      <family val="2"/>
    </font>
    <font>
      <b/>
      <sz val="14"/>
      <name val="Arial"/>
      <family val="2"/>
    </font>
    <font>
      <sz val="22"/>
      <name val="MetaPlusBlack"/>
    </font>
    <font>
      <sz val="11"/>
      <name val="Tahoma"/>
      <family val="2"/>
    </font>
    <font>
      <b/>
      <sz val="12"/>
      <color indexed="10"/>
      <name val="Arial"/>
      <family val="2"/>
    </font>
    <font>
      <sz val="8"/>
      <name val="Arial"/>
      <family val="2"/>
    </font>
    <font>
      <sz val="28"/>
      <name val="MetaPlusBlack"/>
    </font>
    <font>
      <b/>
      <sz val="12"/>
      <name val="Tahoma"/>
      <family val="2"/>
    </font>
    <font>
      <sz val="12"/>
      <name val="Arial"/>
      <family val="2"/>
    </font>
    <font>
      <b/>
      <sz val="14"/>
      <color indexed="9"/>
      <name val="Tahoma"/>
      <family val="2"/>
    </font>
    <font>
      <sz val="14"/>
      <name val="Tahoma"/>
      <family val="2"/>
    </font>
    <font>
      <sz val="14"/>
      <name val="Arial"/>
      <family val="2"/>
    </font>
    <font>
      <sz val="16"/>
      <name val="Tahoma"/>
      <family val="2"/>
    </font>
    <font>
      <b/>
      <i/>
      <sz val="16"/>
      <name val="Tahoma"/>
      <family val="2"/>
    </font>
    <font>
      <b/>
      <sz val="16"/>
      <name val="Tahoma"/>
      <family val="2"/>
    </font>
    <font>
      <b/>
      <sz val="16"/>
      <name val="Arial"/>
      <family val="2"/>
    </font>
    <font>
      <sz val="18"/>
      <name val="Arial"/>
      <family val="2"/>
    </font>
    <font>
      <b/>
      <sz val="18"/>
      <name val="Arial"/>
      <family val="2"/>
    </font>
    <font>
      <sz val="12"/>
      <name val="Tahoma"/>
      <family val="2"/>
    </font>
    <font>
      <sz val="16"/>
      <name val="Arial"/>
      <family val="2"/>
    </font>
    <font>
      <sz val="14"/>
      <name val="Times New Roman"/>
      <family val="1"/>
    </font>
    <font>
      <sz val="14"/>
      <color indexed="8"/>
      <name val="Arial"/>
      <family val="2"/>
    </font>
    <font>
      <sz val="14"/>
      <color indexed="8"/>
      <name val="Arial"/>
      <family val="2"/>
    </font>
    <font>
      <sz val="14"/>
      <name val="Arial"/>
      <family val="2"/>
    </font>
    <font>
      <b/>
      <sz val="14"/>
      <color indexed="8"/>
      <name val="Arial"/>
      <family val="2"/>
    </font>
    <font>
      <sz val="10"/>
      <name val="Arial"/>
      <family val="2"/>
    </font>
    <font>
      <b/>
      <sz val="22"/>
      <name val="Arial"/>
      <family val="2"/>
    </font>
    <font>
      <b/>
      <sz val="9"/>
      <color indexed="8"/>
      <name val="Arial"/>
      <family val="2"/>
    </font>
    <font>
      <b/>
      <sz val="11"/>
      <color indexed="8"/>
      <name val="Arial"/>
      <family val="2"/>
    </font>
    <font>
      <sz val="11"/>
      <color indexed="20"/>
      <name val="Calibri"/>
      <family val="2"/>
    </font>
    <font>
      <b/>
      <sz val="18"/>
      <color indexed="57"/>
      <name val="Cambria"/>
      <family val="2"/>
    </font>
    <font>
      <b/>
      <sz val="15"/>
      <color indexed="57"/>
      <name val="Calibri"/>
      <family val="2"/>
    </font>
    <font>
      <b/>
      <sz val="13"/>
      <color indexed="57"/>
      <name val="Calibri"/>
      <family val="2"/>
    </font>
    <font>
      <b/>
      <sz val="11"/>
      <color indexed="57"/>
      <name val="Calibri"/>
      <family val="2"/>
    </font>
    <font>
      <sz val="11"/>
      <color indexed="58"/>
      <name val="Calibri"/>
      <family val="2"/>
    </font>
    <font>
      <sz val="11"/>
      <color indexed="19"/>
      <name val="Calibri"/>
      <family val="2"/>
    </font>
    <font>
      <b/>
      <sz val="11"/>
      <color indexed="10"/>
      <name val="Calibri"/>
      <family val="2"/>
    </font>
    <font>
      <sz val="9"/>
      <name val="Arial"/>
      <family val="2"/>
    </font>
    <font>
      <b/>
      <sz val="8"/>
      <name val="Arial"/>
      <family val="2"/>
    </font>
    <font>
      <b/>
      <i/>
      <sz val="14"/>
      <name val="Verdana"/>
      <family val="2"/>
    </font>
    <font>
      <sz val="11"/>
      <color indexed="8"/>
      <name val="Helvetica Neue"/>
    </font>
    <font>
      <sz val="11"/>
      <color indexed="9"/>
      <name val="Helvetica Neue"/>
    </font>
    <font>
      <sz val="10"/>
      <name val="Helv"/>
      <charset val="204"/>
    </font>
    <font>
      <sz val="11"/>
      <name val="돋움"/>
      <family val="3"/>
      <charset val="129"/>
    </font>
    <font>
      <u/>
      <sz val="8"/>
      <color indexed="12"/>
      <name val="Times New Roman"/>
      <family val="1"/>
    </font>
    <font>
      <vertAlign val="superscript"/>
      <sz val="10"/>
      <name val="Arial"/>
      <family val="2"/>
    </font>
    <font>
      <b/>
      <sz val="16"/>
      <color indexed="8"/>
      <name val="Arial"/>
      <family val="2"/>
    </font>
    <font>
      <sz val="16"/>
      <name val="Times New Roman"/>
      <family val="1"/>
    </font>
    <font>
      <sz val="16"/>
      <color indexed="8"/>
      <name val="Arial"/>
      <family val="2"/>
    </font>
    <font>
      <b/>
      <sz val="20"/>
      <name val="Tahoma"/>
      <family val="2"/>
    </font>
    <font>
      <b/>
      <sz val="24"/>
      <name val="Arial"/>
      <family val="2"/>
    </font>
    <font>
      <b/>
      <sz val="10"/>
      <color indexed="9"/>
      <name val="Arial"/>
      <family val="2"/>
    </font>
    <font>
      <b/>
      <sz val="20"/>
      <name val="Arial"/>
      <family val="2"/>
    </font>
    <font>
      <sz val="20"/>
      <name val="Arial"/>
      <family val="2"/>
    </font>
    <font>
      <sz val="22"/>
      <name val="Arial"/>
      <family val="2"/>
    </font>
    <font>
      <sz val="24"/>
      <name val="Arial"/>
      <family val="2"/>
    </font>
    <font>
      <b/>
      <sz val="26"/>
      <name val="Arial"/>
      <family val="2"/>
    </font>
    <font>
      <sz val="26"/>
      <name val="Arial"/>
      <family val="2"/>
    </font>
    <font>
      <b/>
      <sz val="28"/>
      <name val="Arial"/>
      <family val="2"/>
    </font>
    <font>
      <sz val="28"/>
      <name val="Arial"/>
      <family val="2"/>
    </font>
    <font>
      <sz val="8"/>
      <name val="Arial"/>
      <family val="2"/>
    </font>
    <font>
      <i/>
      <sz val="10"/>
      <name val="Arial"/>
      <family val="2"/>
    </font>
    <font>
      <b/>
      <i/>
      <sz val="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Arial"/>
      <family val="2"/>
    </font>
    <font>
      <u/>
      <sz val="8.1999999999999993"/>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Arial"/>
      <family val="2"/>
    </font>
    <font>
      <sz val="10"/>
      <color theme="1"/>
      <name val="Arial"/>
      <family val="2"/>
    </font>
    <font>
      <sz val="10"/>
      <color rgb="FF000000"/>
      <name val="Arial"/>
      <family val="2"/>
    </font>
    <font>
      <b/>
      <sz val="16"/>
      <color rgb="FF000000"/>
      <name val="Arial"/>
      <family val="2"/>
    </font>
    <font>
      <sz val="9"/>
      <color theme="1"/>
      <name val="Arial"/>
      <family val="2"/>
    </font>
    <font>
      <sz val="12"/>
      <color indexed="8"/>
      <name val="Arial"/>
      <family val="2"/>
    </font>
  </fonts>
  <fills count="61">
    <fill>
      <patternFill patternType="none"/>
    </fill>
    <fill>
      <patternFill patternType="gray125"/>
    </fill>
    <fill>
      <patternFill patternType="solid">
        <fgColor indexed="10"/>
        <bgColor indexed="64"/>
      </patternFill>
    </fill>
    <fill>
      <patternFill patternType="solid">
        <fgColor indexed="11"/>
        <bgColor indexed="64"/>
      </patternFill>
    </fill>
    <fill>
      <patternFill patternType="solid">
        <fgColor indexed="8"/>
        <bgColor indexed="64"/>
      </patternFill>
    </fill>
    <fill>
      <patternFill patternType="solid">
        <fgColor indexed="9"/>
      </patternFill>
    </fill>
    <fill>
      <patternFill patternType="solid">
        <fgColor indexed="44"/>
      </patternFill>
    </fill>
    <fill>
      <patternFill patternType="solid">
        <fgColor indexed="47"/>
      </patternFill>
    </fill>
    <fill>
      <patternFill patternType="solid">
        <fgColor indexed="45"/>
      </patternFill>
    </fill>
    <fill>
      <patternFill patternType="solid">
        <fgColor indexed="29"/>
      </patternFill>
    </fill>
    <fill>
      <patternFill patternType="solid">
        <fgColor indexed="26"/>
      </patternFill>
    </fill>
    <fill>
      <patternFill patternType="solid">
        <fgColor indexed="42"/>
      </patternFill>
    </fill>
    <fill>
      <patternFill patternType="solid">
        <fgColor indexed="22"/>
      </patternFill>
    </fill>
    <fill>
      <patternFill patternType="solid">
        <fgColor indexed="27"/>
      </patternFill>
    </fill>
    <fill>
      <patternFill patternType="solid">
        <fgColor indexed="43"/>
      </patternFill>
    </fill>
    <fill>
      <patternFill patternType="solid">
        <fgColor indexed="51"/>
      </patternFill>
    </fill>
    <fill>
      <patternFill patternType="solid">
        <fgColor indexed="49"/>
      </patternFill>
    </fill>
    <fill>
      <patternFill patternType="solid">
        <fgColor indexed="52"/>
      </patternFill>
    </fill>
    <fill>
      <patternFill patternType="solid">
        <fgColor indexed="19"/>
      </patternFill>
    </fill>
    <fill>
      <patternFill patternType="solid">
        <fgColor indexed="10"/>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s>
  <borders count="59">
    <border>
      <left/>
      <right/>
      <top/>
      <bottom/>
      <diagonal/>
    </border>
    <border>
      <left/>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bottom/>
      <diagonal/>
    </border>
    <border>
      <left style="thin">
        <color indexed="8"/>
      </left>
      <right style="thin">
        <color indexed="8"/>
      </right>
      <top style="thin">
        <color indexed="8"/>
      </top>
      <bottom/>
      <diagonal/>
    </border>
    <border>
      <left style="medium">
        <color indexed="64"/>
      </left>
      <right style="thin">
        <color indexed="8"/>
      </right>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medium">
        <color indexed="64"/>
      </right>
      <top/>
      <bottom style="medium">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top style="medium">
        <color indexed="64"/>
      </top>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05">
    <xf numFmtId="0" fontId="0" fillId="0" borderId="0"/>
    <xf numFmtId="170" fontId="4" fillId="0" borderId="0"/>
    <xf numFmtId="0" fontId="87" fillId="2" borderId="1">
      <alignment vertical="center" wrapText="1"/>
    </xf>
    <xf numFmtId="174" fontId="87" fillId="2" borderId="1">
      <alignment horizontal="left" vertical="center" wrapText="1"/>
    </xf>
    <xf numFmtId="0" fontId="86" fillId="3" borderId="0">
      <alignment vertical="center" wrapText="1"/>
    </xf>
    <xf numFmtId="49" fontId="54" fillId="0" borderId="2">
      <alignment horizontal="left" vertical="center" wrapText="1"/>
    </xf>
    <xf numFmtId="0" fontId="87" fillId="4" borderId="3">
      <alignment vertical="center" wrapText="1"/>
    </xf>
    <xf numFmtId="49" fontId="88" fillId="4" borderId="1">
      <alignment vertical="center"/>
    </xf>
    <xf numFmtId="170" fontId="5" fillId="0" borderId="0" applyNumberFormat="0" applyFill="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12" fillId="2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12" fillId="2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2" fillId="2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12"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2"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12" fillId="3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2"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2"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2"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12" fillId="3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12"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13" fillId="3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13" fillId="3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13" fillId="4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13"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13"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13" fillId="4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13" fillId="4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13" fillId="4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13"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1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13" fillId="4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13" fillId="49"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4" fillId="50"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8" fillId="8" borderId="0" applyNumberFormat="0" applyBorder="0" applyAlignment="0" applyProtection="0"/>
    <xf numFmtId="0" fontId="7" fillId="8" borderId="0"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15" fillId="51" borderId="50" applyNumberFormat="0" applyAlignment="0" applyProtection="0"/>
    <xf numFmtId="0" fontId="8" fillId="5" borderId="4" applyNumberFormat="0" applyAlignment="0" applyProtection="0"/>
    <xf numFmtId="0" fontId="8" fillId="5" borderId="4" applyNumberFormat="0" applyAlignment="0" applyProtection="0"/>
    <xf numFmtId="0" fontId="85" fillId="5" borderId="4" applyNumberFormat="0" applyAlignment="0" applyProtection="0"/>
    <xf numFmtId="0" fontId="8" fillId="5" borderId="4" applyNumberFormat="0" applyAlignment="0" applyProtection="0"/>
    <xf numFmtId="0" fontId="9" fillId="22" borderId="5" applyNumberFormat="0" applyAlignment="0" applyProtection="0"/>
    <xf numFmtId="0" fontId="9" fillId="22" borderId="5" applyNumberFormat="0" applyAlignment="0" applyProtection="0"/>
    <xf numFmtId="0" fontId="9" fillId="22" borderId="5" applyNumberFormat="0" applyAlignment="0" applyProtection="0"/>
    <xf numFmtId="0" fontId="116" fillId="52" borderId="51" applyNumberFormat="0" applyAlignment="0" applyProtection="0"/>
    <xf numFmtId="0" fontId="9" fillId="22" borderId="5" applyNumberFormat="0" applyAlignment="0" applyProtection="0"/>
    <xf numFmtId="0" fontId="9" fillId="22" borderId="5" applyNumberFormat="0" applyAlignment="0" applyProtection="0"/>
    <xf numFmtId="38"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0" fontId="5" fillId="0" borderId="0">
      <alignment wrapText="1"/>
    </xf>
    <xf numFmtId="175" fontId="5" fillId="0" borderId="0">
      <alignment wrapText="1"/>
    </xf>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5"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7"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18" fillId="5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83" fillId="13" borderId="0" applyNumberFormat="0" applyBorder="0" applyAlignment="0" applyProtection="0"/>
    <xf numFmtId="0" fontId="13" fillId="11" borderId="0" applyNumberFormat="0" applyBorder="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19" fillId="0" borderId="52"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80" fillId="0" borderId="6"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20" fillId="0" borderId="53"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81" fillId="0" borderId="8" applyNumberFormat="0" applyFill="0" applyAlignment="0" applyProtection="0"/>
    <xf numFmtId="0" fontId="15" fillId="0" borderId="7"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21" fillId="0" borderId="54"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82" fillId="0" borderId="10" applyNumberFormat="0" applyFill="0" applyAlignment="0" applyProtection="0"/>
    <xf numFmtId="0" fontId="16" fillId="0" borderId="9"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2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2" fillId="0" borderId="0" applyNumberFormat="0" applyFill="0" applyBorder="0" applyAlignment="0" applyProtection="0"/>
    <xf numFmtId="0" fontId="16" fillId="0" borderId="0" applyNumberFormat="0" applyFill="0" applyBorder="0" applyAlignment="0" applyProtection="0"/>
    <xf numFmtId="0" fontId="122" fillId="0" borderId="0" applyNumberFormat="0" applyFill="0" applyBorder="0" applyAlignment="0" applyProtection="0"/>
    <xf numFmtId="0" fontId="12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25" fillId="54" borderId="50" applyNumberFormat="0" applyAlignment="0" applyProtection="0"/>
    <xf numFmtId="0" fontId="17" fillId="7" borderId="4" applyNumberFormat="0" applyAlignment="0" applyProtection="0"/>
    <xf numFmtId="0" fontId="17" fillId="7" borderId="4" applyNumberFormat="0" applyAlignment="0" applyProtection="0"/>
    <xf numFmtId="0" fontId="17" fillId="9" borderId="4" applyNumberFormat="0" applyAlignment="0" applyProtection="0"/>
    <xf numFmtId="0" fontId="17" fillId="7" borderId="4" applyNumberFormat="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26" fillId="0" borderId="55"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23" fillId="0" borderId="12" applyNumberFormat="0" applyFill="0" applyAlignment="0" applyProtection="0"/>
    <xf numFmtId="0" fontId="18" fillId="0" borderId="11" applyNumberFormat="0" applyFill="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27" fillId="5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84" fillId="14" borderId="0" applyNumberFormat="0" applyBorder="0" applyAlignment="0" applyProtection="0"/>
    <xf numFmtId="0" fontId="19" fillId="14" borderId="0" applyNumberFormat="0" applyBorder="0" applyAlignment="0" applyProtection="0"/>
    <xf numFmtId="0" fontId="112" fillId="0" borderId="0"/>
    <xf numFmtId="0" fontId="5" fillId="0" borderId="0"/>
    <xf numFmtId="175" fontId="112" fillId="0" borderId="0"/>
    <xf numFmtId="0" fontId="5" fillId="0" borderId="0"/>
    <xf numFmtId="0" fontId="89" fillId="0" borderId="0" applyNumberFormat="0" applyFill="0" applyBorder="0" applyProtection="0">
      <alignment vertical="top"/>
    </xf>
    <xf numFmtId="0" fontId="5" fillId="0" borderId="0"/>
    <xf numFmtId="0" fontId="112" fillId="0" borderId="0"/>
    <xf numFmtId="0" fontId="112" fillId="0" borderId="0"/>
    <xf numFmtId="0" fontId="128" fillId="0" borderId="0"/>
    <xf numFmtId="0" fontId="5" fillId="0" borderId="0"/>
    <xf numFmtId="37" fontId="5" fillId="0" borderId="0"/>
    <xf numFmtId="37" fontId="5" fillId="0" borderId="0"/>
    <xf numFmtId="0" fontId="5" fillId="0" borderId="0"/>
    <xf numFmtId="0" fontId="1" fillId="0" borderId="0"/>
    <xf numFmtId="0" fontId="5" fillId="0" borderId="0"/>
    <xf numFmtId="0" fontId="112" fillId="0" borderId="0"/>
    <xf numFmtId="0" fontId="5" fillId="0" borderId="0"/>
    <xf numFmtId="0" fontId="5" fillId="0" borderId="0"/>
    <xf numFmtId="0" fontId="112" fillId="0" borderId="0"/>
    <xf numFmtId="175" fontId="112" fillId="0" borderId="0"/>
    <xf numFmtId="0" fontId="5" fillId="0" borderId="0"/>
    <xf numFmtId="0" fontId="5" fillId="0" borderId="0"/>
    <xf numFmtId="175" fontId="112" fillId="0" borderId="0"/>
    <xf numFmtId="0" fontId="3" fillId="0" borderId="0"/>
    <xf numFmtId="0" fontId="1" fillId="0" borderId="0"/>
    <xf numFmtId="175" fontId="112" fillId="0" borderId="0"/>
    <xf numFmtId="0" fontId="5" fillId="0" borderId="0"/>
    <xf numFmtId="0" fontId="2" fillId="0" borderId="0"/>
    <xf numFmtId="0" fontId="5" fillId="0" borderId="0"/>
    <xf numFmtId="175" fontId="112" fillId="0" borderId="0"/>
    <xf numFmtId="0" fontId="112" fillId="0" borderId="0"/>
    <xf numFmtId="175" fontId="112" fillId="0" borderId="0"/>
    <xf numFmtId="0" fontId="112" fillId="0" borderId="0"/>
    <xf numFmtId="175" fontId="112" fillId="0" borderId="0"/>
    <xf numFmtId="0" fontId="112" fillId="0" borderId="0"/>
    <xf numFmtId="175" fontId="112" fillId="0" borderId="0"/>
    <xf numFmtId="0" fontId="4" fillId="0" borderId="0"/>
    <xf numFmtId="0" fontId="3" fillId="0" borderId="0"/>
    <xf numFmtId="0" fontId="3" fillId="0" borderId="0"/>
    <xf numFmtId="0" fontId="1" fillId="0" borderId="0"/>
    <xf numFmtId="0" fontId="10" fillId="0" borderId="0"/>
    <xf numFmtId="0" fontId="3" fillId="0" borderId="0"/>
    <xf numFmtId="37" fontId="5" fillId="0" borderId="0"/>
    <xf numFmtId="0" fontId="5" fillId="0" borderId="0"/>
    <xf numFmtId="37" fontId="5" fillId="0" borderId="0"/>
    <xf numFmtId="0" fontId="10" fillId="0" borderId="0"/>
    <xf numFmtId="0" fontId="5" fillId="0" borderId="0"/>
    <xf numFmtId="37" fontId="5" fillId="0" borderId="0"/>
    <xf numFmtId="37" fontId="5" fillId="0" borderId="0"/>
    <xf numFmtId="0" fontId="1" fillId="0" borderId="0"/>
    <xf numFmtId="0" fontId="4" fillId="0" borderId="0"/>
    <xf numFmtId="0" fontId="10" fillId="10" borderId="2" applyNumberFormat="0" applyFont="0" applyAlignment="0" applyProtection="0"/>
    <xf numFmtId="0" fontId="3" fillId="10" borderId="2" applyNumberFormat="0" applyFont="0" applyAlignment="0" applyProtection="0"/>
    <xf numFmtId="0" fontId="1" fillId="10" borderId="2"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1" fillId="56" borderId="56" applyNumberFormat="0" applyFont="0" applyAlignment="0" applyProtection="0"/>
    <xf numFmtId="0" fontId="112" fillId="56" borderId="56"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20" fillId="5" borderId="13" applyNumberFormat="0" applyAlignment="0" applyProtection="0"/>
    <xf numFmtId="0" fontId="20" fillId="5" borderId="13" applyNumberFormat="0" applyAlignment="0" applyProtection="0"/>
    <xf numFmtId="0" fontId="20" fillId="5" borderId="13" applyNumberFormat="0" applyAlignment="0" applyProtection="0"/>
    <xf numFmtId="0" fontId="129" fillId="51" borderId="57" applyNumberFormat="0" applyAlignment="0" applyProtection="0"/>
    <xf numFmtId="0" fontId="20" fillId="5" borderId="13" applyNumberFormat="0" applyAlignment="0" applyProtection="0"/>
    <xf numFmtId="0" fontId="20" fillId="5" borderId="13"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12" fillId="0" borderId="0" applyFont="0" applyFill="0" applyBorder="0" applyAlignment="0" applyProtection="0"/>
    <xf numFmtId="9" fontId="90" fillId="0" borderId="0" applyFont="0" applyFill="0" applyBorder="0" applyAlignment="0" applyProtection="0"/>
    <xf numFmtId="1" fontId="5" fillId="0" borderId="0" applyFont="0" applyFill="0" applyBorder="0" applyProtection="0">
      <alignment horizontal="center"/>
    </xf>
    <xf numFmtId="0" fontId="4" fillId="0" borderId="0"/>
    <xf numFmtId="0" fontId="9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9" fillId="0" borderId="0" applyNumberFormat="0" applyFill="0" applyBorder="0" applyAlignment="0" applyProtection="0"/>
    <xf numFmtId="0" fontId="21" fillId="0" borderId="0" applyNumberFormat="0" applyFill="0" applyBorder="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131" fillId="0" borderId="58"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3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3" fontId="92" fillId="0" borderId="0" applyFont="0" applyFill="0" applyBorder="0" applyAlignment="0" applyProtection="0">
      <alignment vertical="center"/>
    </xf>
    <xf numFmtId="0" fontId="24" fillId="0" borderId="0"/>
    <xf numFmtId="0" fontId="1" fillId="0" borderId="0"/>
    <xf numFmtId="0" fontId="1" fillId="0" borderId="0"/>
  </cellStyleXfs>
  <cellXfs count="1410">
    <xf numFmtId="0" fontId="0" fillId="0" borderId="0" xfId="0"/>
    <xf numFmtId="44" fontId="34" fillId="0" borderId="15" xfId="222" applyFont="1" applyFill="1" applyBorder="1" applyAlignment="1" applyProtection="1">
      <alignment horizontal="center" vertical="center"/>
      <protection hidden="1"/>
    </xf>
    <xf numFmtId="44" fontId="42" fillId="0" borderId="16" xfId="0" applyNumberFormat="1" applyFont="1" applyBorder="1" applyAlignment="1" applyProtection="1">
      <alignment horizontal="right"/>
      <protection hidden="1"/>
    </xf>
    <xf numFmtId="44" fontId="42" fillId="0" borderId="17" xfId="0" applyNumberFormat="1" applyFont="1" applyBorder="1" applyAlignment="1" applyProtection="1">
      <alignment horizontal="right"/>
      <protection hidden="1"/>
    </xf>
    <xf numFmtId="44" fontId="10" fillId="0" borderId="16" xfId="222" applyFont="1" applyFill="1" applyBorder="1" applyAlignment="1" applyProtection="1">
      <protection hidden="1"/>
    </xf>
    <xf numFmtId="44" fontId="44" fillId="0" borderId="0" xfId="222" applyFont="1" applyFill="1" applyAlignment="1" applyProtection="1">
      <alignment horizontal="center"/>
      <protection hidden="1"/>
    </xf>
    <xf numFmtId="44" fontId="10" fillId="0" borderId="17" xfId="222" applyFont="1" applyFill="1" applyBorder="1" applyAlignment="1" applyProtection="1">
      <protection hidden="1"/>
    </xf>
    <xf numFmtId="164" fontId="10" fillId="0" borderId="0" xfId="222" applyNumberFormat="1" applyProtection="1">
      <protection hidden="1"/>
    </xf>
    <xf numFmtId="0" fontId="0" fillId="0" borderId="0" xfId="0" applyProtection="1">
      <protection hidden="1"/>
    </xf>
    <xf numFmtId="44" fontId="36" fillId="0" borderId="0" xfId="0" applyNumberFormat="1" applyFont="1" applyAlignment="1" applyProtection="1">
      <alignment horizontal="center"/>
      <protection hidden="1"/>
    </xf>
    <xf numFmtId="0" fontId="36" fillId="0" borderId="0" xfId="0" applyFont="1" applyAlignment="1" applyProtection="1">
      <alignment horizontal="center"/>
      <protection hidden="1"/>
    </xf>
    <xf numFmtId="164" fontId="10" fillId="0" borderId="15" xfId="222" applyNumberFormat="1" applyFont="1" applyFill="1" applyBorder="1" applyAlignment="1" applyProtection="1">
      <alignment horizontal="right"/>
      <protection hidden="1"/>
    </xf>
    <xf numFmtId="44" fontId="10" fillId="0" borderId="15" xfId="222" applyFont="1" applyFill="1" applyBorder="1" applyAlignment="1" applyProtection="1">
      <alignment horizontal="right"/>
      <protection hidden="1"/>
    </xf>
    <xf numFmtId="44" fontId="42" fillId="0" borderId="17" xfId="352" applyNumberFormat="1" applyFont="1" applyBorder="1" applyProtection="1">
      <protection hidden="1"/>
    </xf>
    <xf numFmtId="44" fontId="10" fillId="0" borderId="17" xfId="352" applyNumberFormat="1" applyFont="1" applyBorder="1" applyProtection="1">
      <protection hidden="1"/>
    </xf>
    <xf numFmtId="44" fontId="10" fillId="0" borderId="16" xfId="352" applyNumberFormat="1" applyFont="1" applyBorder="1" applyProtection="1">
      <protection hidden="1"/>
    </xf>
    <xf numFmtId="44" fontId="42" fillId="0" borderId="17" xfId="352" applyNumberFormat="1" applyFont="1" applyBorder="1" applyAlignment="1" applyProtection="1">
      <alignment horizontal="right"/>
      <protection hidden="1"/>
    </xf>
    <xf numFmtId="44" fontId="42" fillId="0" borderId="16" xfId="352" applyNumberFormat="1" applyFont="1" applyBorder="1" applyAlignment="1" applyProtection="1">
      <alignment horizontal="right"/>
      <protection hidden="1"/>
    </xf>
    <xf numFmtId="44" fontId="5" fillId="0" borderId="16" xfId="352" applyNumberFormat="1" applyFont="1" applyBorder="1" applyProtection="1">
      <protection hidden="1"/>
    </xf>
    <xf numFmtId="44" fontId="34" fillId="0" borderId="17" xfId="222" applyFont="1" applyFill="1" applyBorder="1" applyAlignment="1" applyProtection="1">
      <alignment vertical="center"/>
      <protection hidden="1"/>
    </xf>
    <xf numFmtId="44" fontId="34" fillId="0" borderId="17" xfId="222" applyFont="1" applyFill="1" applyBorder="1" applyAlignment="1" applyProtection="1">
      <alignment horizontal="center" vertical="center"/>
      <protection hidden="1"/>
    </xf>
    <xf numFmtId="44" fontId="10" fillId="0" borderId="16" xfId="0" applyNumberFormat="1" applyFont="1" applyBorder="1" applyProtection="1">
      <protection hidden="1"/>
    </xf>
    <xf numFmtId="44" fontId="49" fillId="0" borderId="16" xfId="0" applyNumberFormat="1" applyFont="1" applyBorder="1" applyAlignment="1" applyProtection="1">
      <alignment horizontal="right"/>
      <protection hidden="1"/>
    </xf>
    <xf numFmtId="44" fontId="42" fillId="0" borderId="17" xfId="0" applyNumberFormat="1" applyFont="1" applyBorder="1" applyProtection="1">
      <protection hidden="1"/>
    </xf>
    <xf numFmtId="164" fontId="10" fillId="0" borderId="0" xfId="222" applyNumberFormat="1" applyAlignment="1" applyProtection="1">
      <alignment horizontal="center"/>
      <protection hidden="1"/>
    </xf>
    <xf numFmtId="164" fontId="10" fillId="0" borderId="0" xfId="222" applyNumberFormat="1" applyAlignment="1" applyProtection="1">
      <protection hidden="1"/>
    </xf>
    <xf numFmtId="0" fontId="0" fillId="0" borderId="0" xfId="0" applyAlignment="1" applyProtection="1">
      <alignment horizontal="center"/>
      <protection hidden="1"/>
    </xf>
    <xf numFmtId="44" fontId="70" fillId="0" borderId="17" xfId="352" applyNumberFormat="1" applyFont="1" applyBorder="1" applyAlignment="1" applyProtection="1">
      <alignment horizontal="right"/>
      <protection hidden="1"/>
    </xf>
    <xf numFmtId="0" fontId="4" fillId="0" borderId="0" xfId="0" applyFont="1" applyProtection="1">
      <protection hidden="1"/>
    </xf>
    <xf numFmtId="44" fontId="64" fillId="0" borderId="0" xfId="0" applyNumberFormat="1" applyFont="1" applyProtection="1">
      <protection hidden="1"/>
    </xf>
    <xf numFmtId="49" fontId="70" fillId="0" borderId="17" xfId="222" applyNumberFormat="1" applyFont="1" applyFill="1" applyBorder="1" applyAlignment="1" applyProtection="1">
      <alignment horizontal="center" vertical="center"/>
      <protection hidden="1"/>
    </xf>
    <xf numFmtId="0" fontId="70" fillId="0" borderId="17" xfId="0" applyFont="1" applyBorder="1" applyAlignment="1" applyProtection="1">
      <alignment horizontal="center" vertical="top" wrapText="1"/>
      <protection hidden="1"/>
    </xf>
    <xf numFmtId="169" fontId="70" fillId="0" borderId="17" xfId="1" applyNumberFormat="1" applyFont="1" applyBorder="1" applyAlignment="1" applyProtection="1">
      <alignment horizontal="left"/>
      <protection hidden="1"/>
    </xf>
    <xf numFmtId="44" fontId="70" fillId="0" borderId="17" xfId="0" applyNumberFormat="1" applyFont="1" applyBorder="1" applyAlignment="1" applyProtection="1">
      <alignment wrapText="1"/>
      <protection hidden="1"/>
    </xf>
    <xf numFmtId="169" fontId="71" fillId="0" borderId="17" xfId="1" applyNumberFormat="1" applyFont="1" applyBorder="1" applyAlignment="1" applyProtection="1">
      <alignment horizontal="left"/>
      <protection hidden="1"/>
    </xf>
    <xf numFmtId="42" fontId="10" fillId="0" borderId="15" xfId="222" applyNumberFormat="1" applyFont="1" applyFill="1" applyBorder="1" applyAlignment="1" applyProtection="1">
      <alignment horizontal="right" vertical="top"/>
      <protection hidden="1"/>
    </xf>
    <xf numFmtId="44" fontId="10" fillId="0" borderId="17" xfId="222" applyFont="1" applyFill="1" applyBorder="1" applyAlignment="1" applyProtection="1">
      <alignment horizontal="right"/>
      <protection hidden="1"/>
    </xf>
    <xf numFmtId="0" fontId="0" fillId="0" borderId="18" xfId="0" applyBorder="1" applyProtection="1">
      <protection hidden="1"/>
    </xf>
    <xf numFmtId="42" fontId="10" fillId="0" borderId="18" xfId="222" applyNumberFormat="1" applyFont="1" applyFill="1" applyBorder="1" applyAlignment="1" applyProtection="1">
      <alignment horizontal="right" vertical="top"/>
      <protection hidden="1"/>
    </xf>
    <xf numFmtId="0" fontId="0" fillId="0" borderId="19" xfId="0" applyBorder="1" applyProtection="1">
      <protection hidden="1"/>
    </xf>
    <xf numFmtId="44" fontId="10" fillId="0" borderId="18" xfId="222" applyFont="1" applyFill="1" applyBorder="1" applyAlignment="1" applyProtection="1">
      <alignment horizontal="right"/>
      <protection hidden="1"/>
    </xf>
    <xf numFmtId="0" fontId="0" fillId="0" borderId="18"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44" fontId="5" fillId="0" borderId="16" xfId="0" applyNumberFormat="1" applyFont="1" applyBorder="1" applyProtection="1">
      <protection hidden="1"/>
    </xf>
    <xf numFmtId="44" fontId="5" fillId="0" borderId="17" xfId="0" applyNumberFormat="1" applyFont="1" applyBorder="1" applyProtection="1">
      <protection hidden="1"/>
    </xf>
    <xf numFmtId="44" fontId="5" fillId="0" borderId="16" xfId="222" applyFont="1" applyFill="1" applyBorder="1" applyAlignment="1" applyProtection="1">
      <protection hidden="1"/>
    </xf>
    <xf numFmtId="44" fontId="5" fillId="0" borderId="17" xfId="222" applyFont="1" applyFill="1" applyBorder="1" applyAlignment="1" applyProtection="1">
      <protection hidden="1"/>
    </xf>
    <xf numFmtId="164" fontId="10" fillId="0" borderId="17" xfId="222" applyNumberFormat="1" applyFont="1" applyFill="1" applyBorder="1" applyAlignment="1" applyProtection="1">
      <alignment horizontal="right"/>
      <protection hidden="1"/>
    </xf>
    <xf numFmtId="164" fontId="10" fillId="0" borderId="18" xfId="222" applyNumberFormat="1" applyFont="1" applyFill="1" applyBorder="1" applyAlignment="1" applyProtection="1">
      <alignment horizontal="right"/>
      <protection hidden="1"/>
    </xf>
    <xf numFmtId="44" fontId="34" fillId="0" borderId="17" xfId="223" applyFont="1" applyFill="1" applyBorder="1" applyAlignment="1" applyProtection="1">
      <alignment horizontal="right"/>
      <protection hidden="1"/>
    </xf>
    <xf numFmtId="44" fontId="34" fillId="0" borderId="17" xfId="223" applyFont="1" applyFill="1" applyBorder="1" applyAlignment="1" applyProtection="1">
      <protection hidden="1"/>
    </xf>
    <xf numFmtId="44" fontId="34" fillId="0" borderId="17" xfId="223" applyFont="1" applyFill="1" applyBorder="1" applyAlignment="1" applyProtection="1">
      <alignment horizontal="center" vertical="center"/>
      <protection hidden="1"/>
    </xf>
    <xf numFmtId="164" fontId="5" fillId="0" borderId="17" xfId="223" applyNumberFormat="1" applyFont="1" applyFill="1" applyBorder="1" applyAlignment="1" applyProtection="1">
      <alignment horizontal="right"/>
      <protection hidden="1"/>
    </xf>
    <xf numFmtId="44" fontId="5" fillId="0" borderId="17" xfId="223" applyFont="1" applyFill="1" applyBorder="1" applyAlignment="1" applyProtection="1">
      <alignment horizontal="right"/>
      <protection hidden="1"/>
    </xf>
    <xf numFmtId="164" fontId="5" fillId="0" borderId="18" xfId="223" applyNumberFormat="1" applyFont="1" applyFill="1" applyBorder="1" applyAlignment="1" applyProtection="1">
      <alignment horizontal="right"/>
      <protection hidden="1"/>
    </xf>
    <xf numFmtId="0" fontId="5" fillId="0" borderId="18" xfId="303" applyBorder="1" applyAlignment="1" applyProtection="1">
      <alignment horizontal="center" vertical="center"/>
      <protection hidden="1"/>
    </xf>
    <xf numFmtId="0" fontId="5" fillId="0" borderId="19" xfId="303" applyBorder="1" applyAlignment="1" applyProtection="1">
      <alignment horizontal="center" vertical="center"/>
      <protection hidden="1"/>
    </xf>
    <xf numFmtId="44" fontId="5" fillId="0" borderId="18" xfId="223" applyFont="1" applyFill="1" applyBorder="1" applyAlignment="1" applyProtection="1">
      <alignment horizontal="right"/>
      <protection hidden="1"/>
    </xf>
    <xf numFmtId="164" fontId="5" fillId="0" borderId="15" xfId="223" applyNumberFormat="1" applyFont="1" applyFill="1" applyBorder="1" applyAlignment="1" applyProtection="1">
      <alignment horizontal="right"/>
      <protection hidden="1"/>
    </xf>
    <xf numFmtId="44" fontId="42" fillId="0" borderId="17" xfId="303" applyNumberFormat="1" applyFont="1" applyBorder="1" applyProtection="1">
      <protection hidden="1"/>
    </xf>
    <xf numFmtId="44" fontId="5" fillId="0" borderId="16" xfId="303" applyNumberFormat="1" applyBorder="1" applyProtection="1">
      <protection hidden="1"/>
    </xf>
    <xf numFmtId="44" fontId="42" fillId="0" borderId="16" xfId="303" applyNumberFormat="1" applyFont="1" applyBorder="1" applyAlignment="1" applyProtection="1">
      <alignment horizontal="right"/>
      <protection hidden="1"/>
    </xf>
    <xf numFmtId="44" fontId="42" fillId="0" borderId="17" xfId="303" applyNumberFormat="1" applyFont="1" applyBorder="1" applyAlignment="1" applyProtection="1">
      <alignment horizontal="right"/>
      <protection hidden="1"/>
    </xf>
    <xf numFmtId="164" fontId="10" fillId="0" borderId="20" xfId="222" applyNumberFormat="1" applyFont="1" applyFill="1" applyBorder="1" applyAlignment="1" applyProtection="1">
      <alignment horizontal="right"/>
      <protection hidden="1"/>
    </xf>
    <xf numFmtId="44" fontId="0" fillId="0" borderId="18" xfId="0" applyNumberFormat="1" applyBorder="1" applyAlignment="1" applyProtection="1">
      <alignment horizontal="center" vertical="center"/>
      <protection hidden="1"/>
    </xf>
    <xf numFmtId="44" fontId="0" fillId="0" borderId="19" xfId="0" applyNumberFormat="1" applyBorder="1" applyAlignment="1" applyProtection="1">
      <alignment horizontal="center" vertical="center"/>
      <protection hidden="1"/>
    </xf>
    <xf numFmtId="4" fontId="26" fillId="0" borderId="21" xfId="0" applyNumberFormat="1" applyFont="1" applyBorder="1" applyAlignment="1" applyProtection="1">
      <alignment horizontal="center" vertical="center"/>
      <protection hidden="1"/>
    </xf>
    <xf numFmtId="4" fontId="26" fillId="0" borderId="0" xfId="0" applyNumberFormat="1" applyFont="1" applyAlignment="1" applyProtection="1">
      <alignment horizontal="center" vertical="center"/>
      <protection hidden="1"/>
    </xf>
    <xf numFmtId="165" fontId="34" fillId="0" borderId="22" xfId="0" applyNumberFormat="1" applyFont="1" applyBorder="1" applyAlignment="1" applyProtection="1">
      <alignment horizontal="center"/>
      <protection hidden="1"/>
    </xf>
    <xf numFmtId="44" fontId="34" fillId="0" borderId="17" xfId="0" applyNumberFormat="1" applyFont="1" applyBorder="1" applyAlignment="1" applyProtection="1">
      <alignment horizontal="center" vertical="center"/>
      <protection hidden="1"/>
    </xf>
    <xf numFmtId="44" fontId="34" fillId="0" borderId="20" xfId="0" applyNumberFormat="1" applyFont="1" applyBorder="1" applyAlignment="1" applyProtection="1">
      <alignment horizontal="center" vertical="center"/>
      <protection hidden="1"/>
    </xf>
    <xf numFmtId="164" fontId="10" fillId="0" borderId="23" xfId="222" applyNumberFormat="1" applyFont="1" applyFill="1" applyBorder="1" applyAlignment="1" applyProtection="1">
      <alignment horizontal="right"/>
      <protection hidden="1"/>
    </xf>
    <xf numFmtId="44" fontId="5" fillId="0" borderId="24" xfId="0" applyNumberFormat="1" applyFont="1" applyBorder="1" applyProtection="1">
      <protection hidden="1"/>
    </xf>
    <xf numFmtId="44" fontId="34" fillId="0" borderId="17" xfId="222" applyFont="1" applyFill="1" applyBorder="1" applyAlignment="1" applyProtection="1">
      <protection hidden="1"/>
    </xf>
    <xf numFmtId="44" fontId="5" fillId="0" borderId="16" xfId="0" applyNumberFormat="1" applyFont="1" applyBorder="1" applyAlignment="1" applyProtection="1">
      <alignment horizontal="right"/>
      <protection hidden="1"/>
    </xf>
    <xf numFmtId="44" fontId="34" fillId="0" borderId="17" xfId="222" applyFont="1" applyFill="1" applyBorder="1" applyAlignment="1" applyProtection="1">
      <alignment horizontal="right"/>
      <protection hidden="1"/>
    </xf>
    <xf numFmtId="44" fontId="64" fillId="0" borderId="17" xfId="222" applyFont="1" applyFill="1" applyBorder="1" applyAlignment="1" applyProtection="1">
      <alignment horizontal="center" vertical="center"/>
      <protection hidden="1"/>
    </xf>
    <xf numFmtId="44" fontId="34" fillId="0" borderId="17" xfId="222" applyFont="1" applyFill="1" applyBorder="1" applyAlignment="1" applyProtection="1">
      <alignment horizontal="center"/>
      <protection hidden="1"/>
    </xf>
    <xf numFmtId="44" fontId="36" fillId="0" borderId="0" xfId="352" applyNumberFormat="1" applyFont="1" applyAlignment="1" applyProtection="1">
      <alignment horizontal="center"/>
      <protection hidden="1"/>
    </xf>
    <xf numFmtId="44" fontId="5" fillId="0" borderId="17" xfId="352" applyNumberFormat="1" applyFont="1" applyBorder="1" applyProtection="1">
      <protection hidden="1"/>
    </xf>
    <xf numFmtId="44" fontId="5" fillId="0" borderId="17" xfId="352" applyNumberFormat="1" applyFont="1" applyBorder="1" applyAlignment="1" applyProtection="1">
      <alignment horizontal="right"/>
      <protection hidden="1"/>
    </xf>
    <xf numFmtId="44" fontId="5" fillId="0" borderId="16" xfId="352" applyNumberFormat="1" applyFont="1" applyBorder="1" applyAlignment="1" applyProtection="1">
      <alignment horizontal="right"/>
      <protection hidden="1"/>
    </xf>
    <xf numFmtId="0" fontId="40" fillId="0" borderId="17" xfId="0" applyFont="1" applyBorder="1" applyAlignment="1" applyProtection="1">
      <alignment horizontal="center" vertical="center" wrapText="1"/>
      <protection locked="0" hidden="1"/>
    </xf>
    <xf numFmtId="0" fontId="25" fillId="0" borderId="17" xfId="0" applyFont="1" applyBorder="1" applyAlignment="1" applyProtection="1">
      <alignment horizontal="center" vertical="center" wrapText="1"/>
      <protection locked="0" hidden="1"/>
    </xf>
    <xf numFmtId="0" fontId="25" fillId="0" borderId="16" xfId="0" applyFont="1" applyBorder="1" applyAlignment="1" applyProtection="1">
      <alignment horizontal="center" vertical="center" wrapText="1"/>
      <protection locked="0" hidden="1"/>
    </xf>
    <xf numFmtId="0" fontId="40" fillId="0" borderId="16" xfId="0" applyFont="1" applyBorder="1" applyAlignment="1" applyProtection="1">
      <alignment horizontal="center" vertical="center" wrapText="1"/>
      <protection locked="0" hidden="1"/>
    </xf>
    <xf numFmtId="0" fontId="34" fillId="0" borderId="15" xfId="0" applyFont="1" applyBorder="1" applyAlignment="1" applyProtection="1">
      <alignment horizontal="center" vertical="center"/>
      <protection locked="0" hidden="1"/>
    </xf>
    <xf numFmtId="0" fontId="34" fillId="0" borderId="17" xfId="0" applyFont="1" applyBorder="1" applyAlignment="1" applyProtection="1">
      <alignment wrapText="1"/>
      <protection locked="0" hidden="1"/>
    </xf>
    <xf numFmtId="44" fontId="34" fillId="0" borderId="17" xfId="0" applyNumberFormat="1" applyFont="1" applyBorder="1" applyAlignment="1" applyProtection="1">
      <alignment horizontal="center" vertical="center" wrapText="1"/>
      <protection locked="0" hidden="1"/>
    </xf>
    <xf numFmtId="44" fontId="34" fillId="0" borderId="17" xfId="222" applyFont="1" applyFill="1" applyBorder="1" applyAlignment="1" applyProtection="1">
      <alignment horizontal="center" vertical="center"/>
      <protection locked="0" hidden="1"/>
    </xf>
    <xf numFmtId="0" fontId="5" fillId="0" borderId="17" xfId="0" applyFont="1" applyBorder="1" applyAlignment="1" applyProtection="1">
      <alignment horizontal="center"/>
      <protection locked="0" hidden="1"/>
    </xf>
    <xf numFmtId="0" fontId="5" fillId="0" borderId="17" xfId="0" applyFont="1" applyBorder="1" applyAlignment="1" applyProtection="1">
      <alignment horizontal="left"/>
      <protection locked="0" hidden="1"/>
    </xf>
    <xf numFmtId="44" fontId="0" fillId="0" borderId="17" xfId="0" applyNumberFormat="1" applyBorder="1" applyProtection="1">
      <protection locked="0" hidden="1"/>
    </xf>
    <xf numFmtId="164" fontId="10" fillId="0" borderId="17" xfId="222" applyNumberFormat="1" applyFont="1" applyFill="1" applyBorder="1" applyAlignment="1" applyProtection="1">
      <alignment horizontal="right"/>
      <protection locked="0" hidden="1"/>
    </xf>
    <xf numFmtId="0" fontId="0" fillId="0" borderId="20"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18" xfId="0" applyBorder="1" applyAlignment="1" applyProtection="1">
      <alignment horizontal="center"/>
      <protection locked="0" hidden="1"/>
    </xf>
    <xf numFmtId="0" fontId="0" fillId="0" borderId="18" xfId="0" applyBorder="1" applyProtection="1">
      <protection locked="0" hidden="1"/>
    </xf>
    <xf numFmtId="44" fontId="0" fillId="0" borderId="18" xfId="0" applyNumberFormat="1" applyBorder="1" applyProtection="1">
      <protection locked="0" hidden="1"/>
    </xf>
    <xf numFmtId="164" fontId="10" fillId="0" borderId="18" xfId="222" applyNumberFormat="1" applyFont="1" applyFill="1" applyBorder="1" applyAlignment="1" applyProtection="1">
      <alignment horizontal="right"/>
      <protection locked="0" hidden="1"/>
    </xf>
    <xf numFmtId="44" fontId="10" fillId="0" borderId="18" xfId="222" applyFont="1" applyFill="1" applyBorder="1" applyAlignment="1" applyProtection="1">
      <alignment horizontal="right"/>
      <protection locked="0" hidden="1"/>
    </xf>
    <xf numFmtId="0" fontId="0" fillId="0" borderId="19" xfId="0" applyBorder="1" applyAlignment="1" applyProtection="1">
      <alignment horizontal="center" vertical="center"/>
      <protection locked="0" hidden="1"/>
    </xf>
    <xf numFmtId="0" fontId="5" fillId="0" borderId="17" xfId="0" applyFont="1" applyBorder="1" applyAlignment="1" applyProtection="1">
      <alignment horizontal="center" vertical="center"/>
      <protection locked="0" hidden="1"/>
    </xf>
    <xf numFmtId="44" fontId="44" fillId="0" borderId="0" xfId="222" applyFont="1" applyFill="1" applyAlignment="1" applyProtection="1">
      <alignment horizontal="center"/>
      <protection locked="0" hidden="1"/>
    </xf>
    <xf numFmtId="0" fontId="0" fillId="0" borderId="0" xfId="0" applyProtection="1">
      <protection locked="0" hidden="1"/>
    </xf>
    <xf numFmtId="0" fontId="25" fillId="0" borderId="0" xfId="0" applyFont="1" applyAlignment="1" applyProtection="1">
      <alignment wrapText="1"/>
      <protection locked="0" hidden="1"/>
    </xf>
    <xf numFmtId="0" fontId="25" fillId="0" borderId="0" xfId="0" applyFont="1" applyProtection="1">
      <protection locked="0" hidden="1"/>
    </xf>
    <xf numFmtId="44" fontId="25" fillId="0" borderId="0" xfId="0" applyNumberFormat="1" applyFont="1" applyProtection="1">
      <protection locked="0" hidden="1"/>
    </xf>
    <xf numFmtId="0" fontId="0" fillId="0" borderId="25" xfId="0" applyBorder="1" applyProtection="1">
      <protection locked="0" hidden="1"/>
    </xf>
    <xf numFmtId="0" fontId="25" fillId="0" borderId="25" xfId="0" applyFont="1" applyBorder="1" applyAlignment="1" applyProtection="1">
      <alignment wrapText="1"/>
      <protection locked="0" hidden="1"/>
    </xf>
    <xf numFmtId="0" fontId="25" fillId="0" borderId="25" xfId="0" applyFont="1" applyBorder="1" applyProtection="1">
      <protection locked="0" hidden="1"/>
    </xf>
    <xf numFmtId="44" fontId="25" fillId="0" borderId="25" xfId="0" applyNumberFormat="1" applyFont="1" applyBorder="1" applyProtection="1">
      <protection locked="0" hidden="1"/>
    </xf>
    <xf numFmtId="0" fontId="26" fillId="0" borderId="25" xfId="0" applyFont="1" applyBorder="1" applyProtection="1">
      <protection locked="0" hidden="1"/>
    </xf>
    <xf numFmtId="0" fontId="26" fillId="0" borderId="0" xfId="0" applyFont="1" applyProtection="1">
      <protection locked="0" hidden="1"/>
    </xf>
    <xf numFmtId="0" fontId="0" fillId="0" borderId="0" xfId="0" applyAlignment="1" applyProtection="1">
      <alignment vertical="center"/>
      <protection locked="0" hidden="1"/>
    </xf>
    <xf numFmtId="0" fontId="0" fillId="0" borderId="26" xfId="0" applyBorder="1" applyProtection="1">
      <protection locked="0" hidden="1"/>
    </xf>
    <xf numFmtId="0" fontId="25" fillId="0" borderId="26" xfId="0" applyFont="1" applyBorder="1" applyAlignment="1" applyProtection="1">
      <alignment wrapText="1"/>
      <protection locked="0" hidden="1"/>
    </xf>
    <xf numFmtId="0" fontId="25" fillId="0" borderId="26" xfId="0" applyFont="1" applyBorder="1" applyProtection="1">
      <protection locked="0" hidden="1"/>
    </xf>
    <xf numFmtId="44" fontId="25" fillId="0" borderId="26" xfId="0" applyNumberFormat="1" applyFont="1" applyBorder="1" applyProtection="1">
      <protection locked="0" hidden="1"/>
    </xf>
    <xf numFmtId="0" fontId="26" fillId="0" borderId="26" xfId="0" applyFont="1" applyBorder="1" applyProtection="1">
      <protection locked="0" hidden="1"/>
    </xf>
    <xf numFmtId="0" fontId="30" fillId="0" borderId="0" xfId="0" applyFont="1" applyAlignment="1" applyProtection="1">
      <alignment horizontal="center"/>
      <protection locked="0" hidden="1"/>
    </xf>
    <xf numFmtId="0" fontId="31" fillId="0" borderId="0" xfId="0" applyFont="1" applyAlignment="1" applyProtection="1">
      <alignment horizontal="center"/>
      <protection locked="0" hidden="1"/>
    </xf>
    <xf numFmtId="0" fontId="30" fillId="0" borderId="0" xfId="0" applyFont="1" applyAlignment="1" applyProtection="1">
      <alignment horizontal="right"/>
      <protection locked="0" hidden="1"/>
    </xf>
    <xf numFmtId="0" fontId="25" fillId="0" borderId="0" xfId="0" applyFont="1" applyAlignment="1" applyProtection="1">
      <alignment horizontal="right"/>
      <protection locked="0" hidden="1"/>
    </xf>
    <xf numFmtId="0" fontId="26" fillId="0" borderId="0" xfId="0" applyFont="1" applyAlignment="1" applyProtection="1">
      <alignment horizontal="left"/>
      <protection locked="0" hidden="1"/>
    </xf>
    <xf numFmtId="164" fontId="26" fillId="0" borderId="0" xfId="222" applyNumberFormat="1" applyFont="1" applyFill="1" applyAlignment="1" applyProtection="1">
      <protection locked="0" hidden="1"/>
    </xf>
    <xf numFmtId="0" fontId="25" fillId="0" borderId="0" xfId="0" applyFont="1" applyAlignment="1" applyProtection="1">
      <alignment horizontal="right" vertical="top"/>
      <protection locked="0" hidden="1"/>
    </xf>
    <xf numFmtId="0" fontId="26" fillId="0" borderId="0" xfId="0" applyFont="1" applyAlignment="1" applyProtection="1">
      <alignment horizontal="left" wrapText="1"/>
      <protection locked="0" hidden="1"/>
    </xf>
    <xf numFmtId="44" fontId="30" fillId="0" borderId="0" xfId="0" applyNumberFormat="1" applyFont="1" applyAlignment="1" applyProtection="1">
      <alignment horizontal="center"/>
      <protection locked="0" hidden="1"/>
    </xf>
    <xf numFmtId="3" fontId="26" fillId="0" borderId="0" xfId="0" applyNumberFormat="1" applyFont="1" applyAlignment="1" applyProtection="1">
      <alignment horizontal="left"/>
      <protection locked="0" hidden="1"/>
    </xf>
    <xf numFmtId="0" fontId="25" fillId="0" borderId="0" xfId="0" applyFont="1" applyAlignment="1" applyProtection="1">
      <alignment horizontal="right" wrapText="1"/>
      <protection locked="0" hidden="1"/>
    </xf>
    <xf numFmtId="8" fontId="26" fillId="0" borderId="0" xfId="0" applyNumberFormat="1" applyFont="1" applyAlignment="1" applyProtection="1">
      <alignment horizontal="left"/>
      <protection locked="0" hidden="1"/>
    </xf>
    <xf numFmtId="2" fontId="26" fillId="0" borderId="0" xfId="0" applyNumberFormat="1" applyFont="1" applyProtection="1">
      <protection locked="0" hidden="1"/>
    </xf>
    <xf numFmtId="2" fontId="0" fillId="0" borderId="0" xfId="0" applyNumberFormat="1" applyProtection="1">
      <protection locked="0" hidden="1"/>
    </xf>
    <xf numFmtId="0" fontId="10" fillId="0" borderId="0" xfId="342" applyProtection="1">
      <protection locked="0" hidden="1"/>
    </xf>
    <xf numFmtId="0" fontId="31" fillId="0" borderId="0" xfId="0" applyFont="1" applyProtection="1">
      <protection locked="0" hidden="1"/>
    </xf>
    <xf numFmtId="0" fontId="32" fillId="0" borderId="0" xfId="0" applyFont="1" applyAlignment="1" applyProtection="1">
      <alignment horizontal="center" vertical="center" wrapText="1"/>
      <protection locked="0" hidden="1"/>
    </xf>
    <xf numFmtId="0" fontId="0" fillId="0" borderId="22" xfId="0" applyBorder="1" applyProtection="1">
      <protection locked="0" hidden="1"/>
    </xf>
    <xf numFmtId="0" fontId="0" fillId="0" borderId="27" xfId="0" applyBorder="1" applyProtection="1">
      <protection locked="0" hidden="1"/>
    </xf>
    <xf numFmtId="0" fontId="0" fillId="0" borderId="28" xfId="0" applyBorder="1" applyProtection="1">
      <protection locked="0" hidden="1"/>
    </xf>
    <xf numFmtId="0" fontId="35" fillId="0" borderId="0" xfId="0" applyFont="1" applyProtection="1">
      <protection locked="0" hidden="1"/>
    </xf>
    <xf numFmtId="164" fontId="26" fillId="0" borderId="0" xfId="222" applyNumberFormat="1" applyFont="1" applyBorder="1" applyAlignment="1" applyProtection="1">
      <alignment horizontal="center" vertical="center" wrapText="1"/>
      <protection locked="0" hidden="1"/>
    </xf>
    <xf numFmtId="164" fontId="26" fillId="0" borderId="0" xfId="222" applyNumberFormat="1" applyFont="1" applyAlignment="1" applyProtection="1">
      <alignment horizontal="center" vertical="center" wrapText="1"/>
      <protection locked="0" hidden="1"/>
    </xf>
    <xf numFmtId="0" fontId="36" fillId="0" borderId="0" xfId="0" applyFont="1" applyAlignment="1" applyProtection="1">
      <alignment horizontal="center"/>
      <protection locked="0" hidden="1"/>
    </xf>
    <xf numFmtId="164" fontId="26" fillId="0" borderId="0" xfId="222" applyNumberFormat="1" applyFont="1" applyFill="1" applyBorder="1" applyAlignment="1" applyProtection="1">
      <alignment horizontal="center" vertical="center" wrapText="1"/>
      <protection locked="0" hidden="1"/>
    </xf>
    <xf numFmtId="164" fontId="26" fillId="0" borderId="0" xfId="222" applyNumberFormat="1" applyFont="1" applyFill="1" applyAlignment="1" applyProtection="1">
      <alignment horizontal="center" vertical="center" wrapText="1"/>
      <protection locked="0" hidden="1"/>
    </xf>
    <xf numFmtId="0" fontId="37" fillId="0" borderId="0" xfId="0" applyFont="1" applyAlignment="1" applyProtection="1">
      <alignment horizontal="right"/>
      <protection locked="0" hidden="1"/>
    </xf>
    <xf numFmtId="8" fontId="37" fillId="0" borderId="0" xfId="0" applyNumberFormat="1" applyFont="1" applyAlignment="1" applyProtection="1">
      <alignment horizontal="right"/>
      <protection locked="0" hidden="1"/>
    </xf>
    <xf numFmtId="0" fontId="0" fillId="0" borderId="0" xfId="0" applyAlignment="1" applyProtection="1">
      <alignment horizontal="right"/>
      <protection locked="0" hidden="1"/>
    </xf>
    <xf numFmtId="8" fontId="37" fillId="0" borderId="0" xfId="0" applyNumberFormat="1" applyFont="1" applyAlignment="1" applyProtection="1">
      <alignment horizontal="left"/>
      <protection locked="0" hidden="1"/>
    </xf>
    <xf numFmtId="0" fontId="38" fillId="0" borderId="0" xfId="0" applyFont="1" applyAlignment="1" applyProtection="1">
      <alignment horizontal="center" vertical="center" wrapText="1"/>
      <protection locked="0" hidden="1"/>
    </xf>
    <xf numFmtId="0" fontId="26" fillId="0" borderId="0" xfId="0" applyFont="1" applyAlignment="1" applyProtection="1">
      <alignment horizontal="center" vertical="center" wrapText="1"/>
      <protection locked="0" hidden="1"/>
    </xf>
    <xf numFmtId="0" fontId="34" fillId="0" borderId="15" xfId="0" applyFont="1" applyBorder="1" applyAlignment="1" applyProtection="1">
      <alignment horizontal="left" vertical="center" wrapText="1"/>
      <protection locked="0" hidden="1"/>
    </xf>
    <xf numFmtId="44" fontId="34" fillId="0" borderId="15" xfId="0" applyNumberFormat="1" applyFont="1" applyBorder="1" applyAlignment="1" applyProtection="1">
      <alignment horizontal="center" vertical="center" wrapText="1"/>
      <protection locked="0" hidden="1"/>
    </xf>
    <xf numFmtId="4" fontId="25" fillId="0" borderId="0" xfId="0" applyNumberFormat="1" applyFont="1" applyAlignment="1" applyProtection="1">
      <alignment horizontal="center"/>
      <protection locked="0" hidden="1"/>
    </xf>
    <xf numFmtId="0" fontId="34" fillId="0" borderId="0" xfId="0" applyFont="1" applyAlignment="1" applyProtection="1">
      <alignment horizontal="center"/>
      <protection locked="0" hidden="1"/>
    </xf>
    <xf numFmtId="0" fontId="26" fillId="0" borderId="0" xfId="0" applyFont="1" applyAlignment="1" applyProtection="1">
      <alignment horizontal="center"/>
      <protection locked="0" hidden="1"/>
    </xf>
    <xf numFmtId="0" fontId="0" fillId="0" borderId="16" xfId="0" applyBorder="1" applyAlignment="1" applyProtection="1">
      <alignment horizontal="center" vertical="center"/>
      <protection locked="0" hidden="1"/>
    </xf>
    <xf numFmtId="0" fontId="10" fillId="0" borderId="17" xfId="0" applyFont="1" applyBorder="1" applyAlignment="1" applyProtection="1">
      <alignment horizontal="center"/>
      <protection locked="0" hidden="1"/>
    </xf>
    <xf numFmtId="0" fontId="10" fillId="0" borderId="17" xfId="0" applyFont="1" applyBorder="1" applyProtection="1">
      <protection locked="0" hidden="1"/>
    </xf>
    <xf numFmtId="44" fontId="10" fillId="0" borderId="17" xfId="0" applyNumberFormat="1" applyFont="1" applyBorder="1" applyAlignment="1" applyProtection="1">
      <alignment horizontal="right" vertical="top" wrapText="1"/>
      <protection locked="0" hidden="1"/>
    </xf>
    <xf numFmtId="0" fontId="0" fillId="0" borderId="17" xfId="0" applyBorder="1" applyAlignment="1" applyProtection="1">
      <alignment horizontal="center" vertical="center"/>
      <protection locked="0" hidden="1"/>
    </xf>
    <xf numFmtId="0" fontId="0" fillId="0" borderId="0" xfId="0" applyAlignment="1" applyProtection="1">
      <alignment horizontal="center"/>
      <protection locked="0" hidden="1"/>
    </xf>
    <xf numFmtId="0" fontId="43" fillId="0" borderId="0" xfId="0" applyFont="1" applyProtection="1">
      <protection locked="0" hidden="1"/>
    </xf>
    <xf numFmtId="0" fontId="46" fillId="0" borderId="0" xfId="0" applyFont="1" applyAlignment="1" applyProtection="1">
      <alignment horizontal="center"/>
      <protection locked="0" hidden="1"/>
    </xf>
    <xf numFmtId="164" fontId="10" fillId="0" borderId="0" xfId="222" applyNumberFormat="1" applyProtection="1">
      <protection locked="0" hidden="1"/>
    </xf>
    <xf numFmtId="0" fontId="47" fillId="0" borderId="0" xfId="0" applyFont="1" applyAlignment="1" applyProtection="1">
      <alignment horizontal="center"/>
      <protection locked="0" hidden="1"/>
    </xf>
    <xf numFmtId="0" fontId="47" fillId="0" borderId="0" xfId="0" applyFont="1" applyProtection="1">
      <protection locked="0" hidden="1"/>
    </xf>
    <xf numFmtId="0" fontId="4" fillId="0" borderId="0" xfId="0" applyFont="1" applyProtection="1">
      <protection locked="0" hidden="1"/>
    </xf>
    <xf numFmtId="44" fontId="42" fillId="0" borderId="17" xfId="0" applyNumberFormat="1" applyFont="1" applyBorder="1" applyAlignment="1" applyProtection="1">
      <alignment horizontal="right"/>
      <protection locked="0" hidden="1"/>
    </xf>
    <xf numFmtId="0" fontId="112" fillId="0" borderId="0" xfId="302" applyProtection="1">
      <protection locked="0" hidden="1"/>
    </xf>
    <xf numFmtId="0" fontId="45" fillId="0" borderId="0" xfId="0" applyFont="1" applyProtection="1">
      <protection locked="0" hidden="1"/>
    </xf>
    <xf numFmtId="164" fontId="10" fillId="0" borderId="0" xfId="222" applyNumberFormat="1" applyAlignment="1" applyProtection="1">
      <alignment horizontal="center"/>
      <protection locked="0" hidden="1"/>
    </xf>
    <xf numFmtId="44" fontId="32" fillId="0" borderId="0" xfId="0" applyNumberFormat="1" applyFont="1" applyAlignment="1" applyProtection="1">
      <alignment horizontal="center"/>
      <protection locked="0" hidden="1"/>
    </xf>
    <xf numFmtId="0" fontId="42" fillId="0" borderId="17" xfId="0" applyFont="1" applyBorder="1" applyAlignment="1" applyProtection="1">
      <alignment horizontal="justify" vertical="top" wrapText="1"/>
      <protection locked="0" hidden="1"/>
    </xf>
    <xf numFmtId="0" fontId="44" fillId="0" borderId="0" xfId="0" applyFont="1" applyProtection="1">
      <protection locked="0" hidden="1"/>
    </xf>
    <xf numFmtId="0" fontId="42" fillId="0" borderId="17" xfId="0" applyFont="1" applyBorder="1" applyAlignment="1" applyProtection="1">
      <alignment horizontal="left" vertical="top" wrapText="1"/>
      <protection locked="0" hidden="1"/>
    </xf>
    <xf numFmtId="44" fontId="42" fillId="0" borderId="17" xfId="0" applyNumberFormat="1" applyFont="1" applyBorder="1" applyProtection="1">
      <protection locked="0" hidden="1"/>
    </xf>
    <xf numFmtId="0" fontId="4" fillId="0" borderId="0" xfId="352" applyProtection="1">
      <protection locked="0" hidden="1"/>
    </xf>
    <xf numFmtId="0" fontId="25" fillId="0" borderId="0" xfId="352" applyFont="1" applyAlignment="1" applyProtection="1">
      <alignment wrapText="1"/>
      <protection locked="0" hidden="1"/>
    </xf>
    <xf numFmtId="0" fontId="25" fillId="0" borderId="0" xfId="352" applyFont="1" applyProtection="1">
      <protection locked="0" hidden="1"/>
    </xf>
    <xf numFmtId="44" fontId="25" fillId="0" borderId="0" xfId="352" applyNumberFormat="1" applyFont="1" applyProtection="1">
      <protection locked="0" hidden="1"/>
    </xf>
    <xf numFmtId="0" fontId="4" fillId="0" borderId="25" xfId="352" applyBorder="1" applyProtection="1">
      <protection locked="0" hidden="1"/>
    </xf>
    <xf numFmtId="0" fontId="25" fillId="0" borderId="25" xfId="352" applyFont="1" applyBorder="1" applyAlignment="1" applyProtection="1">
      <alignment wrapText="1"/>
      <protection locked="0" hidden="1"/>
    </xf>
    <xf numFmtId="0" fontId="25" fillId="0" borderId="25" xfId="352" applyFont="1" applyBorder="1" applyProtection="1">
      <protection locked="0" hidden="1"/>
    </xf>
    <xf numFmtId="44" fontId="25" fillId="0" borderId="25" xfId="352" applyNumberFormat="1" applyFont="1" applyBorder="1" applyProtection="1">
      <protection locked="0" hidden="1"/>
    </xf>
    <xf numFmtId="0" fontId="26" fillId="0" borderId="25" xfId="352" applyFont="1" applyBorder="1" applyProtection="1">
      <protection locked="0" hidden="1"/>
    </xf>
    <xf numFmtId="0" fontId="26" fillId="0" borderId="0" xfId="352" applyFont="1" applyProtection="1">
      <protection locked="0" hidden="1"/>
    </xf>
    <xf numFmtId="0" fontId="4" fillId="0" borderId="0" xfId="352" applyAlignment="1" applyProtection="1">
      <alignment vertical="center"/>
      <protection locked="0" hidden="1"/>
    </xf>
    <xf numFmtId="0" fontId="4" fillId="0" borderId="26" xfId="352" applyBorder="1" applyProtection="1">
      <protection locked="0" hidden="1"/>
    </xf>
    <xf numFmtId="0" fontId="25" fillId="0" borderId="26" xfId="352" applyFont="1" applyBorder="1" applyAlignment="1" applyProtection="1">
      <alignment wrapText="1"/>
      <protection locked="0" hidden="1"/>
    </xf>
    <xf numFmtId="0" fontId="25" fillId="0" borderId="26" xfId="352" applyFont="1" applyBorder="1" applyProtection="1">
      <protection locked="0" hidden="1"/>
    </xf>
    <xf numFmtId="44" fontId="25" fillId="0" borderId="26" xfId="352" applyNumberFormat="1" applyFont="1" applyBorder="1" applyProtection="1">
      <protection locked="0" hidden="1"/>
    </xf>
    <xf numFmtId="0" fontId="26" fillId="0" borderId="26" xfId="352" applyFont="1" applyBorder="1" applyProtection="1">
      <protection locked="0" hidden="1"/>
    </xf>
    <xf numFmtId="0" fontId="30" fillId="0" borderId="0" xfId="352" applyFont="1" applyAlignment="1" applyProtection="1">
      <alignment horizontal="center"/>
      <protection locked="0" hidden="1"/>
    </xf>
    <xf numFmtId="0" fontId="31" fillId="0" borderId="0" xfId="352" applyFont="1" applyAlignment="1" applyProtection="1">
      <alignment horizontal="center"/>
      <protection locked="0" hidden="1"/>
    </xf>
    <xf numFmtId="0" fontId="26" fillId="0" borderId="0" xfId="378" applyFont="1" applyProtection="1">
      <protection locked="0" hidden="1"/>
    </xf>
    <xf numFmtId="0" fontId="52" fillId="0" borderId="0" xfId="378" applyFont="1" applyProtection="1">
      <protection locked="0" hidden="1"/>
    </xf>
    <xf numFmtId="0" fontId="52" fillId="0" borderId="0" xfId="352" applyFont="1" applyProtection="1">
      <protection locked="0" hidden="1"/>
    </xf>
    <xf numFmtId="0" fontId="33" fillId="0" borderId="0" xfId="352" applyFont="1" applyProtection="1">
      <protection locked="0" hidden="1"/>
    </xf>
    <xf numFmtId="0" fontId="30" fillId="0" borderId="0" xfId="378" applyFont="1" applyAlignment="1" applyProtection="1">
      <alignment horizontal="right"/>
      <protection locked="0" hidden="1"/>
    </xf>
    <xf numFmtId="0" fontId="30" fillId="0" borderId="0" xfId="352" applyFont="1" applyAlignment="1" applyProtection="1">
      <alignment horizontal="right"/>
      <protection locked="0" hidden="1"/>
    </xf>
    <xf numFmtId="12" fontId="26" fillId="0" borderId="0" xfId="0" applyNumberFormat="1" applyFont="1" applyAlignment="1" applyProtection="1">
      <alignment horizontal="left"/>
      <protection locked="0" hidden="1"/>
    </xf>
    <xf numFmtId="0" fontId="26" fillId="0" borderId="0" xfId="352" applyFont="1" applyAlignment="1" applyProtection="1">
      <alignment horizontal="left"/>
      <protection locked="0" hidden="1"/>
    </xf>
    <xf numFmtId="0" fontId="32" fillId="0" borderId="0" xfId="352" applyFont="1" applyAlignment="1" applyProtection="1">
      <alignment horizontal="center" vertical="center" wrapText="1"/>
      <protection locked="0" hidden="1"/>
    </xf>
    <xf numFmtId="0" fontId="31" fillId="0" borderId="0" xfId="352" applyFont="1" applyProtection="1">
      <protection locked="0" hidden="1"/>
    </xf>
    <xf numFmtId="0" fontId="38" fillId="0" borderId="0" xfId="352" applyFont="1" applyAlignment="1" applyProtection="1">
      <alignment horizontal="center" vertical="center" wrapText="1"/>
      <protection locked="0" hidden="1"/>
    </xf>
    <xf numFmtId="0" fontId="40" fillId="0" borderId="17" xfId="352" applyFont="1" applyBorder="1" applyAlignment="1" applyProtection="1">
      <alignment horizontal="center" vertical="center" wrapText="1"/>
      <protection locked="0" hidden="1"/>
    </xf>
    <xf numFmtId="0" fontId="25" fillId="0" borderId="17" xfId="352" applyFont="1" applyBorder="1" applyAlignment="1" applyProtection="1">
      <alignment horizontal="center" vertical="center" wrapText="1"/>
      <protection locked="0" hidden="1"/>
    </xf>
    <xf numFmtId="0" fontId="26" fillId="0" borderId="0" xfId="352" applyFont="1" applyAlignment="1" applyProtection="1">
      <alignment horizontal="center" vertical="center" wrapText="1"/>
      <protection locked="0" hidden="1"/>
    </xf>
    <xf numFmtId="49" fontId="34" fillId="0" borderId="15" xfId="378" applyNumberFormat="1" applyFont="1" applyBorder="1" applyAlignment="1" applyProtection="1">
      <alignment horizontal="center" vertical="center" wrapText="1"/>
      <protection locked="0" hidden="1"/>
    </xf>
    <xf numFmtId="0" fontId="41" fillId="0" borderId="15" xfId="378" applyFont="1" applyBorder="1" applyAlignment="1" applyProtection="1">
      <alignment horizontal="left" vertical="center" wrapText="1"/>
      <protection locked="0" hidden="1"/>
    </xf>
    <xf numFmtId="44" fontId="34" fillId="0" borderId="15" xfId="378" applyNumberFormat="1" applyFont="1" applyBorder="1" applyAlignment="1" applyProtection="1">
      <alignment horizontal="left" vertical="center" wrapText="1"/>
      <protection locked="0" hidden="1"/>
    </xf>
    <xf numFmtId="0" fontId="34" fillId="0" borderId="0" xfId="352" applyFont="1" applyAlignment="1" applyProtection="1">
      <alignment horizontal="center" vertical="center"/>
      <protection locked="0" hidden="1"/>
    </xf>
    <xf numFmtId="49" fontId="42" fillId="0" borderId="15" xfId="222" applyNumberFormat="1" applyFont="1" applyFill="1" applyBorder="1" applyAlignment="1" applyProtection="1">
      <alignment horizontal="center"/>
      <protection locked="0" hidden="1"/>
    </xf>
    <xf numFmtId="0" fontId="10" fillId="0" borderId="15" xfId="352" applyFont="1" applyBorder="1" applyAlignment="1" applyProtection="1">
      <alignment horizontal="left"/>
      <protection locked="0" hidden="1"/>
    </xf>
    <xf numFmtId="44" fontId="10" fillId="0" borderId="15" xfId="352" applyNumberFormat="1" applyFont="1" applyBorder="1" applyAlignment="1" applyProtection="1">
      <alignment vertical="top"/>
      <protection locked="0" hidden="1"/>
    </xf>
    <xf numFmtId="164" fontId="10" fillId="0" borderId="15" xfId="222" applyNumberFormat="1" applyFont="1" applyFill="1" applyBorder="1" applyAlignment="1" applyProtection="1">
      <alignment horizontal="right"/>
      <protection locked="0" hidden="1"/>
    </xf>
    <xf numFmtId="44" fontId="10" fillId="0" borderId="17" xfId="222" applyFont="1" applyFill="1" applyBorder="1" applyAlignment="1" applyProtection="1">
      <alignment horizontal="right"/>
      <protection locked="0" hidden="1"/>
    </xf>
    <xf numFmtId="0" fontId="10" fillId="0" borderId="0" xfId="352" applyFont="1" applyAlignment="1" applyProtection="1">
      <alignment horizontal="center" wrapText="1"/>
      <protection locked="0" hidden="1"/>
    </xf>
    <xf numFmtId="0" fontId="10" fillId="0" borderId="0" xfId="347" applyProtection="1">
      <protection locked="0" hidden="1"/>
    </xf>
    <xf numFmtId="49" fontId="42" fillId="0" borderId="17" xfId="222" applyNumberFormat="1" applyFont="1" applyFill="1" applyBorder="1" applyAlignment="1" applyProtection="1">
      <alignment horizontal="center" vertical="center"/>
      <protection locked="0" hidden="1"/>
    </xf>
    <xf numFmtId="49" fontId="10" fillId="0" borderId="17" xfId="346" applyNumberFormat="1" applyFont="1" applyBorder="1" applyAlignment="1" applyProtection="1">
      <alignment horizontal="center"/>
      <protection locked="0" hidden="1"/>
    </xf>
    <xf numFmtId="37" fontId="10" fillId="0" borderId="17" xfId="349" applyFont="1" applyBorder="1" applyAlignment="1" applyProtection="1">
      <alignment wrapText="1"/>
      <protection locked="0" hidden="1"/>
    </xf>
    <xf numFmtId="44" fontId="5" fillId="0" borderId="17" xfId="349" applyNumberFormat="1" applyBorder="1" applyProtection="1">
      <protection locked="0" hidden="1"/>
    </xf>
    <xf numFmtId="37" fontId="5" fillId="0" borderId="17" xfId="349" applyBorder="1" applyAlignment="1" applyProtection="1">
      <alignment wrapText="1"/>
      <protection locked="0" hidden="1"/>
    </xf>
    <xf numFmtId="169" fontId="49" fillId="0" borderId="17" xfId="1" applyNumberFormat="1" applyFont="1" applyBorder="1" applyAlignment="1" applyProtection="1">
      <alignment horizontal="center"/>
      <protection locked="0" hidden="1"/>
    </xf>
    <xf numFmtId="169" fontId="49" fillId="0" borderId="17" xfId="1" applyNumberFormat="1" applyFont="1" applyBorder="1" applyAlignment="1" applyProtection="1">
      <alignment horizontal="left" wrapText="1"/>
      <protection locked="0" hidden="1"/>
    </xf>
    <xf numFmtId="44" fontId="49" fillId="0" borderId="17" xfId="1" applyNumberFormat="1" applyFont="1" applyBorder="1" applyProtection="1">
      <protection locked="0" hidden="1"/>
    </xf>
    <xf numFmtId="49" fontId="5" fillId="0" borderId="17" xfId="222" applyNumberFormat="1" applyFont="1" applyFill="1" applyBorder="1" applyAlignment="1" applyProtection="1">
      <alignment horizontal="center" vertical="center"/>
      <protection locked="0" hidden="1"/>
    </xf>
    <xf numFmtId="49" fontId="5" fillId="0" borderId="17" xfId="346" applyNumberFormat="1" applyBorder="1" applyAlignment="1" applyProtection="1">
      <alignment horizontal="center"/>
      <protection locked="0" hidden="1"/>
    </xf>
    <xf numFmtId="44" fontId="5" fillId="0" borderId="17" xfId="1" applyNumberFormat="1" applyFont="1" applyBorder="1" applyProtection="1">
      <protection locked="0" hidden="1"/>
    </xf>
    <xf numFmtId="0" fontId="133" fillId="0" borderId="0" xfId="347" applyFont="1" applyProtection="1">
      <protection locked="0" hidden="1"/>
    </xf>
    <xf numFmtId="0" fontId="133" fillId="0" borderId="0" xfId="352" applyFont="1" applyAlignment="1" applyProtection="1">
      <alignment horizontal="center" wrapText="1"/>
      <protection locked="0" hidden="1"/>
    </xf>
    <xf numFmtId="0" fontId="10" fillId="0" borderId="17" xfId="346" applyNumberFormat="1" applyFont="1" applyBorder="1" applyAlignment="1" applyProtection="1">
      <alignment horizontal="center"/>
      <protection locked="0" hidden="1"/>
    </xf>
    <xf numFmtId="0" fontId="5" fillId="0" borderId="17" xfId="0" applyFont="1" applyBorder="1" applyAlignment="1" applyProtection="1">
      <alignment wrapText="1"/>
      <protection locked="0" hidden="1"/>
    </xf>
    <xf numFmtId="44" fontId="42" fillId="0" borderId="17" xfId="1" applyNumberFormat="1" applyFont="1" applyBorder="1" applyProtection="1">
      <protection locked="0" hidden="1"/>
    </xf>
    <xf numFmtId="1" fontId="5" fillId="0" borderId="17" xfId="0" applyNumberFormat="1" applyFont="1" applyBorder="1" applyAlignment="1" applyProtection="1">
      <alignment horizontal="center"/>
      <protection locked="0" hidden="1"/>
    </xf>
    <xf numFmtId="0" fontId="10" fillId="0" borderId="0" xfId="352" applyFont="1" applyAlignment="1" applyProtection="1">
      <alignment horizontal="center"/>
      <protection locked="0" hidden="1"/>
    </xf>
    <xf numFmtId="0" fontId="10" fillId="0" borderId="0" xfId="352" applyFont="1" applyProtection="1">
      <protection locked="0" hidden="1"/>
    </xf>
    <xf numFmtId="0" fontId="36" fillId="0" borderId="0" xfId="352" applyFont="1" applyAlignment="1" applyProtection="1">
      <alignment horizontal="center"/>
      <protection locked="0" hidden="1"/>
    </xf>
    <xf numFmtId="164" fontId="10" fillId="0" borderId="0" xfId="222" applyNumberFormat="1" applyFont="1" applyAlignment="1" applyProtection="1">
      <protection locked="0" hidden="1"/>
    </xf>
    <xf numFmtId="44" fontId="10" fillId="0" borderId="0" xfId="352" applyNumberFormat="1" applyFont="1" applyAlignment="1" applyProtection="1">
      <alignment horizontal="center"/>
      <protection locked="0" hidden="1"/>
    </xf>
    <xf numFmtId="0" fontId="34" fillId="0" borderId="0" xfId="352" applyFont="1" applyProtection="1">
      <protection locked="0" hidden="1"/>
    </xf>
    <xf numFmtId="0" fontId="5" fillId="0" borderId="0" xfId="352" applyFont="1" applyAlignment="1" applyProtection="1">
      <alignment horizontal="center" wrapText="1"/>
      <protection locked="0" hidden="1"/>
    </xf>
    <xf numFmtId="0" fontId="25" fillId="0" borderId="0" xfId="378" applyFont="1" applyAlignment="1" applyProtection="1">
      <alignment horizontal="right"/>
      <protection locked="0" hidden="1"/>
    </xf>
    <xf numFmtId="0" fontId="25" fillId="0" borderId="0" xfId="352" applyFont="1" applyAlignment="1" applyProtection="1">
      <alignment horizontal="right"/>
      <protection locked="0" hidden="1"/>
    </xf>
    <xf numFmtId="0" fontId="41" fillId="0" borderId="15" xfId="352" applyFont="1" applyBorder="1" applyAlignment="1" applyProtection="1">
      <alignment horizontal="left" vertical="center" wrapText="1"/>
      <protection locked="0" hidden="1"/>
    </xf>
    <xf numFmtId="44" fontId="34" fillId="0" borderId="15" xfId="352" applyNumberFormat="1" applyFont="1" applyBorder="1" applyAlignment="1" applyProtection="1">
      <alignment horizontal="left" vertical="center" wrapText="1"/>
      <protection locked="0" hidden="1"/>
    </xf>
    <xf numFmtId="164" fontId="26" fillId="0" borderId="0" xfId="222" applyNumberFormat="1" applyFont="1" applyProtection="1">
      <protection locked="0" hidden="1"/>
    </xf>
    <xf numFmtId="0" fontId="26" fillId="0" borderId="0" xfId="378" applyFont="1" applyAlignment="1" applyProtection="1">
      <alignment horizontal="left"/>
      <protection locked="0" hidden="1"/>
    </xf>
    <xf numFmtId="0" fontId="25" fillId="0" borderId="0" xfId="0" applyFont="1" applyAlignment="1" applyProtection="1">
      <alignment horizontal="right" vertical="top" wrapText="1"/>
      <protection locked="0" hidden="1"/>
    </xf>
    <xf numFmtId="0" fontId="33" fillId="0" borderId="0" xfId="0" applyFont="1" applyAlignment="1" applyProtection="1">
      <alignment vertical="top" wrapText="1"/>
      <protection locked="0" hidden="1"/>
    </xf>
    <xf numFmtId="0" fontId="0" fillId="0" borderId="0" xfId="0" applyAlignment="1" applyProtection="1">
      <alignment horizontal="center" wrapText="1"/>
      <protection locked="0" hidden="1"/>
    </xf>
    <xf numFmtId="0" fontId="40" fillId="0" borderId="17" xfId="378" applyFont="1" applyBorder="1" applyAlignment="1" applyProtection="1">
      <alignment horizontal="center" vertical="center" wrapText="1"/>
      <protection locked="0" hidden="1"/>
    </xf>
    <xf numFmtId="0" fontId="25" fillId="0" borderId="17" xfId="378" applyFont="1" applyBorder="1" applyAlignment="1" applyProtection="1">
      <alignment horizontal="center" vertical="center" wrapText="1"/>
      <protection locked="0" hidden="1"/>
    </xf>
    <xf numFmtId="0" fontId="34" fillId="0" borderId="17" xfId="378" applyFont="1" applyBorder="1" applyAlignment="1" applyProtection="1">
      <alignment horizontal="center" vertical="center" wrapText="1"/>
      <protection locked="0" hidden="1"/>
    </xf>
    <xf numFmtId="49" fontId="34" fillId="0" borderId="17" xfId="378" applyNumberFormat="1" applyFont="1" applyBorder="1" applyAlignment="1" applyProtection="1">
      <alignment horizontal="center" vertical="center"/>
      <protection locked="0" hidden="1"/>
    </xf>
    <xf numFmtId="49" fontId="34" fillId="0" borderId="17" xfId="378" applyNumberFormat="1" applyFont="1" applyBorder="1" applyAlignment="1" applyProtection="1">
      <alignment horizontal="left" vertical="center"/>
      <protection locked="0" hidden="1"/>
    </xf>
    <xf numFmtId="0" fontId="34" fillId="0" borderId="17" xfId="378" applyFont="1" applyBorder="1" applyAlignment="1" applyProtection="1">
      <alignment horizontal="left" vertical="center"/>
      <protection locked="0" hidden="1"/>
    </xf>
    <xf numFmtId="44" fontId="34" fillId="0" borderId="17" xfId="378" applyNumberFormat="1" applyFont="1" applyBorder="1" applyAlignment="1" applyProtection="1">
      <alignment horizontal="left" vertical="center"/>
      <protection locked="0" hidden="1"/>
    </xf>
    <xf numFmtId="0" fontId="42" fillId="0" borderId="17" xfId="222" applyNumberFormat="1" applyFont="1" applyFill="1" applyBorder="1" applyAlignment="1" applyProtection="1">
      <alignment horizontal="left"/>
      <protection locked="0" hidden="1"/>
    </xf>
    <xf numFmtId="0" fontId="10" fillId="0" borderId="17" xfId="378" applyFont="1" applyBorder="1" applyAlignment="1" applyProtection="1">
      <alignment horizontal="left"/>
      <protection locked="0" hidden="1"/>
    </xf>
    <xf numFmtId="44" fontId="10" fillId="0" borderId="17" xfId="378" applyNumberFormat="1" applyFont="1" applyBorder="1" applyAlignment="1" applyProtection="1">
      <alignment horizontal="left"/>
      <protection locked="0" hidden="1"/>
    </xf>
    <xf numFmtId="44" fontId="5" fillId="0" borderId="17" xfId="222" applyFont="1" applyFill="1" applyBorder="1" applyAlignment="1" applyProtection="1">
      <alignment horizontal="right" vertical="center"/>
      <protection locked="0" hidden="1"/>
    </xf>
    <xf numFmtId="44" fontId="5" fillId="0" borderId="17" xfId="222" applyFont="1" applyFill="1" applyBorder="1" applyAlignment="1" applyProtection="1">
      <alignment horizontal="center" vertical="center"/>
      <protection locked="0" hidden="1"/>
    </xf>
    <xf numFmtId="0" fontId="34" fillId="0" borderId="0" xfId="378" applyFont="1" applyAlignment="1" applyProtection="1">
      <alignment horizontal="center" vertical="center" wrapText="1"/>
      <protection locked="0" hidden="1"/>
    </xf>
    <xf numFmtId="0" fontId="5" fillId="0" borderId="17" xfId="378" applyFont="1" applyBorder="1" applyAlignment="1" applyProtection="1">
      <alignment horizontal="left"/>
      <protection locked="0" hidden="1"/>
    </xf>
    <xf numFmtId="0" fontId="5" fillId="0" borderId="17" xfId="378" applyFont="1" applyBorder="1" applyAlignment="1" applyProtection="1">
      <alignment wrapText="1"/>
      <protection locked="0" hidden="1"/>
    </xf>
    <xf numFmtId="44" fontId="5" fillId="0" borderId="17" xfId="350" applyNumberFormat="1" applyBorder="1" applyProtection="1">
      <protection locked="0" hidden="1"/>
    </xf>
    <xf numFmtId="49" fontId="5" fillId="0" borderId="17" xfId="350" applyNumberFormat="1" applyBorder="1" applyAlignment="1" applyProtection="1">
      <alignment horizontal="left"/>
      <protection locked="0" hidden="1"/>
    </xf>
    <xf numFmtId="0" fontId="53" fillId="23" borderId="0" xfId="0" applyFont="1" applyFill="1" applyProtection="1">
      <protection locked="0" hidden="1"/>
    </xf>
    <xf numFmtId="0" fontId="0" fillId="23" borderId="0" xfId="0" applyFill="1" applyProtection="1">
      <protection locked="0" hidden="1"/>
    </xf>
    <xf numFmtId="164" fontId="10" fillId="0" borderId="0" xfId="222" applyNumberFormat="1" applyAlignment="1" applyProtection="1">
      <protection locked="0" hidden="1"/>
    </xf>
    <xf numFmtId="0" fontId="26" fillId="0" borderId="0" xfId="0" applyFont="1" applyAlignment="1" applyProtection="1">
      <alignment horizontal="center" vertical="center"/>
      <protection locked="0" hidden="1"/>
    </xf>
    <xf numFmtId="49" fontId="47" fillId="0" borderId="17" xfId="0" applyNumberFormat="1" applyFont="1" applyBorder="1" applyAlignment="1" applyProtection="1">
      <alignment horizontal="center"/>
      <protection locked="0" hidden="1"/>
    </xf>
    <xf numFmtId="0" fontId="47" fillId="0" borderId="17" xfId="0" applyFont="1" applyBorder="1" applyAlignment="1" applyProtection="1">
      <alignment wrapText="1"/>
      <protection locked="0" hidden="1"/>
    </xf>
    <xf numFmtId="44" fontId="47" fillId="0" borderId="17" xfId="0" applyNumberFormat="1" applyFont="1" applyBorder="1" applyProtection="1">
      <protection locked="0" hidden="1"/>
    </xf>
    <xf numFmtId="0" fontId="42" fillId="0" borderId="17" xfId="222" applyNumberFormat="1" applyFont="1" applyFill="1" applyBorder="1" applyAlignment="1" applyProtection="1">
      <alignment horizontal="center"/>
      <protection locked="0" hidden="1"/>
    </xf>
    <xf numFmtId="0" fontId="10" fillId="0" borderId="17" xfId="378" applyFont="1" applyBorder="1" applyAlignment="1" applyProtection="1">
      <alignment horizontal="left" wrapText="1"/>
      <protection locked="0" hidden="1"/>
    </xf>
    <xf numFmtId="49" fontId="42" fillId="0" borderId="17" xfId="222" applyNumberFormat="1" applyFont="1" applyFill="1" applyBorder="1" applyAlignment="1" applyProtection="1">
      <alignment horizontal="center"/>
      <protection locked="0" hidden="1"/>
    </xf>
    <xf numFmtId="0" fontId="34" fillId="0" borderId="17" xfId="378" applyFont="1" applyBorder="1" applyAlignment="1" applyProtection="1">
      <alignment horizontal="left" vertical="center" wrapText="1"/>
      <protection locked="0" hidden="1"/>
    </xf>
    <xf numFmtId="0" fontId="42" fillId="0" borderId="17" xfId="339" applyFont="1" applyBorder="1" applyAlignment="1" applyProtection="1">
      <alignment horizontal="left" vertical="top" wrapText="1"/>
      <protection locked="0" hidden="1"/>
    </xf>
    <xf numFmtId="44" fontId="42" fillId="0" borderId="17" xfId="339" applyNumberFormat="1" applyFont="1" applyBorder="1" applyAlignment="1" applyProtection="1">
      <alignment wrapText="1"/>
      <protection locked="0" hidden="1"/>
    </xf>
    <xf numFmtId="0" fontId="59" fillId="0" borderId="0" xfId="0" applyFont="1" applyAlignment="1" applyProtection="1">
      <alignment horizontal="left"/>
      <protection locked="0" hidden="1"/>
    </xf>
    <xf numFmtId="0" fontId="59" fillId="0" borderId="0" xfId="0" applyFont="1" applyAlignment="1" applyProtection="1">
      <alignment horizontal="center"/>
      <protection locked="0" hidden="1"/>
    </xf>
    <xf numFmtId="164" fontId="26" fillId="0" borderId="0" xfId="222" applyNumberFormat="1" applyFont="1" applyAlignment="1" applyProtection="1">
      <alignment horizontal="center"/>
      <protection locked="0" hidden="1"/>
    </xf>
    <xf numFmtId="3" fontId="59" fillId="0" borderId="0" xfId="0" applyNumberFormat="1" applyFont="1" applyAlignment="1" applyProtection="1">
      <alignment horizontal="left"/>
      <protection locked="0" hidden="1"/>
    </xf>
    <xf numFmtId="3" fontId="59" fillId="0" borderId="0" xfId="0" applyNumberFormat="1" applyFont="1" applyAlignment="1" applyProtection="1">
      <alignment horizontal="center"/>
      <protection locked="0" hidden="1"/>
    </xf>
    <xf numFmtId="0" fontId="25" fillId="0" borderId="0" xfId="0" applyFont="1" applyAlignment="1" applyProtection="1">
      <alignment horizontal="center"/>
      <protection locked="0" hidden="1"/>
    </xf>
    <xf numFmtId="0" fontId="60" fillId="0" borderId="0" xfId="0" applyFont="1" applyAlignment="1" applyProtection="1">
      <alignment horizontal="right"/>
      <protection locked="0" hidden="1"/>
    </xf>
    <xf numFmtId="0" fontId="61" fillId="0" borderId="0" xfId="0" applyFont="1" applyAlignment="1" applyProtection="1">
      <alignment horizontal="center" vertical="center" wrapText="1"/>
      <protection locked="0" hidden="1"/>
    </xf>
    <xf numFmtId="0" fontId="63" fillId="0" borderId="17" xfId="0" applyFont="1" applyBorder="1" applyAlignment="1" applyProtection="1">
      <alignment horizontal="center" vertical="center" wrapText="1"/>
      <protection locked="0" hidden="1"/>
    </xf>
    <xf numFmtId="0" fontId="64" fillId="0" borderId="0" xfId="0" applyFont="1" applyAlignment="1" applyProtection="1">
      <alignment horizontal="center"/>
      <protection locked="0" hidden="1"/>
    </xf>
    <xf numFmtId="0" fontId="64" fillId="0" borderId="17" xfId="0" applyFont="1" applyBorder="1" applyAlignment="1" applyProtection="1">
      <alignment horizontal="center" vertical="center"/>
      <protection locked="0" hidden="1"/>
    </xf>
    <xf numFmtId="49" fontId="64" fillId="0" borderId="29" xfId="344" applyNumberFormat="1" applyFont="1" applyBorder="1" applyAlignment="1" applyProtection="1">
      <alignment horizontal="center" vertical="center"/>
      <protection locked="0" hidden="1"/>
    </xf>
    <xf numFmtId="0" fontId="73" fillId="0" borderId="30" xfId="0" applyFont="1" applyBorder="1" applyAlignment="1" applyProtection="1">
      <alignment horizontal="left" vertical="top" wrapText="1"/>
      <protection locked="0" hidden="1"/>
    </xf>
    <xf numFmtId="44" fontId="64" fillId="0" borderId="17" xfId="0" applyNumberFormat="1" applyFont="1" applyBorder="1" applyAlignment="1" applyProtection="1">
      <alignment horizontal="center" vertical="center" wrapText="1"/>
      <protection locked="0" hidden="1"/>
    </xf>
    <xf numFmtId="4" fontId="63" fillId="0" borderId="0" xfId="0" applyNumberFormat="1" applyFont="1" applyAlignment="1" applyProtection="1">
      <alignment horizontal="center"/>
      <protection locked="0" hidden="1"/>
    </xf>
    <xf numFmtId="0" fontId="50" fillId="0" borderId="0" xfId="378" applyFont="1" applyProtection="1">
      <protection locked="0" hidden="1"/>
    </xf>
    <xf numFmtId="0" fontId="69" fillId="0" borderId="0" xfId="378" applyFont="1" applyProtection="1">
      <protection locked="0" hidden="1"/>
    </xf>
    <xf numFmtId="0" fontId="60" fillId="0" borderId="0" xfId="0" applyFont="1" applyAlignment="1" applyProtection="1">
      <alignment horizontal="center"/>
      <protection locked="0" hidden="1"/>
    </xf>
    <xf numFmtId="49" fontId="70" fillId="0" borderId="17" xfId="222" applyNumberFormat="1" applyFont="1" applyFill="1" applyBorder="1" applyAlignment="1" applyProtection="1">
      <alignment horizontal="center" vertical="center"/>
      <protection locked="0" hidden="1"/>
    </xf>
    <xf numFmtId="49" fontId="72" fillId="0" borderId="17" xfId="344" applyNumberFormat="1" applyFont="1" applyBorder="1" applyAlignment="1" applyProtection="1">
      <alignment horizontal="center"/>
      <protection locked="0" hidden="1"/>
    </xf>
    <xf numFmtId="37" fontId="72" fillId="0" borderId="17" xfId="344" applyFont="1" applyBorder="1" applyAlignment="1" applyProtection="1">
      <alignment wrapText="1"/>
      <protection locked="0" hidden="1"/>
    </xf>
    <xf numFmtId="44" fontId="72" fillId="0" borderId="17" xfId="344" applyNumberFormat="1" applyFont="1" applyBorder="1" applyProtection="1">
      <protection locked="0" hidden="1"/>
    </xf>
    <xf numFmtId="0" fontId="60" fillId="0" borderId="17" xfId="344" applyNumberFormat="1" applyFont="1" applyBorder="1" applyAlignment="1" applyProtection="1">
      <alignment horizontal="center"/>
      <protection locked="0" hidden="1"/>
    </xf>
    <xf numFmtId="49" fontId="72" fillId="0" borderId="17" xfId="344" applyNumberFormat="1" applyFont="1" applyBorder="1" applyAlignment="1" applyProtection="1">
      <alignment wrapText="1"/>
      <protection locked="0" hidden="1"/>
    </xf>
    <xf numFmtId="0" fontId="66" fillId="0" borderId="0" xfId="0" applyFont="1" applyAlignment="1" applyProtection="1">
      <alignment horizontal="right"/>
      <protection locked="0" hidden="1"/>
    </xf>
    <xf numFmtId="0" fontId="70" fillId="0" borderId="17" xfId="0" applyFont="1" applyBorder="1" applyAlignment="1" applyProtection="1">
      <alignment horizontal="center" vertical="top" wrapText="1"/>
      <protection locked="0" hidden="1"/>
    </xf>
    <xf numFmtId="169" fontId="71" fillId="0" borderId="17" xfId="1" applyNumberFormat="1" applyFont="1" applyBorder="1" applyAlignment="1" applyProtection="1">
      <alignment horizontal="left"/>
      <protection locked="0" hidden="1"/>
    </xf>
    <xf numFmtId="44" fontId="70" fillId="0" borderId="17" xfId="0" applyNumberFormat="1" applyFont="1" applyBorder="1" applyAlignment="1" applyProtection="1">
      <alignment wrapText="1"/>
      <protection locked="0" hidden="1"/>
    </xf>
    <xf numFmtId="0" fontId="64" fillId="0" borderId="17" xfId="0" applyFont="1" applyBorder="1" applyAlignment="1" applyProtection="1">
      <alignment horizontal="left" vertical="center" wrapText="1"/>
      <protection locked="0" hidden="1"/>
    </xf>
    <xf numFmtId="44" fontId="64" fillId="0" borderId="17" xfId="222" applyFont="1" applyFill="1" applyBorder="1" applyAlignment="1" applyProtection="1">
      <alignment horizontal="center" vertical="center"/>
      <protection locked="0" hidden="1"/>
    </xf>
    <xf numFmtId="0" fontId="65" fillId="0" borderId="0" xfId="0" applyFont="1" applyAlignment="1" applyProtection="1">
      <alignment horizontal="center"/>
      <protection locked="0" hidden="1"/>
    </xf>
    <xf numFmtId="169" fontId="70" fillId="0" borderId="17" xfId="1" applyNumberFormat="1" applyFont="1" applyBorder="1" applyAlignment="1" applyProtection="1">
      <alignment horizontal="left"/>
      <protection locked="0" hidden="1"/>
    </xf>
    <xf numFmtId="44" fontId="70" fillId="0" borderId="17" xfId="352" applyNumberFormat="1" applyFont="1" applyBorder="1" applyAlignment="1" applyProtection="1">
      <alignment horizontal="right"/>
      <protection locked="0" hidden="1"/>
    </xf>
    <xf numFmtId="44" fontId="64" fillId="0" borderId="0" xfId="0" applyNumberFormat="1" applyFont="1" applyProtection="1">
      <protection locked="0" hidden="1"/>
    </xf>
    <xf numFmtId="0" fontId="25" fillId="0" borderId="0" xfId="0" applyFont="1" applyAlignment="1" applyProtection="1">
      <alignment horizontal="left" wrapText="1"/>
      <protection locked="0" hidden="1"/>
    </xf>
    <xf numFmtId="0" fontId="25" fillId="0" borderId="25" xfId="0" applyFont="1" applyBorder="1" applyAlignment="1" applyProtection="1">
      <alignment horizontal="left" wrapText="1"/>
      <protection locked="0" hidden="1"/>
    </xf>
    <xf numFmtId="0" fontId="33" fillId="0" borderId="0" xfId="0" applyFont="1" applyAlignment="1" applyProtection="1">
      <alignment horizontal="left" vertical="top" wrapText="1"/>
      <protection locked="0" hidden="1"/>
    </xf>
    <xf numFmtId="0" fontId="28" fillId="0" borderId="0" xfId="0" applyFont="1" applyProtection="1">
      <protection locked="0" hidden="1"/>
    </xf>
    <xf numFmtId="0" fontId="26" fillId="0" borderId="22" xfId="0" applyFont="1" applyBorder="1" applyProtection="1">
      <protection locked="0" hidden="1"/>
    </xf>
    <xf numFmtId="8" fontId="26" fillId="0" borderId="22" xfId="0" applyNumberFormat="1" applyFont="1" applyBorder="1" applyAlignment="1" applyProtection="1">
      <alignment horizontal="left"/>
      <protection locked="0" hidden="1"/>
    </xf>
    <xf numFmtId="0" fontId="26" fillId="0" borderId="28" xfId="0" applyFont="1" applyBorder="1" applyProtection="1">
      <protection locked="0" hidden="1"/>
    </xf>
    <xf numFmtId="167" fontId="26" fillId="0" borderId="0" xfId="0" applyNumberFormat="1" applyFont="1" applyProtection="1">
      <protection locked="0" hidden="1"/>
    </xf>
    <xf numFmtId="0" fontId="35" fillId="0" borderId="0" xfId="0" applyFont="1" applyAlignment="1" applyProtection="1">
      <alignment horizontal="left"/>
      <protection locked="0" hidden="1"/>
    </xf>
    <xf numFmtId="0" fontId="25" fillId="0" borderId="19" xfId="0" applyFont="1" applyBorder="1" applyAlignment="1" applyProtection="1">
      <alignment horizontal="left" vertical="center" wrapText="1"/>
      <protection locked="0" hidden="1"/>
    </xf>
    <xf numFmtId="49" fontId="34" fillId="0" borderId="19" xfId="0" applyNumberFormat="1" applyFont="1" applyBorder="1" applyAlignment="1" applyProtection="1">
      <alignment horizontal="center" vertical="center"/>
      <protection locked="0" hidden="1"/>
    </xf>
    <xf numFmtId="0" fontId="36" fillId="0" borderId="17" xfId="0" applyFont="1" applyBorder="1" applyAlignment="1" applyProtection="1">
      <alignment vertical="center" wrapText="1"/>
      <protection locked="0" hidden="1"/>
    </xf>
    <xf numFmtId="44" fontId="41" fillId="0" borderId="17" xfId="222" applyFont="1" applyFill="1" applyBorder="1" applyAlignment="1" applyProtection="1">
      <alignment vertical="center"/>
      <protection locked="0" hidden="1"/>
    </xf>
    <xf numFmtId="44" fontId="34" fillId="0" borderId="17" xfId="222" applyFont="1" applyFill="1" applyBorder="1" applyAlignment="1" applyProtection="1">
      <alignment horizontal="left" vertical="center"/>
      <protection locked="0" hidden="1"/>
    </xf>
    <xf numFmtId="0" fontId="34" fillId="0" borderId="0" xfId="0" applyFont="1" applyAlignment="1" applyProtection="1">
      <alignment horizontal="center" vertical="center"/>
      <protection locked="0" hidden="1"/>
    </xf>
    <xf numFmtId="0" fontId="0" fillId="0" borderId="31" xfId="0" applyBorder="1" applyAlignment="1" applyProtection="1">
      <alignment horizontal="center"/>
      <protection locked="0" hidden="1"/>
    </xf>
    <xf numFmtId="0" fontId="0" fillId="0" borderId="15" xfId="0" applyBorder="1" applyAlignment="1" applyProtection="1">
      <alignment wrapText="1"/>
      <protection locked="0" hidden="1"/>
    </xf>
    <xf numFmtId="44" fontId="10" fillId="0" borderId="15" xfId="0" applyNumberFormat="1" applyFont="1" applyBorder="1" applyProtection="1">
      <protection locked="0" hidden="1"/>
    </xf>
    <xf numFmtId="0" fontId="26" fillId="0" borderId="20" xfId="0" applyFont="1" applyBorder="1" applyAlignment="1" applyProtection="1">
      <alignment horizontal="center" vertical="center" wrapText="1"/>
      <protection locked="0" hidden="1"/>
    </xf>
    <xf numFmtId="42" fontId="10" fillId="0" borderId="18" xfId="222" applyNumberFormat="1" applyFont="1" applyFill="1" applyBorder="1" applyAlignment="1" applyProtection="1">
      <alignment horizontal="right" vertical="top"/>
      <protection locked="0" hidden="1"/>
    </xf>
    <xf numFmtId="0" fontId="10" fillId="0" borderId="16" xfId="222" applyNumberFormat="1" applyFont="1" applyFill="1" applyBorder="1" applyAlignment="1" applyProtection="1">
      <alignment horizontal="center"/>
      <protection locked="0" hidden="1"/>
    </xf>
    <xf numFmtId="0" fontId="5" fillId="0" borderId="32" xfId="350" applyNumberFormat="1" applyBorder="1" applyAlignment="1" applyProtection="1">
      <alignment horizontal="center"/>
      <protection locked="0" hidden="1"/>
    </xf>
    <xf numFmtId="37" fontId="5" fillId="0" borderId="17" xfId="350" applyBorder="1" applyAlignment="1" applyProtection="1">
      <alignment wrapText="1"/>
      <protection locked="0" hidden="1"/>
    </xf>
    <xf numFmtId="44" fontId="5" fillId="0" borderId="17" xfId="343" applyNumberFormat="1" applyFont="1" applyBorder="1" applyProtection="1">
      <protection locked="0" hidden="1"/>
    </xf>
    <xf numFmtId="0" fontId="10" fillId="0" borderId="17" xfId="222" applyNumberFormat="1" applyFont="1" applyFill="1" applyBorder="1" applyAlignment="1" applyProtection="1">
      <alignment horizontal="center"/>
      <protection locked="0" hidden="1"/>
    </xf>
    <xf numFmtId="44" fontId="5" fillId="0" borderId="17" xfId="0" applyNumberFormat="1" applyFont="1" applyBorder="1" applyProtection="1">
      <protection locked="0" hidden="1"/>
    </xf>
    <xf numFmtId="44" fontId="5" fillId="0" borderId="16" xfId="222" applyFont="1" applyFill="1" applyBorder="1" applyAlignment="1" applyProtection="1">
      <protection locked="0" hidden="1"/>
    </xf>
    <xf numFmtId="44" fontId="5" fillId="0" borderId="17" xfId="222" applyFont="1" applyFill="1" applyBorder="1" applyAlignment="1" applyProtection="1">
      <protection locked="0" hidden="1"/>
    </xf>
    <xf numFmtId="0" fontId="43" fillId="0" borderId="0" xfId="0" applyFont="1" applyAlignment="1" applyProtection="1">
      <alignment horizontal="left"/>
      <protection locked="0" hidden="1"/>
    </xf>
    <xf numFmtId="44" fontId="36" fillId="0" borderId="0" xfId="0" applyNumberFormat="1" applyFont="1" applyAlignment="1" applyProtection="1">
      <alignment horizontal="center"/>
      <protection locked="0" hidden="1"/>
    </xf>
    <xf numFmtId="0" fontId="45" fillId="0" borderId="0" xfId="0" applyFont="1" applyAlignment="1" applyProtection="1">
      <alignment horizontal="left"/>
      <protection locked="0" hidden="1"/>
    </xf>
    <xf numFmtId="0" fontId="0" fillId="0" borderId="0" xfId="0" applyAlignment="1" applyProtection="1">
      <alignment horizontal="left"/>
      <protection locked="0" hidden="1"/>
    </xf>
    <xf numFmtId="0" fontId="25" fillId="0" borderId="0" xfId="0" applyFont="1" applyAlignment="1" applyProtection="1">
      <alignment horizontal="left"/>
      <protection locked="0" hidden="1"/>
    </xf>
    <xf numFmtId="0" fontId="52" fillId="0" borderId="0" xfId="0" applyFont="1" applyProtection="1">
      <protection locked="0" hidden="1"/>
    </xf>
    <xf numFmtId="0" fontId="33" fillId="0" borderId="0" xfId="0" applyFont="1" applyProtection="1">
      <protection locked="0" hidden="1"/>
    </xf>
    <xf numFmtId="0" fontId="41" fillId="0" borderId="15" xfId="0" applyFont="1" applyBorder="1" applyAlignment="1" applyProtection="1">
      <alignment vertical="top" wrapText="1"/>
      <protection locked="0" hidden="1"/>
    </xf>
    <xf numFmtId="44" fontId="34" fillId="0" borderId="15" xfId="0" applyNumberFormat="1" applyFont="1" applyBorder="1" applyAlignment="1" applyProtection="1">
      <alignment horizontal="left" vertical="center" wrapText="1"/>
      <protection locked="0" hidden="1"/>
    </xf>
    <xf numFmtId="0" fontId="10" fillId="0" borderId="15" xfId="0" applyFont="1" applyBorder="1" applyAlignment="1" applyProtection="1">
      <alignment horizontal="left"/>
      <protection locked="0" hidden="1"/>
    </xf>
    <xf numFmtId="44" fontId="10" fillId="0" borderId="15" xfId="0" applyNumberFormat="1" applyFont="1" applyBorder="1" applyAlignment="1" applyProtection="1">
      <alignment vertical="top"/>
      <protection locked="0" hidden="1"/>
    </xf>
    <xf numFmtId="0" fontId="10" fillId="0" borderId="0" xfId="0" applyFont="1" applyAlignment="1" applyProtection="1">
      <alignment horizontal="center" wrapText="1"/>
      <protection locked="0" hidden="1"/>
    </xf>
    <xf numFmtId="0" fontId="10" fillId="0" borderId="20" xfId="0" applyFont="1" applyBorder="1" applyAlignment="1" applyProtection="1">
      <alignment horizontal="center" wrapText="1"/>
      <protection locked="0" hidden="1"/>
    </xf>
    <xf numFmtId="0" fontId="10" fillId="0" borderId="18" xfId="0" applyFont="1" applyBorder="1" applyAlignment="1" applyProtection="1">
      <alignment vertical="top"/>
      <protection locked="0" hidden="1"/>
    </xf>
    <xf numFmtId="44" fontId="10" fillId="0" borderId="18" xfId="0" applyNumberFormat="1" applyFont="1" applyBorder="1" applyAlignment="1" applyProtection="1">
      <alignment vertical="top"/>
      <protection locked="0" hidden="1"/>
    </xf>
    <xf numFmtId="0" fontId="10" fillId="0" borderId="0" xfId="0" applyFont="1" applyAlignment="1" applyProtection="1">
      <alignment horizontal="center"/>
      <protection locked="0" hidden="1"/>
    </xf>
    <xf numFmtId="0" fontId="10" fillId="24" borderId="15" xfId="0" applyFont="1" applyFill="1" applyBorder="1" applyAlignment="1" applyProtection="1">
      <alignment horizontal="center" wrapText="1"/>
      <protection locked="0" hidden="1"/>
    </xf>
    <xf numFmtId="49" fontId="42" fillId="0" borderId="17" xfId="0" applyNumberFormat="1" applyFont="1" applyBorder="1" applyAlignment="1" applyProtection="1">
      <alignment horizontal="center" vertical="center"/>
      <protection locked="0" hidden="1"/>
    </xf>
    <xf numFmtId="0" fontId="10" fillId="24" borderId="33" xfId="0" applyFont="1" applyFill="1" applyBorder="1" applyAlignment="1" applyProtection="1">
      <alignment horizontal="center"/>
      <protection locked="0" hidden="1"/>
    </xf>
    <xf numFmtId="49" fontId="5" fillId="0" borderId="17" xfId="0" applyNumberFormat="1" applyFont="1" applyBorder="1" applyAlignment="1" applyProtection="1">
      <alignment horizontal="center" vertical="center" wrapText="1"/>
      <protection locked="0" hidden="1"/>
    </xf>
    <xf numFmtId="49" fontId="5" fillId="0" borderId="17" xfId="0" applyNumberFormat="1" applyFont="1" applyBorder="1" applyAlignment="1" applyProtection="1">
      <alignment horizontal="center" vertical="center"/>
      <protection locked="0" hidden="1"/>
    </xf>
    <xf numFmtId="0" fontId="10" fillId="24" borderId="33" xfId="0" applyFont="1" applyFill="1" applyBorder="1" applyAlignment="1" applyProtection="1">
      <alignment horizontal="center" wrapText="1"/>
      <protection locked="0" hidden="1"/>
    </xf>
    <xf numFmtId="1" fontId="5" fillId="0" borderId="17" xfId="0" applyNumberFormat="1" applyFont="1" applyBorder="1" applyAlignment="1" applyProtection="1">
      <alignment horizontal="center" vertical="center"/>
      <protection locked="0" hidden="1"/>
    </xf>
    <xf numFmtId="0" fontId="42" fillId="0" borderId="17" xfId="0" applyFont="1" applyBorder="1" applyAlignment="1" applyProtection="1">
      <alignment horizontal="center" vertical="center"/>
      <protection locked="0" hidden="1"/>
    </xf>
    <xf numFmtId="0" fontId="26" fillId="0" borderId="17" xfId="0" applyFont="1" applyBorder="1" applyAlignment="1" applyProtection="1">
      <alignment horizontal="center" vertical="center" wrapText="1"/>
      <protection locked="0" hidden="1"/>
    </xf>
    <xf numFmtId="0" fontId="10" fillId="0" borderId="17" xfId="0" applyFont="1" applyBorder="1" applyAlignment="1" applyProtection="1">
      <alignment wrapText="1"/>
      <protection locked="0" hidden="1"/>
    </xf>
    <xf numFmtId="8" fontId="10" fillId="0" borderId="17" xfId="0" applyNumberFormat="1" applyFont="1" applyBorder="1" applyProtection="1">
      <protection locked="0" hidden="1"/>
    </xf>
    <xf numFmtId="0" fontId="10" fillId="24" borderId="16" xfId="0" applyFont="1" applyFill="1" applyBorder="1" applyAlignment="1" applyProtection="1">
      <alignment horizontal="center"/>
      <protection locked="0" hidden="1"/>
    </xf>
    <xf numFmtId="169" fontId="42" fillId="0" borderId="17" xfId="0" applyNumberFormat="1" applyFont="1" applyBorder="1" applyAlignment="1" applyProtection="1">
      <alignment horizontal="center" vertical="center"/>
      <protection locked="0" hidden="1"/>
    </xf>
    <xf numFmtId="0" fontId="10" fillId="0" borderId="0" xfId="0" applyFont="1" applyProtection="1">
      <protection locked="0" hidden="1"/>
    </xf>
    <xf numFmtId="44" fontId="10" fillId="0" borderId="0" xfId="0" applyNumberFormat="1" applyFont="1" applyAlignment="1" applyProtection="1">
      <alignment horizontal="center"/>
      <protection locked="0" hidden="1"/>
    </xf>
    <xf numFmtId="0" fontId="34" fillId="0" borderId="0" xfId="0" applyFont="1" applyProtection="1">
      <protection locked="0" hidden="1"/>
    </xf>
    <xf numFmtId="0" fontId="5" fillId="0" borderId="0" xfId="303" applyProtection="1">
      <protection locked="0" hidden="1"/>
    </xf>
    <xf numFmtId="0" fontId="25" fillId="0" borderId="0" xfId="303" applyFont="1" applyAlignment="1" applyProtection="1">
      <alignment wrapText="1"/>
      <protection locked="0" hidden="1"/>
    </xf>
    <xf numFmtId="0" fontId="25" fillId="0" borderId="0" xfId="303" applyFont="1" applyProtection="1">
      <protection locked="0" hidden="1"/>
    </xf>
    <xf numFmtId="44" fontId="25" fillId="0" borderId="0" xfId="303" applyNumberFormat="1" applyFont="1" applyProtection="1">
      <protection locked="0" hidden="1"/>
    </xf>
    <xf numFmtId="0" fontId="5" fillId="0" borderId="25" xfId="303" applyBorder="1" applyProtection="1">
      <protection locked="0" hidden="1"/>
    </xf>
    <xf numFmtId="0" fontId="25" fillId="0" borderId="25" xfId="303" applyFont="1" applyBorder="1" applyAlignment="1" applyProtection="1">
      <alignment wrapText="1"/>
      <protection locked="0" hidden="1"/>
    </xf>
    <xf numFmtId="0" fontId="25" fillId="0" borderId="25" xfId="303" applyFont="1" applyBorder="1" applyProtection="1">
      <protection locked="0" hidden="1"/>
    </xf>
    <xf numFmtId="44" fontId="25" fillId="0" borderId="25" xfId="303" applyNumberFormat="1" applyFont="1" applyBorder="1" applyProtection="1">
      <protection locked="0" hidden="1"/>
    </xf>
    <xf numFmtId="0" fontId="26" fillId="0" borderId="25" xfId="303" applyFont="1" applyBorder="1" applyProtection="1">
      <protection locked="0" hidden="1"/>
    </xf>
    <xf numFmtId="0" fontId="26" fillId="0" borderId="0" xfId="303" applyFont="1" applyProtection="1">
      <protection locked="0" hidden="1"/>
    </xf>
    <xf numFmtId="0" fontId="5" fillId="0" borderId="0" xfId="303" applyAlignment="1" applyProtection="1">
      <alignment vertical="center"/>
      <protection locked="0" hidden="1"/>
    </xf>
    <xf numFmtId="0" fontId="5" fillId="0" borderId="26" xfId="303" applyBorder="1" applyProtection="1">
      <protection locked="0" hidden="1"/>
    </xf>
    <xf numFmtId="0" fontId="30" fillId="0" borderId="0" xfId="303" applyFont="1" applyAlignment="1" applyProtection="1">
      <alignment horizontal="center"/>
      <protection locked="0" hidden="1"/>
    </xf>
    <xf numFmtId="0" fontId="31" fillId="0" borderId="0" xfId="303" applyFont="1" applyAlignment="1" applyProtection="1">
      <alignment horizontal="center"/>
      <protection locked="0" hidden="1"/>
    </xf>
    <xf numFmtId="0" fontId="25" fillId="0" borderId="0" xfId="303" applyFont="1" applyAlignment="1" applyProtection="1">
      <alignment horizontal="right"/>
      <protection locked="0" hidden="1"/>
    </xf>
    <xf numFmtId="0" fontId="5" fillId="0" borderId="0" xfId="303" applyProtection="1">
      <protection hidden="1"/>
    </xf>
    <xf numFmtId="0" fontId="52" fillId="0" borderId="0" xfId="303" applyFont="1" applyProtection="1">
      <protection locked="0" hidden="1"/>
    </xf>
    <xf numFmtId="8" fontId="26" fillId="0" borderId="0" xfId="303" applyNumberFormat="1" applyFont="1" applyAlignment="1" applyProtection="1">
      <alignment horizontal="left"/>
      <protection locked="0" hidden="1"/>
    </xf>
    <xf numFmtId="0" fontId="33" fillId="0" borderId="0" xfId="303" applyFont="1" applyProtection="1">
      <protection locked="0" hidden="1"/>
    </xf>
    <xf numFmtId="0" fontId="30" fillId="0" borderId="0" xfId="303" applyFont="1" applyAlignment="1" applyProtection="1">
      <alignment horizontal="right"/>
      <protection locked="0" hidden="1"/>
    </xf>
    <xf numFmtId="0" fontId="25" fillId="0" borderId="0" xfId="303" applyFont="1" applyAlignment="1" applyProtection="1">
      <alignment horizontal="right" vertical="top"/>
      <protection locked="0" hidden="1"/>
    </xf>
    <xf numFmtId="0" fontId="32" fillId="0" borderId="0" xfId="303" applyFont="1" applyAlignment="1" applyProtection="1">
      <alignment horizontal="center" vertical="center" wrapText="1"/>
      <protection locked="0" hidden="1"/>
    </xf>
    <xf numFmtId="12" fontId="26" fillId="0" borderId="0" xfId="303" applyNumberFormat="1" applyFont="1" applyAlignment="1" applyProtection="1">
      <alignment horizontal="left"/>
      <protection locked="0" hidden="1"/>
    </xf>
    <xf numFmtId="0" fontId="26" fillId="0" borderId="22" xfId="303" applyFont="1" applyBorder="1" applyProtection="1">
      <protection locked="0" hidden="1"/>
    </xf>
    <xf numFmtId="8" fontId="26" fillId="0" borderId="22" xfId="303" applyNumberFormat="1" applyFont="1" applyBorder="1" applyAlignment="1" applyProtection="1">
      <alignment horizontal="left"/>
      <protection locked="0" hidden="1"/>
    </xf>
    <xf numFmtId="0" fontId="26" fillId="0" borderId="28" xfId="303" applyFont="1" applyBorder="1" applyProtection="1">
      <protection locked="0" hidden="1"/>
    </xf>
    <xf numFmtId="0" fontId="26" fillId="0" borderId="0" xfId="303" applyFont="1" applyAlignment="1" applyProtection="1">
      <alignment horizontal="left"/>
      <protection locked="0" hidden="1"/>
    </xf>
    <xf numFmtId="0" fontId="31" fillId="0" borderId="0" xfId="303" applyFont="1" applyProtection="1">
      <protection locked="0" hidden="1"/>
    </xf>
    <xf numFmtId="0" fontId="37" fillId="0" borderId="0" xfId="303" applyFont="1" applyAlignment="1" applyProtection="1">
      <alignment horizontal="right"/>
      <protection locked="0" hidden="1"/>
    </xf>
    <xf numFmtId="8" fontId="37" fillId="0" borderId="0" xfId="303" applyNumberFormat="1" applyFont="1" applyAlignment="1" applyProtection="1">
      <alignment horizontal="right"/>
      <protection locked="0" hidden="1"/>
    </xf>
    <xf numFmtId="0" fontId="5" fillId="0" borderId="0" xfId="303" applyAlignment="1" applyProtection="1">
      <alignment horizontal="right"/>
      <protection locked="0" hidden="1"/>
    </xf>
    <xf numFmtId="8" fontId="37" fillId="0" borderId="0" xfId="303" applyNumberFormat="1" applyFont="1" applyAlignment="1" applyProtection="1">
      <alignment horizontal="left"/>
      <protection locked="0" hidden="1"/>
    </xf>
    <xf numFmtId="0" fontId="38" fillId="0" borderId="0" xfId="303" applyFont="1" applyAlignment="1" applyProtection="1">
      <alignment horizontal="center" vertical="center" wrapText="1"/>
      <protection locked="0" hidden="1"/>
    </xf>
    <xf numFmtId="0" fontId="40" fillId="0" borderId="17" xfId="303" applyFont="1" applyBorder="1" applyAlignment="1" applyProtection="1">
      <alignment horizontal="center" vertical="center" wrapText="1"/>
      <protection locked="0" hidden="1"/>
    </xf>
    <xf numFmtId="0" fontId="25" fillId="0" borderId="17" xfId="303" applyFont="1" applyBorder="1" applyAlignment="1" applyProtection="1">
      <alignment horizontal="center" vertical="center" wrapText="1"/>
      <protection locked="0" hidden="1"/>
    </xf>
    <xf numFmtId="0" fontId="26" fillId="0" borderId="0" xfId="303" applyFont="1" applyAlignment="1" applyProtection="1">
      <alignment horizontal="center" vertical="center" wrapText="1"/>
      <protection locked="0" hidden="1"/>
    </xf>
    <xf numFmtId="44" fontId="34" fillId="0" borderId="15" xfId="303" applyNumberFormat="1" applyFont="1" applyBorder="1" applyAlignment="1" applyProtection="1">
      <alignment horizontal="left" vertical="center" wrapText="1"/>
      <protection locked="0" hidden="1"/>
    </xf>
    <xf numFmtId="44" fontId="34" fillId="0" borderId="17" xfId="223" applyFont="1" applyFill="1" applyBorder="1" applyAlignment="1" applyProtection="1">
      <alignment horizontal="right"/>
      <protection locked="0" hidden="1"/>
    </xf>
    <xf numFmtId="44" fontId="34" fillId="0" borderId="17" xfId="223" applyFont="1" applyFill="1" applyBorder="1" applyAlignment="1" applyProtection="1">
      <protection locked="0" hidden="1"/>
    </xf>
    <xf numFmtId="44" fontId="34" fillId="0" borderId="17" xfId="223" applyFont="1" applyFill="1" applyBorder="1" applyAlignment="1" applyProtection="1">
      <alignment horizontal="center" vertical="center"/>
      <protection locked="0" hidden="1"/>
    </xf>
    <xf numFmtId="0" fontId="34" fillId="0" borderId="0" xfId="303" applyFont="1" applyAlignment="1" applyProtection="1">
      <alignment horizontal="center" vertical="center"/>
      <protection locked="0" hidden="1"/>
    </xf>
    <xf numFmtId="0" fontId="5" fillId="0" borderId="17" xfId="303" applyBorder="1" applyAlignment="1" applyProtection="1">
      <alignment horizontal="center"/>
      <protection locked="0" hidden="1"/>
    </xf>
    <xf numFmtId="0" fontId="5" fillId="0" borderId="17" xfId="303" applyBorder="1" applyAlignment="1" applyProtection="1">
      <alignment wrapText="1"/>
      <protection locked="0" hidden="1"/>
    </xf>
    <xf numFmtId="166" fontId="5" fillId="0" borderId="17" xfId="350" applyNumberFormat="1" applyBorder="1" applyProtection="1">
      <protection locked="0" hidden="1"/>
    </xf>
    <xf numFmtId="164" fontId="5" fillId="0" borderId="17" xfId="223" applyNumberFormat="1" applyFont="1" applyFill="1" applyBorder="1" applyAlignment="1" applyProtection="1">
      <alignment horizontal="right"/>
      <protection locked="0" hidden="1"/>
    </xf>
    <xf numFmtId="44" fontId="5" fillId="0" borderId="17" xfId="223" applyFont="1" applyFill="1" applyBorder="1" applyAlignment="1" applyProtection="1">
      <alignment horizontal="right"/>
      <protection locked="0" hidden="1"/>
    </xf>
    <xf numFmtId="0" fontId="5" fillId="0" borderId="0" xfId="303" applyAlignment="1" applyProtection="1">
      <alignment horizontal="center" wrapText="1"/>
      <protection locked="0" hidden="1"/>
    </xf>
    <xf numFmtId="0" fontId="5" fillId="0" borderId="31" xfId="303" applyBorder="1" applyAlignment="1" applyProtection="1">
      <alignment horizontal="center"/>
      <protection locked="0" hidden="1"/>
    </xf>
    <xf numFmtId="0" fontId="5" fillId="0" borderId="15" xfId="303" applyBorder="1" applyAlignment="1" applyProtection="1">
      <alignment horizontal="left"/>
      <protection locked="0" hidden="1"/>
    </xf>
    <xf numFmtId="44" fontId="5" fillId="0" borderId="15" xfId="303" applyNumberFormat="1" applyBorder="1" applyAlignment="1" applyProtection="1">
      <alignment vertical="top"/>
      <protection locked="0" hidden="1"/>
    </xf>
    <xf numFmtId="164" fontId="5" fillId="0" borderId="15" xfId="223" applyNumberFormat="1" applyFont="1" applyFill="1" applyBorder="1" applyAlignment="1" applyProtection="1">
      <alignment horizontal="right"/>
      <protection locked="0" hidden="1"/>
    </xf>
    <xf numFmtId="0" fontId="5" fillId="0" borderId="20" xfId="303" applyBorder="1" applyAlignment="1" applyProtection="1">
      <alignment horizontal="center" wrapText="1"/>
      <protection locked="0" hidden="1"/>
    </xf>
    <xf numFmtId="0" fontId="5" fillId="0" borderId="18" xfId="303" applyBorder="1" applyAlignment="1" applyProtection="1">
      <alignment horizontal="center" vertical="center"/>
      <protection locked="0" hidden="1"/>
    </xf>
    <xf numFmtId="0" fontId="5" fillId="0" borderId="18" xfId="303" applyBorder="1" applyAlignment="1" applyProtection="1">
      <alignment horizontal="left"/>
      <protection locked="0" hidden="1"/>
    </xf>
    <xf numFmtId="0" fontId="5" fillId="0" borderId="18" xfId="303" applyBorder="1" applyAlignment="1" applyProtection="1">
      <alignment vertical="top"/>
      <protection locked="0" hidden="1"/>
    </xf>
    <xf numFmtId="44" fontId="5" fillId="0" borderId="18" xfId="303" applyNumberFormat="1" applyBorder="1" applyAlignment="1" applyProtection="1">
      <alignment vertical="top"/>
      <protection locked="0" hidden="1"/>
    </xf>
    <xf numFmtId="164" fontId="5" fillId="0" borderId="18" xfId="223" applyNumberFormat="1" applyFont="1" applyFill="1" applyBorder="1" applyAlignment="1" applyProtection="1">
      <alignment horizontal="right"/>
      <protection locked="0" hidden="1"/>
    </xf>
    <xf numFmtId="0" fontId="5" fillId="0" borderId="19" xfId="303" applyBorder="1" applyAlignment="1" applyProtection="1">
      <alignment horizontal="center" vertical="center"/>
      <protection locked="0" hidden="1"/>
    </xf>
    <xf numFmtId="44" fontId="5" fillId="0" borderId="18" xfId="223" applyFont="1" applyFill="1" applyBorder="1" applyAlignment="1" applyProtection="1">
      <alignment horizontal="right"/>
      <protection locked="0" hidden="1"/>
    </xf>
    <xf numFmtId="0" fontId="5" fillId="0" borderId="0" xfId="303" applyAlignment="1" applyProtection="1">
      <alignment horizontal="center"/>
      <protection locked="0" hidden="1"/>
    </xf>
    <xf numFmtId="49" fontId="42" fillId="0" borderId="17" xfId="303" applyNumberFormat="1" applyFont="1" applyBorder="1" applyAlignment="1" applyProtection="1">
      <alignment horizontal="center" vertical="center"/>
      <protection locked="0" hidden="1"/>
    </xf>
    <xf numFmtId="49" fontId="5" fillId="0" borderId="17" xfId="303" applyNumberFormat="1" applyBorder="1" applyAlignment="1" applyProtection="1">
      <alignment horizontal="center" vertical="center" wrapText="1"/>
      <protection locked="0" hidden="1"/>
    </xf>
    <xf numFmtId="49" fontId="5" fillId="0" borderId="17" xfId="303" applyNumberFormat="1" applyBorder="1" applyAlignment="1" applyProtection="1">
      <alignment horizontal="center" vertical="center"/>
      <protection locked="0" hidden="1"/>
    </xf>
    <xf numFmtId="0" fontId="5" fillId="0" borderId="17" xfId="303" applyBorder="1" applyAlignment="1" applyProtection="1">
      <alignment horizontal="center" vertical="center"/>
      <protection locked="0" hidden="1"/>
    </xf>
    <xf numFmtId="44" fontId="42" fillId="0" borderId="17" xfId="303" applyNumberFormat="1" applyFont="1" applyBorder="1" applyProtection="1">
      <protection locked="0" hidden="1"/>
    </xf>
    <xf numFmtId="44" fontId="5" fillId="0" borderId="16" xfId="303" applyNumberFormat="1" applyBorder="1" applyProtection="1">
      <protection locked="0" hidden="1"/>
    </xf>
    <xf numFmtId="44" fontId="42" fillId="0" borderId="17" xfId="303" applyNumberFormat="1" applyFont="1" applyBorder="1" applyAlignment="1" applyProtection="1">
      <alignment horizontal="right"/>
      <protection locked="0" hidden="1"/>
    </xf>
    <xf numFmtId="1" fontId="5" fillId="0" borderId="17" xfId="303" applyNumberFormat="1" applyBorder="1" applyAlignment="1" applyProtection="1">
      <alignment horizontal="center" vertical="center"/>
      <protection locked="0" hidden="1"/>
    </xf>
    <xf numFmtId="44" fontId="42" fillId="0" borderId="17" xfId="345" applyNumberFormat="1" applyFont="1" applyBorder="1" applyProtection="1">
      <protection locked="0" hidden="1"/>
    </xf>
    <xf numFmtId="0" fontId="42" fillId="0" borderId="17" xfId="303" applyFont="1" applyBorder="1" applyAlignment="1" applyProtection="1">
      <alignment horizontal="center" vertical="center"/>
      <protection locked="0" hidden="1"/>
    </xf>
    <xf numFmtId="8" fontId="5" fillId="0" borderId="17" xfId="303" applyNumberFormat="1" applyBorder="1" applyProtection="1">
      <protection locked="0" hidden="1"/>
    </xf>
    <xf numFmtId="169" fontId="42" fillId="0" borderId="17" xfId="303" applyNumberFormat="1" applyFont="1" applyBorder="1" applyAlignment="1" applyProtection="1">
      <alignment horizontal="center" vertical="center"/>
      <protection locked="0" hidden="1"/>
    </xf>
    <xf numFmtId="44" fontId="36" fillId="0" borderId="0" xfId="303" applyNumberFormat="1" applyFont="1" applyAlignment="1" applyProtection="1">
      <alignment horizontal="center"/>
      <protection locked="0" hidden="1"/>
    </xf>
    <xf numFmtId="0" fontId="36" fillId="0" borderId="0" xfId="303" applyFont="1" applyAlignment="1" applyProtection="1">
      <alignment horizontal="center"/>
      <protection locked="0" hidden="1"/>
    </xf>
    <xf numFmtId="164" fontId="5" fillId="0" borderId="0" xfId="223" applyNumberFormat="1" applyFont="1" applyAlignment="1" applyProtection="1">
      <protection locked="0" hidden="1"/>
    </xf>
    <xf numFmtId="44" fontId="5" fillId="0" borderId="0" xfId="303" applyNumberFormat="1" applyAlignment="1" applyProtection="1">
      <alignment horizontal="center"/>
      <protection locked="0" hidden="1"/>
    </xf>
    <xf numFmtId="0" fontId="34" fillId="0" borderId="0" xfId="303" applyFont="1" applyProtection="1">
      <protection locked="0" hidden="1"/>
    </xf>
    <xf numFmtId="164" fontId="5" fillId="0" borderId="0" xfId="223" applyNumberFormat="1" applyProtection="1">
      <protection locked="0" hidden="1"/>
    </xf>
    <xf numFmtId="0" fontId="42" fillId="0" borderId="34" xfId="351" applyFont="1" applyBorder="1" applyAlignment="1" applyProtection="1">
      <alignment vertical="top" wrapText="1"/>
      <protection locked="0" hidden="1"/>
    </xf>
    <xf numFmtId="44" fontId="42" fillId="0" borderId="34" xfId="351" applyNumberFormat="1" applyFont="1" applyBorder="1" applyProtection="1">
      <protection locked="0" hidden="1"/>
    </xf>
    <xf numFmtId="0" fontId="42" fillId="0" borderId="32" xfId="351" applyFont="1" applyBorder="1" applyAlignment="1" applyProtection="1">
      <alignment horizontal="center" vertical="top" wrapText="1"/>
      <protection locked="0" hidden="1"/>
    </xf>
    <xf numFmtId="0" fontId="42" fillId="0" borderId="32" xfId="351" applyFont="1" applyBorder="1" applyAlignment="1" applyProtection="1">
      <alignment vertical="top" wrapText="1"/>
      <protection locked="0" hidden="1"/>
    </xf>
    <xf numFmtId="44" fontId="42" fillId="0" borderId="32" xfId="351" applyNumberFormat="1" applyFont="1" applyBorder="1" applyProtection="1">
      <protection locked="0" hidden="1"/>
    </xf>
    <xf numFmtId="1" fontId="42" fillId="0" borderId="32" xfId="351" applyNumberFormat="1" applyFont="1" applyBorder="1" applyAlignment="1" applyProtection="1">
      <alignment horizontal="center" vertical="top" wrapText="1"/>
      <protection locked="0" hidden="1"/>
    </xf>
    <xf numFmtId="49" fontId="42" fillId="0" borderId="32" xfId="351" applyNumberFormat="1" applyFont="1" applyBorder="1" applyAlignment="1" applyProtection="1">
      <alignment horizontal="center" vertical="top" wrapText="1"/>
      <protection locked="0" hidden="1"/>
    </xf>
    <xf numFmtId="49" fontId="34" fillId="0" borderId="15" xfId="303" applyNumberFormat="1" applyFont="1" applyBorder="1" applyAlignment="1" applyProtection="1">
      <alignment horizontal="center" wrapText="1"/>
      <protection locked="0" hidden="1"/>
    </xf>
    <xf numFmtId="0" fontId="41" fillId="0" borderId="15" xfId="303" applyFont="1" applyBorder="1" applyAlignment="1" applyProtection="1">
      <alignment horizontal="left" wrapText="1"/>
      <protection locked="0" hidden="1"/>
    </xf>
    <xf numFmtId="44" fontId="42" fillId="0" borderId="16" xfId="303" applyNumberFormat="1" applyFont="1" applyBorder="1" applyAlignment="1" applyProtection="1">
      <alignment horizontal="right"/>
      <protection locked="0" hidden="1"/>
    </xf>
    <xf numFmtId="44" fontId="5" fillId="0" borderId="24" xfId="303" applyNumberFormat="1" applyBorder="1" applyProtection="1">
      <protection locked="0" hidden="1"/>
    </xf>
    <xf numFmtId="0" fontId="26" fillId="0" borderId="17" xfId="0" applyFont="1" applyBorder="1" applyAlignment="1" applyProtection="1">
      <alignment horizontal="center" vertical="center"/>
      <protection locked="0" hidden="1"/>
    </xf>
    <xf numFmtId="49" fontId="5" fillId="0" borderId="17" xfId="0" applyNumberFormat="1" applyFont="1" applyBorder="1" applyAlignment="1" applyProtection="1">
      <alignment horizontal="center"/>
      <protection locked="0" hidden="1"/>
    </xf>
    <xf numFmtId="0" fontId="0" fillId="0" borderId="25" xfId="0" applyBorder="1" applyAlignment="1" applyProtection="1">
      <alignment horizontal="center"/>
      <protection locked="0" hidden="1"/>
    </xf>
    <xf numFmtId="0" fontId="30" fillId="0" borderId="0" xfId="0" applyFont="1" applyAlignment="1" applyProtection="1">
      <alignment horizontal="left"/>
      <protection locked="0" hidden="1"/>
    </xf>
    <xf numFmtId="0" fontId="25" fillId="0" borderId="20" xfId="0" applyFont="1" applyBorder="1" applyAlignment="1" applyProtection="1">
      <alignment horizontal="center" vertical="center" wrapText="1"/>
      <protection locked="0" hidden="1"/>
    </xf>
    <xf numFmtId="44" fontId="34" fillId="0" borderId="17" xfId="222" applyFont="1" applyFill="1" applyBorder="1" applyAlignment="1" applyProtection="1">
      <alignment vertical="center"/>
      <protection locked="0" hidden="1"/>
    </xf>
    <xf numFmtId="44" fontId="34" fillId="0" borderId="17" xfId="0" applyNumberFormat="1" applyFont="1" applyBorder="1" applyAlignment="1" applyProtection="1">
      <alignment horizontal="center" vertical="center"/>
      <protection locked="0" hidden="1"/>
    </xf>
    <xf numFmtId="44" fontId="34" fillId="0" borderId="20" xfId="0" applyNumberFormat="1" applyFont="1" applyBorder="1" applyAlignment="1" applyProtection="1">
      <alignment horizontal="center" vertical="center"/>
      <protection locked="0" hidden="1"/>
    </xf>
    <xf numFmtId="44" fontId="10" fillId="0" borderId="17" xfId="0" applyNumberFormat="1" applyFont="1" applyBorder="1" applyAlignment="1" applyProtection="1">
      <alignment horizontal="left"/>
      <protection locked="0" hidden="1"/>
    </xf>
    <xf numFmtId="164" fontId="10" fillId="0" borderId="20" xfId="222" applyNumberFormat="1" applyFont="1" applyFill="1" applyBorder="1" applyAlignment="1" applyProtection="1">
      <alignment horizontal="right"/>
      <protection locked="0" hidden="1"/>
    </xf>
    <xf numFmtId="0" fontId="31" fillId="0" borderId="17" xfId="0" applyFont="1" applyBorder="1" applyProtection="1">
      <protection locked="0" hidden="1"/>
    </xf>
    <xf numFmtId="0" fontId="0" fillId="0" borderId="19" xfId="0" applyBorder="1" applyAlignment="1" applyProtection="1">
      <alignment horizontal="center"/>
      <protection locked="0" hidden="1"/>
    </xf>
    <xf numFmtId="0" fontId="0" fillId="0" borderId="17" xfId="0" applyBorder="1" applyProtection="1">
      <protection locked="0" hidden="1"/>
    </xf>
    <xf numFmtId="0" fontId="0" fillId="0" borderId="20" xfId="0" applyBorder="1" applyProtection="1">
      <protection locked="0" hidden="1"/>
    </xf>
    <xf numFmtId="44" fontId="10" fillId="0" borderId="18" xfId="0" applyNumberFormat="1" applyFont="1" applyBorder="1" applyAlignment="1" applyProtection="1">
      <alignment horizontal="left"/>
      <protection locked="0" hidden="1"/>
    </xf>
    <xf numFmtId="44" fontId="0" fillId="0" borderId="18" xfId="0" applyNumberFormat="1" applyBorder="1" applyAlignment="1" applyProtection="1">
      <alignment horizontal="center" vertical="center"/>
      <protection locked="0" hidden="1"/>
    </xf>
    <xf numFmtId="44" fontId="0" fillId="0" borderId="19" xfId="0" applyNumberFormat="1" applyBorder="1" applyAlignment="1" applyProtection="1">
      <alignment horizontal="center" vertical="center"/>
      <protection locked="0" hidden="1"/>
    </xf>
    <xf numFmtId="4" fontId="26" fillId="0" borderId="21" xfId="0" applyNumberFormat="1" applyFont="1" applyBorder="1" applyAlignment="1" applyProtection="1">
      <alignment horizontal="center" vertical="center"/>
      <protection locked="0" hidden="1"/>
    </xf>
    <xf numFmtId="4" fontId="26" fillId="0" borderId="0" xfId="0" applyNumberFormat="1" applyFont="1" applyAlignment="1" applyProtection="1">
      <alignment horizontal="center" vertical="center"/>
      <protection locked="0" hidden="1"/>
    </xf>
    <xf numFmtId="165" fontId="34" fillId="0" borderId="22" xfId="0" applyNumberFormat="1" applyFont="1" applyBorder="1" applyAlignment="1" applyProtection="1">
      <alignment horizontal="center"/>
      <protection locked="0" hidden="1"/>
    </xf>
    <xf numFmtId="44" fontId="5" fillId="0" borderId="16" xfId="0" applyNumberFormat="1" applyFont="1" applyBorder="1" applyProtection="1">
      <protection locked="0" hidden="1"/>
    </xf>
    <xf numFmtId="44" fontId="5" fillId="0" borderId="24" xfId="0" applyNumberFormat="1" applyFont="1" applyBorder="1" applyProtection="1">
      <protection locked="0" hidden="1"/>
    </xf>
    <xf numFmtId="49" fontId="5" fillId="0" borderId="17" xfId="0" applyNumberFormat="1" applyFont="1" applyBorder="1" applyAlignment="1" applyProtection="1">
      <alignment horizontal="left" wrapText="1"/>
      <protection locked="0" hidden="1"/>
    </xf>
    <xf numFmtId="44" fontId="42" fillId="0" borderId="16" xfId="0" applyNumberFormat="1" applyFont="1" applyBorder="1" applyAlignment="1" applyProtection="1">
      <alignment horizontal="right"/>
      <protection locked="0" hidden="1"/>
    </xf>
    <xf numFmtId="0" fontId="5" fillId="0" borderId="17" xfId="0" applyFont="1" applyBorder="1" applyProtection="1">
      <protection locked="0" hidden="1"/>
    </xf>
    <xf numFmtId="0" fontId="0" fillId="0" borderId="17" xfId="0" applyBorder="1" applyAlignment="1" applyProtection="1">
      <alignment wrapText="1"/>
      <protection locked="0" hidden="1"/>
    </xf>
    <xf numFmtId="0" fontId="5" fillId="0" borderId="0" xfId="0" applyFont="1" applyAlignment="1" applyProtection="1">
      <alignment horizontal="left"/>
      <protection locked="0" hidden="1"/>
    </xf>
    <xf numFmtId="44" fontId="34" fillId="0" borderId="0" xfId="0" applyNumberFormat="1" applyFont="1" applyAlignment="1" applyProtection="1">
      <alignment horizontal="center"/>
      <protection locked="0" hidden="1"/>
    </xf>
    <xf numFmtId="0" fontId="26" fillId="0" borderId="0" xfId="378" applyFont="1" applyAlignment="1" applyProtection="1">
      <alignment horizontal="left" wrapText="1"/>
      <protection locked="0" hidden="1"/>
    </xf>
    <xf numFmtId="3" fontId="26" fillId="0" borderId="0" xfId="378" applyNumberFormat="1" applyFont="1" applyAlignment="1" applyProtection="1">
      <alignment horizontal="left"/>
      <protection locked="0" hidden="1"/>
    </xf>
    <xf numFmtId="0" fontId="28" fillId="0" borderId="0" xfId="378" applyFont="1" applyProtection="1">
      <protection locked="0" hidden="1"/>
    </xf>
    <xf numFmtId="0" fontId="34" fillId="0" borderId="17" xfId="378" applyFont="1" applyBorder="1" applyAlignment="1" applyProtection="1">
      <alignment horizontal="center"/>
      <protection locked="0" hidden="1"/>
    </xf>
    <xf numFmtId="169" fontId="77" fillId="0" borderId="0" xfId="378" applyNumberFormat="1" applyFont="1" applyAlignment="1" applyProtection="1">
      <alignment wrapText="1"/>
      <protection locked="0" hidden="1"/>
    </xf>
    <xf numFmtId="44" fontId="34" fillId="0" borderId="17" xfId="378" applyNumberFormat="1" applyFont="1" applyBorder="1" applyAlignment="1" applyProtection="1">
      <alignment wrapText="1"/>
      <protection locked="0" hidden="1"/>
    </xf>
    <xf numFmtId="0" fontId="0" fillId="0" borderId="17" xfId="0" applyBorder="1" applyAlignment="1" applyProtection="1">
      <alignment horizontal="center"/>
      <protection locked="0" hidden="1"/>
    </xf>
    <xf numFmtId="0" fontId="5" fillId="0" borderId="0" xfId="0" applyFont="1" applyAlignment="1" applyProtection="1">
      <alignment horizontal="center"/>
      <protection locked="0" hidden="1"/>
    </xf>
    <xf numFmtId="44" fontId="5" fillId="0" borderId="17" xfId="325" applyNumberFormat="1" applyFont="1" applyBorder="1" applyProtection="1">
      <protection locked="0" hidden="1"/>
    </xf>
    <xf numFmtId="44" fontId="0" fillId="0" borderId="0" xfId="0" applyNumberFormat="1" applyAlignment="1" applyProtection="1">
      <alignment horizontal="center"/>
      <protection locked="0" hidden="1"/>
    </xf>
    <xf numFmtId="0" fontId="26" fillId="0" borderId="27" xfId="0" applyFont="1" applyBorder="1" applyProtection="1">
      <protection locked="0" hidden="1"/>
    </xf>
    <xf numFmtId="0" fontId="25" fillId="0" borderId="19" xfId="0" applyFont="1" applyBorder="1" applyAlignment="1" applyProtection="1">
      <alignment horizontal="center" vertical="center" wrapText="1"/>
      <protection locked="0" hidden="1"/>
    </xf>
    <xf numFmtId="0" fontId="34" fillId="0" borderId="19" xfId="0" applyFont="1" applyBorder="1" applyAlignment="1" applyProtection="1">
      <alignment horizontal="center"/>
      <protection locked="0" hidden="1"/>
    </xf>
    <xf numFmtId="0" fontId="5" fillId="0" borderId="19" xfId="0" applyFont="1" applyBorder="1" applyAlignment="1" applyProtection="1">
      <alignment horizontal="center"/>
      <protection locked="0" hidden="1"/>
    </xf>
    <xf numFmtId="44" fontId="10" fillId="0" borderId="15" xfId="222" applyFont="1" applyFill="1" applyBorder="1" applyAlignment="1" applyProtection="1">
      <alignment horizontal="right"/>
      <protection locked="0" hidden="1"/>
    </xf>
    <xf numFmtId="0" fontId="10" fillId="0" borderId="17" xfId="0" applyFont="1" applyBorder="1" applyAlignment="1" applyProtection="1">
      <alignment horizontal="center" vertical="center"/>
      <protection locked="0" hidden="1"/>
    </xf>
    <xf numFmtId="0" fontId="49" fillId="0" borderId="30" xfId="325" applyFont="1" applyBorder="1" applyAlignment="1" applyProtection="1">
      <alignment horizontal="center" vertical="top" wrapText="1"/>
      <protection locked="0" hidden="1"/>
    </xf>
    <xf numFmtId="0" fontId="50" fillId="0" borderId="0" xfId="0" applyFont="1" applyProtection="1">
      <protection locked="0" hidden="1"/>
    </xf>
    <xf numFmtId="0" fontId="25" fillId="0" borderId="17" xfId="0" applyFont="1" applyBorder="1" applyAlignment="1" applyProtection="1">
      <alignment horizontal="left" vertical="center" wrapText="1"/>
      <protection locked="0" hidden="1"/>
    </xf>
    <xf numFmtId="49" fontId="41" fillId="0" borderId="17" xfId="378" applyNumberFormat="1" applyFont="1" applyBorder="1" applyAlignment="1" applyProtection="1">
      <alignment horizontal="center" vertical="center"/>
      <protection locked="0" hidden="1"/>
    </xf>
    <xf numFmtId="169" fontId="41" fillId="0" borderId="17" xfId="378" applyNumberFormat="1" applyFont="1" applyBorder="1" applyAlignment="1" applyProtection="1">
      <alignment horizontal="left" vertical="center" wrapText="1"/>
      <protection locked="0" hidden="1"/>
    </xf>
    <xf numFmtId="44" fontId="41" fillId="0" borderId="17" xfId="378" applyNumberFormat="1" applyFont="1" applyBorder="1" applyAlignment="1" applyProtection="1">
      <alignment horizontal="left" vertical="center" wrapText="1"/>
      <protection locked="0" hidden="1"/>
    </xf>
    <xf numFmtId="49" fontId="31" fillId="0" borderId="17" xfId="0" applyNumberFormat="1" applyFont="1" applyBorder="1" applyAlignment="1" applyProtection="1">
      <alignment horizontal="center"/>
      <protection locked="0" hidden="1"/>
    </xf>
    <xf numFmtId="8" fontId="5" fillId="0" borderId="17" xfId="0" applyNumberFormat="1" applyFont="1" applyBorder="1" applyProtection="1">
      <protection locked="0" hidden="1"/>
    </xf>
    <xf numFmtId="0" fontId="5" fillId="0" borderId="0" xfId="0" applyFont="1" applyProtection="1">
      <protection locked="0" hidden="1"/>
    </xf>
    <xf numFmtId="49" fontId="72" fillId="0" borderId="17" xfId="344" applyNumberFormat="1" applyFont="1" applyBorder="1" applyAlignment="1" applyProtection="1">
      <alignment horizontal="center"/>
      <protection hidden="1"/>
    </xf>
    <xf numFmtId="0" fontId="76" fillId="0" borderId="17" xfId="340" applyFont="1" applyBorder="1" applyAlignment="1" applyProtection="1">
      <alignment horizontal="center" vertical="center" wrapText="1"/>
      <protection locked="0" hidden="1"/>
    </xf>
    <xf numFmtId="49" fontId="34" fillId="0" borderId="15" xfId="0" applyNumberFormat="1" applyFont="1" applyBorder="1" applyAlignment="1" applyProtection="1">
      <alignment horizontal="center" vertical="top" wrapText="1"/>
      <protection locked="0" hidden="1"/>
    </xf>
    <xf numFmtId="0" fontId="5" fillId="0" borderId="17" xfId="338" applyFont="1" applyBorder="1" applyAlignment="1" applyProtection="1">
      <alignment horizontal="center"/>
      <protection locked="0" hidden="1"/>
    </xf>
    <xf numFmtId="0" fontId="42" fillId="0" borderId="30" xfId="0" applyFont="1" applyBorder="1" applyAlignment="1">
      <alignment horizontal="center"/>
    </xf>
    <xf numFmtId="44" fontId="5" fillId="0" borderId="17" xfId="326" applyNumberFormat="1" applyFont="1" applyBorder="1" applyProtection="1">
      <protection locked="0" hidden="1"/>
    </xf>
    <xf numFmtId="0" fontId="5" fillId="0" borderId="17" xfId="338" applyFont="1" applyBorder="1" applyAlignment="1" applyProtection="1">
      <alignment wrapText="1"/>
      <protection locked="0" hidden="1"/>
    </xf>
    <xf numFmtId="44" fontId="5" fillId="0" borderId="17" xfId="223" applyFont="1" applyFill="1" applyBorder="1" applyAlignment="1" applyProtection="1">
      <protection hidden="1"/>
    </xf>
    <xf numFmtId="44" fontId="5" fillId="0" borderId="16" xfId="223" applyFont="1" applyFill="1" applyBorder="1" applyAlignment="1" applyProtection="1">
      <protection hidden="1"/>
    </xf>
    <xf numFmtId="0" fontId="42" fillId="0" borderId="17" xfId="0" applyFont="1" applyBorder="1" applyAlignment="1">
      <alignment horizontal="center"/>
    </xf>
    <xf numFmtId="0" fontId="5" fillId="0" borderId="30" xfId="0" applyFont="1" applyBorder="1" applyAlignment="1" applyProtection="1">
      <alignment horizontal="center"/>
      <protection locked="0" hidden="1"/>
    </xf>
    <xf numFmtId="0" fontId="5" fillId="0" borderId="17" xfId="325" applyFont="1" applyBorder="1" applyAlignment="1" applyProtection="1">
      <alignment horizontal="center" vertical="top" wrapText="1"/>
      <protection locked="0" hidden="1"/>
    </xf>
    <xf numFmtId="0" fontId="5" fillId="0" borderId="35" xfId="0" applyFont="1" applyBorder="1" applyAlignment="1" applyProtection="1">
      <alignment horizontal="center"/>
      <protection locked="0" hidden="1"/>
    </xf>
    <xf numFmtId="0" fontId="5" fillId="0" borderId="36" xfId="0" applyFont="1" applyBorder="1" applyAlignment="1" applyProtection="1">
      <alignment horizontal="center"/>
      <protection locked="0" hidden="1"/>
    </xf>
    <xf numFmtId="0" fontId="5" fillId="0" borderId="17" xfId="325" applyFont="1" applyBorder="1" applyAlignment="1" applyProtection="1">
      <alignment horizontal="left" vertical="top" wrapText="1"/>
      <protection locked="0" hidden="1"/>
    </xf>
    <xf numFmtId="0" fontId="5" fillId="0" borderId="37" xfId="0" applyFont="1" applyBorder="1" applyAlignment="1" applyProtection="1">
      <alignment wrapText="1"/>
      <protection locked="0" hidden="1"/>
    </xf>
    <xf numFmtId="0" fontId="5" fillId="0" borderId="38" xfId="0" applyFont="1" applyBorder="1" applyAlignment="1" applyProtection="1">
      <alignment wrapText="1"/>
      <protection locked="0" hidden="1"/>
    </xf>
    <xf numFmtId="0" fontId="134" fillId="0" borderId="17" xfId="0" applyFont="1" applyBorder="1"/>
    <xf numFmtId="44" fontId="5" fillId="0" borderId="39" xfId="0" applyNumberFormat="1" applyFont="1" applyBorder="1" applyProtection="1">
      <protection locked="0" hidden="1"/>
    </xf>
    <xf numFmtId="0" fontId="5" fillId="0" borderId="0" xfId="0" applyFont="1"/>
    <xf numFmtId="0" fontId="26" fillId="0" borderId="0" xfId="348" applyFont="1" applyProtection="1">
      <protection locked="0" hidden="1"/>
    </xf>
    <xf numFmtId="12" fontId="26" fillId="0" borderId="0" xfId="348" applyNumberFormat="1" applyFont="1" applyAlignment="1" applyProtection="1">
      <alignment horizontal="left"/>
      <protection locked="0" hidden="1"/>
    </xf>
    <xf numFmtId="44" fontId="34" fillId="0" borderId="17" xfId="223" applyFont="1" applyFill="1" applyBorder="1" applyAlignment="1" applyProtection="1">
      <alignment horizontal="center"/>
      <protection hidden="1"/>
    </xf>
    <xf numFmtId="49" fontId="42" fillId="0" borderId="15" xfId="223" applyNumberFormat="1" applyFont="1" applyFill="1" applyBorder="1" applyAlignment="1" applyProtection="1">
      <alignment horizontal="center"/>
      <protection locked="0" hidden="1"/>
    </xf>
    <xf numFmtId="0" fontId="5" fillId="0" borderId="15" xfId="352" applyFont="1" applyBorder="1" applyAlignment="1" applyProtection="1">
      <alignment horizontal="left"/>
      <protection locked="0" hidden="1"/>
    </xf>
    <xf numFmtId="44" fontId="5" fillId="0" borderId="15" xfId="352" applyNumberFormat="1" applyFont="1" applyBorder="1" applyAlignment="1" applyProtection="1">
      <alignment vertical="top"/>
      <protection locked="0" hidden="1"/>
    </xf>
    <xf numFmtId="0" fontId="5" fillId="0" borderId="0" xfId="352" applyFont="1" applyAlignment="1" applyProtection="1">
      <alignment horizontal="center"/>
      <protection locked="0" hidden="1"/>
    </xf>
    <xf numFmtId="0" fontId="5" fillId="0" borderId="0" xfId="348" applyProtection="1">
      <protection locked="0" hidden="1"/>
    </xf>
    <xf numFmtId="49" fontId="42" fillId="0" borderId="17" xfId="223" applyNumberFormat="1" applyFont="1" applyFill="1" applyBorder="1" applyAlignment="1" applyProtection="1">
      <alignment horizontal="center" vertical="center"/>
      <protection locked="0" hidden="1"/>
    </xf>
    <xf numFmtId="0" fontId="134" fillId="0" borderId="17" xfId="303" applyFont="1" applyBorder="1" applyAlignment="1" applyProtection="1">
      <alignment horizontal="center"/>
      <protection locked="0" hidden="1"/>
    </xf>
    <xf numFmtId="0" fontId="134" fillId="0" borderId="17" xfId="303" applyFont="1" applyBorder="1" applyAlignment="1" applyProtection="1">
      <alignment wrapText="1"/>
      <protection locked="0" hidden="1"/>
    </xf>
    <xf numFmtId="169" fontId="134" fillId="0" borderId="17" xfId="1" applyNumberFormat="1" applyFont="1" applyBorder="1" applyAlignment="1" applyProtection="1">
      <alignment horizontal="center"/>
      <protection locked="0" hidden="1"/>
    </xf>
    <xf numFmtId="169" fontId="134" fillId="0" borderId="17" xfId="1" applyNumberFormat="1" applyFont="1" applyBorder="1" applyAlignment="1" applyProtection="1">
      <alignment horizontal="left" wrapText="1"/>
      <protection locked="0" hidden="1"/>
    </xf>
    <xf numFmtId="0" fontId="5" fillId="0" borderId="0" xfId="352" applyFont="1" applyProtection="1">
      <protection locked="0" hidden="1"/>
    </xf>
    <xf numFmtId="164" fontId="5" fillId="0" borderId="0" xfId="223" applyNumberFormat="1" applyFont="1" applyFill="1" applyAlignment="1" applyProtection="1">
      <protection locked="0" hidden="1"/>
    </xf>
    <xf numFmtId="44" fontId="5" fillId="0" borderId="0" xfId="352" applyNumberFormat="1" applyFont="1" applyAlignment="1" applyProtection="1">
      <alignment horizontal="center"/>
      <protection locked="0" hidden="1"/>
    </xf>
    <xf numFmtId="44" fontId="5" fillId="0" borderId="17" xfId="378" applyNumberFormat="1" applyFont="1" applyBorder="1" applyProtection="1">
      <protection locked="0" hidden="1"/>
    </xf>
    <xf numFmtId="44" fontId="134" fillId="0" borderId="17" xfId="222" applyFont="1" applyFill="1" applyBorder="1" applyAlignment="1" applyProtection="1">
      <protection locked="0" hidden="1"/>
    </xf>
    <xf numFmtId="49" fontId="34" fillId="0" borderId="17" xfId="352" applyNumberFormat="1" applyFont="1" applyBorder="1" applyAlignment="1" applyProtection="1">
      <alignment horizontal="center" vertical="center" wrapText="1"/>
      <protection locked="0" hidden="1"/>
    </xf>
    <xf numFmtId="0" fontId="135" fillId="0" borderId="0" xfId="0" applyFont="1"/>
    <xf numFmtId="0" fontId="5" fillId="0" borderId="17" xfId="378" applyFont="1" applyBorder="1" applyProtection="1">
      <protection locked="0" hidden="1"/>
    </xf>
    <xf numFmtId="0" fontId="5" fillId="0" borderId="30" xfId="378" applyFont="1" applyBorder="1" applyAlignment="1" applyProtection="1">
      <alignment horizontal="left"/>
      <protection locked="0" hidden="1"/>
    </xf>
    <xf numFmtId="44" fontId="0" fillId="0" borderId="0" xfId="0" applyNumberFormat="1" applyProtection="1">
      <protection locked="0" hidden="1"/>
    </xf>
    <xf numFmtId="0" fontId="34" fillId="0" borderId="15" xfId="378" applyFont="1" applyBorder="1" applyAlignment="1" applyProtection="1">
      <alignment horizontal="center" vertical="center" wrapText="1"/>
      <protection locked="0" hidden="1"/>
    </xf>
    <xf numFmtId="44" fontId="30" fillId="0" borderId="0" xfId="378" applyNumberFormat="1" applyFont="1" applyAlignment="1" applyProtection="1">
      <alignment horizontal="center"/>
      <protection locked="0" hidden="1"/>
    </xf>
    <xf numFmtId="37" fontId="60" fillId="0" borderId="17" xfId="344" applyFont="1" applyBorder="1" applyAlignment="1" applyProtection="1">
      <alignment wrapText="1"/>
      <protection locked="0" hidden="1"/>
    </xf>
    <xf numFmtId="0" fontId="37" fillId="0" borderId="0" xfId="0" applyFont="1" applyAlignment="1" applyProtection="1">
      <alignment horizontal="center" wrapText="1"/>
      <protection locked="0" hidden="1"/>
    </xf>
    <xf numFmtId="0" fontId="36" fillId="0" borderId="0" xfId="0" applyFont="1" applyProtection="1">
      <protection locked="0" hidden="1"/>
    </xf>
    <xf numFmtId="49" fontId="5" fillId="0" borderId="16" xfId="222" applyNumberFormat="1" applyFont="1" applyFill="1" applyBorder="1" applyAlignment="1" applyProtection="1">
      <alignment horizontal="center" vertical="center"/>
      <protection locked="0" hidden="1"/>
    </xf>
    <xf numFmtId="0" fontId="5" fillId="0" borderId="16" xfId="339" applyFont="1" applyBorder="1" applyAlignment="1" applyProtection="1">
      <alignment horizontal="left" vertical="top" wrapText="1"/>
      <protection locked="0" hidden="1"/>
    </xf>
    <xf numFmtId="44" fontId="5" fillId="0" borderId="16" xfId="339" applyNumberFormat="1" applyFont="1" applyBorder="1" applyAlignment="1" applyProtection="1">
      <alignment wrapText="1"/>
      <protection locked="0" hidden="1"/>
    </xf>
    <xf numFmtId="49" fontId="42" fillId="0" borderId="16" xfId="223" applyNumberFormat="1" applyFont="1" applyFill="1" applyBorder="1" applyAlignment="1" applyProtection="1">
      <alignment horizontal="center" vertical="center"/>
      <protection locked="0" hidden="1"/>
    </xf>
    <xf numFmtId="169" fontId="134" fillId="0" borderId="16" xfId="1" applyNumberFormat="1" applyFont="1" applyBorder="1" applyAlignment="1" applyProtection="1">
      <alignment horizontal="center"/>
      <protection locked="0" hidden="1"/>
    </xf>
    <xf numFmtId="169" fontId="134" fillId="0" borderId="16" xfId="1" applyNumberFormat="1" applyFont="1" applyBorder="1" applyAlignment="1" applyProtection="1">
      <alignment horizontal="left" wrapText="1"/>
      <protection locked="0" hidden="1"/>
    </xf>
    <xf numFmtId="44" fontId="134" fillId="0" borderId="16" xfId="222" applyFont="1" applyFill="1" applyBorder="1" applyAlignment="1" applyProtection="1">
      <protection locked="0" hidden="1"/>
    </xf>
    <xf numFmtId="44" fontId="42" fillId="0" borderId="16" xfId="352" applyNumberFormat="1" applyFont="1" applyBorder="1" applyProtection="1">
      <protection hidden="1"/>
    </xf>
    <xf numFmtId="44" fontId="10" fillId="0" borderId="16" xfId="222" applyFont="1" applyFill="1" applyBorder="1" applyProtection="1">
      <protection hidden="1"/>
    </xf>
    <xf numFmtId="5" fontId="0" fillId="0" borderId="0" xfId="0" applyNumberFormat="1" applyAlignment="1">
      <alignment vertical="top" wrapText="1"/>
    </xf>
    <xf numFmtId="49" fontId="64" fillId="0" borderId="17" xfId="344" applyNumberFormat="1" applyFont="1" applyBorder="1" applyAlignment="1" applyProtection="1">
      <alignment horizontal="center" vertical="center"/>
      <protection locked="0" hidden="1"/>
    </xf>
    <xf numFmtId="0" fontId="95" fillId="0" borderId="40" xfId="0" applyFont="1" applyBorder="1" applyAlignment="1" applyProtection="1">
      <alignment horizontal="center" vertical="center" wrapText="1"/>
      <protection locked="0" hidden="1"/>
    </xf>
    <xf numFmtId="0" fontId="136" fillId="0" borderId="30" xfId="0" applyFont="1" applyBorder="1" applyAlignment="1" applyProtection="1">
      <alignment horizontal="center" vertical="center" wrapText="1"/>
      <protection locked="0" hidden="1"/>
    </xf>
    <xf numFmtId="0" fontId="64" fillId="0" borderId="0" xfId="378" applyFont="1" applyProtection="1">
      <protection locked="0" hidden="1"/>
    </xf>
    <xf numFmtId="0" fontId="96" fillId="0" borderId="0" xfId="378" applyFont="1" applyProtection="1">
      <protection locked="0" hidden="1"/>
    </xf>
    <xf numFmtId="0" fontId="68" fillId="24" borderId="17" xfId="0" applyFont="1" applyFill="1" applyBorder="1" applyAlignment="1" applyProtection="1">
      <alignment horizontal="center"/>
      <protection locked="0" hidden="1"/>
    </xf>
    <xf numFmtId="49" fontId="97" fillId="0" borderId="17" xfId="222" applyNumberFormat="1" applyFont="1" applyFill="1" applyBorder="1" applyAlignment="1" applyProtection="1">
      <alignment horizontal="center" vertical="center"/>
      <protection locked="0" hidden="1"/>
    </xf>
    <xf numFmtId="49" fontId="68" fillId="0" borderId="17" xfId="344" applyNumberFormat="1" applyFont="1" applyBorder="1" applyAlignment="1" applyProtection="1">
      <alignment horizontal="center"/>
      <protection locked="0" hidden="1"/>
    </xf>
    <xf numFmtId="37" fontId="68" fillId="0" borderId="17" xfId="344" applyFont="1" applyBorder="1" applyAlignment="1" applyProtection="1">
      <alignment wrapText="1"/>
      <protection locked="0" hidden="1"/>
    </xf>
    <xf numFmtId="44" fontId="68" fillId="0" borderId="17" xfId="344" applyNumberFormat="1" applyFont="1" applyBorder="1" applyProtection="1">
      <protection locked="0" hidden="1"/>
    </xf>
    <xf numFmtId="44" fontId="97" fillId="0" borderId="17" xfId="352" applyNumberFormat="1" applyFont="1" applyBorder="1" applyAlignment="1" applyProtection="1">
      <alignment horizontal="right"/>
      <protection hidden="1"/>
    </xf>
    <xf numFmtId="0" fontId="68" fillId="0" borderId="0" xfId="0" applyFont="1" applyAlignment="1" applyProtection="1">
      <alignment horizontal="center"/>
      <protection locked="0" hidden="1"/>
    </xf>
    <xf numFmtId="0" fontId="95" fillId="0" borderId="30" xfId="0" applyFont="1" applyBorder="1" applyAlignment="1" applyProtection="1">
      <alignment horizontal="center" vertical="center" wrapText="1"/>
      <protection locked="0" hidden="1"/>
    </xf>
    <xf numFmtId="0" fontId="59" fillId="0" borderId="0" xfId="0" applyFont="1" applyProtection="1">
      <protection locked="0" hidden="1"/>
    </xf>
    <xf numFmtId="0" fontId="5" fillId="0" borderId="16" xfId="339" applyFont="1" applyBorder="1" applyAlignment="1" applyProtection="1">
      <alignment vertical="top" wrapText="1"/>
      <protection locked="0" hidden="1"/>
    </xf>
    <xf numFmtId="0" fontId="42" fillId="0" borderId="17" xfId="339" applyFont="1" applyBorder="1" applyAlignment="1" applyProtection="1">
      <alignment vertical="top" wrapText="1"/>
      <protection locked="0" hidden="1"/>
    </xf>
    <xf numFmtId="166" fontId="59" fillId="0" borderId="0" xfId="0" applyNumberFormat="1" applyFont="1" applyAlignment="1" applyProtection="1">
      <alignment wrapText="1"/>
      <protection locked="0" hidden="1"/>
    </xf>
    <xf numFmtId="44" fontId="37" fillId="0" borderId="41" xfId="0" applyNumberFormat="1" applyFont="1" applyBorder="1" applyProtection="1">
      <protection locked="0" hidden="1"/>
    </xf>
    <xf numFmtId="169" fontId="70" fillId="0" borderId="17" xfId="1" applyNumberFormat="1" applyFont="1" applyBorder="1" applyAlignment="1" applyProtection="1">
      <alignment horizontal="left" wrapText="1"/>
      <protection locked="0" hidden="1"/>
    </xf>
    <xf numFmtId="169" fontId="71" fillId="0" borderId="17" xfId="1" applyNumberFormat="1" applyFont="1" applyBorder="1" applyAlignment="1" applyProtection="1">
      <alignment horizontal="left" wrapText="1"/>
      <protection locked="0" hidden="1"/>
    </xf>
    <xf numFmtId="169" fontId="71" fillId="0" borderId="17" xfId="1" applyNumberFormat="1" applyFont="1" applyBorder="1" applyAlignment="1" applyProtection="1">
      <alignment horizontal="left" wrapText="1"/>
      <protection hidden="1"/>
    </xf>
    <xf numFmtId="169" fontId="70" fillId="0" borderId="17" xfId="1" applyNumberFormat="1" applyFont="1" applyBorder="1" applyAlignment="1" applyProtection="1">
      <alignment horizontal="left" wrapText="1"/>
      <protection hidden="1"/>
    </xf>
    <xf numFmtId="0" fontId="0" fillId="0" borderId="16" xfId="0" applyBorder="1" applyAlignment="1" applyProtection="1">
      <alignment horizontal="center"/>
      <protection locked="0" hidden="1"/>
    </xf>
    <xf numFmtId="44" fontId="10" fillId="0" borderId="17" xfId="0" applyNumberFormat="1" applyFont="1" applyBorder="1" applyAlignment="1" applyProtection="1">
      <alignment horizontal="center" wrapText="1"/>
      <protection locked="0" hidden="1"/>
    </xf>
    <xf numFmtId="44" fontId="42" fillId="0" borderId="16" xfId="0" applyNumberFormat="1" applyFont="1" applyBorder="1" applyAlignment="1" applyProtection="1">
      <alignment horizontal="center"/>
      <protection hidden="1"/>
    </xf>
    <xf numFmtId="44" fontId="10" fillId="0" borderId="16" xfId="222" applyFont="1" applyFill="1" applyBorder="1" applyAlignment="1" applyProtection="1">
      <alignment horizontal="center"/>
      <protection hidden="1"/>
    </xf>
    <xf numFmtId="44" fontId="42" fillId="0" borderId="17" xfId="0" applyNumberFormat="1" applyFont="1" applyBorder="1" applyAlignment="1" applyProtection="1">
      <alignment horizontal="center"/>
      <protection hidden="1"/>
    </xf>
    <xf numFmtId="44" fontId="10" fillId="0" borderId="17" xfId="222" applyFont="1" applyFill="1" applyBorder="1" applyAlignment="1" applyProtection="1">
      <alignment horizontal="center"/>
      <protection hidden="1"/>
    </xf>
    <xf numFmtId="0" fontId="10" fillId="0" borderId="17" xfId="0" applyFont="1" applyBorder="1" applyAlignment="1" applyProtection="1">
      <alignment horizontal="left" wrapText="1"/>
      <protection locked="0" hidden="1"/>
    </xf>
    <xf numFmtId="0" fontId="122" fillId="0" borderId="0" xfId="274" applyAlignment="1" applyProtection="1">
      <alignment horizontal="center"/>
    </xf>
    <xf numFmtId="0" fontId="100" fillId="25" borderId="30" xfId="0" applyFont="1" applyFill="1" applyBorder="1" applyAlignment="1">
      <alignment vertical="top"/>
    </xf>
    <xf numFmtId="0" fontId="42" fillId="0" borderId="30" xfId="0" applyFont="1" applyBorder="1"/>
    <xf numFmtId="7" fontId="0" fillId="0" borderId="30" xfId="0" applyNumberFormat="1" applyBorder="1" applyAlignment="1">
      <alignment horizontal="right"/>
    </xf>
    <xf numFmtId="0" fontId="122" fillId="0" borderId="0" xfId="274" applyAlignment="1" applyProtection="1"/>
    <xf numFmtId="0" fontId="103" fillId="0" borderId="0" xfId="0" applyFont="1"/>
    <xf numFmtId="0" fontId="104" fillId="0" borderId="0" xfId="0" applyFont="1"/>
    <xf numFmtId="0" fontId="106" fillId="0" borderId="0" xfId="0" applyFont="1" applyProtection="1">
      <protection locked="0" hidden="1"/>
    </xf>
    <xf numFmtId="0" fontId="100" fillId="25" borderId="0" xfId="0" applyFont="1" applyFill="1" applyAlignment="1">
      <alignment vertical="top"/>
    </xf>
    <xf numFmtId="164" fontId="26" fillId="0" borderId="0" xfId="223" applyNumberFormat="1" applyFont="1" applyProtection="1">
      <protection locked="0" hidden="1"/>
    </xf>
    <xf numFmtId="164" fontId="26" fillId="0" borderId="0" xfId="223" applyNumberFormat="1" applyFont="1" applyAlignment="1" applyProtection="1">
      <alignment horizontal="center" vertical="center" wrapText="1"/>
      <protection locked="0" hidden="1"/>
    </xf>
    <xf numFmtId="44" fontId="5" fillId="0" borderId="15" xfId="223" applyFont="1" applyFill="1" applyBorder="1" applyAlignment="1" applyProtection="1">
      <alignment horizontal="right"/>
      <protection locked="0" hidden="1"/>
    </xf>
    <xf numFmtId="0" fontId="42" fillId="0" borderId="36" xfId="326" applyFont="1" applyBorder="1" applyAlignment="1" applyProtection="1">
      <alignment horizontal="center" vertical="top" wrapText="1"/>
      <protection locked="0" hidden="1"/>
    </xf>
    <xf numFmtId="0" fontId="42" fillId="0" borderId="37" xfId="326" applyFont="1" applyBorder="1" applyAlignment="1" applyProtection="1">
      <alignment horizontal="left" vertical="top" wrapText="1"/>
      <protection locked="0" hidden="1"/>
    </xf>
    <xf numFmtId="8" fontId="42" fillId="0" borderId="17" xfId="326" applyNumberFormat="1" applyFont="1" applyBorder="1" applyAlignment="1" applyProtection="1">
      <alignment wrapText="1"/>
      <protection locked="0" hidden="1"/>
    </xf>
    <xf numFmtId="0" fontId="42" fillId="0" borderId="35" xfId="326" applyFont="1" applyBorder="1" applyAlignment="1" applyProtection="1">
      <alignment horizontal="center" vertical="top" wrapText="1"/>
      <protection locked="0" hidden="1"/>
    </xf>
    <xf numFmtId="0" fontId="42" fillId="0" borderId="38" xfId="326" applyFont="1" applyBorder="1" applyAlignment="1" applyProtection="1">
      <alignment horizontal="left" vertical="top" wrapText="1"/>
      <protection locked="0" hidden="1"/>
    </xf>
    <xf numFmtId="8" fontId="42" fillId="0" borderId="39" xfId="326" applyNumberFormat="1" applyFont="1" applyBorder="1" applyAlignment="1" applyProtection="1">
      <alignment wrapText="1"/>
      <protection locked="0" hidden="1"/>
    </xf>
    <xf numFmtId="0" fontId="42" fillId="0" borderId="30" xfId="326" applyFont="1" applyBorder="1" applyAlignment="1" applyProtection="1">
      <alignment horizontal="center" vertical="top" wrapText="1"/>
      <protection locked="0" hidden="1"/>
    </xf>
    <xf numFmtId="164" fontId="5" fillId="0" borderId="0" xfId="223" applyNumberFormat="1" applyAlignment="1" applyProtection="1">
      <alignment horizontal="center"/>
      <protection locked="0" hidden="1"/>
    </xf>
    <xf numFmtId="0" fontId="131" fillId="0" borderId="0" xfId="0" applyFont="1" applyAlignment="1">
      <alignment wrapText="1"/>
    </xf>
    <xf numFmtId="0" fontId="131" fillId="0" borderId="0" xfId="0" applyFont="1" applyAlignment="1">
      <alignment horizontal="center" wrapText="1"/>
    </xf>
    <xf numFmtId="176" fontId="86" fillId="57" borderId="0" xfId="373" applyNumberFormat="1" applyFont="1" applyFill="1" applyBorder="1" applyAlignment="1">
      <alignment horizontal="center" vertical="center" wrapText="1"/>
    </xf>
    <xf numFmtId="176" fontId="86" fillId="57" borderId="0" xfId="373" applyNumberFormat="1" applyFont="1" applyFill="1" applyAlignment="1">
      <alignment horizontal="center" vertical="center" wrapText="1"/>
    </xf>
    <xf numFmtId="176" fontId="86" fillId="0" borderId="0" xfId="373" applyNumberFormat="1" applyFont="1" applyBorder="1" applyAlignment="1">
      <alignment horizontal="center" vertical="center" wrapText="1"/>
    </xf>
    <xf numFmtId="0" fontId="0" fillId="0" borderId="0" xfId="0" applyAlignment="1">
      <alignment wrapText="1"/>
    </xf>
    <xf numFmtId="0" fontId="0" fillId="0" borderId="0" xfId="0" applyAlignment="1">
      <alignment horizontal="center" wrapText="1"/>
    </xf>
    <xf numFmtId="10" fontId="0" fillId="0" borderId="0" xfId="373" applyNumberFormat="1" applyFont="1" applyFill="1" applyAlignment="1">
      <alignment horizontal="center" wrapText="1"/>
    </xf>
    <xf numFmtId="176" fontId="0" fillId="0" borderId="0" xfId="373" applyNumberFormat="1" applyFont="1" applyFill="1" applyAlignment="1">
      <alignment horizontal="center" wrapText="1"/>
    </xf>
    <xf numFmtId="8" fontId="0" fillId="0" borderId="0" xfId="0" applyNumberFormat="1" applyAlignment="1">
      <alignment horizontal="center" wrapText="1"/>
    </xf>
    <xf numFmtId="176" fontId="137" fillId="0" borderId="0" xfId="373" applyNumberFormat="1" applyFont="1" applyFill="1" applyAlignment="1">
      <alignment horizontal="center" vertical="center" wrapText="1"/>
    </xf>
    <xf numFmtId="176" fontId="137" fillId="0" borderId="0" xfId="373" applyNumberFormat="1" applyFont="1" applyAlignment="1">
      <alignment horizontal="center" vertical="center" wrapText="1"/>
    </xf>
    <xf numFmtId="176" fontId="112" fillId="0" borderId="0" xfId="373" applyNumberFormat="1" applyFont="1" applyFill="1" applyAlignment="1">
      <alignment horizontal="center" wrapText="1"/>
    </xf>
    <xf numFmtId="176" fontId="112" fillId="0" borderId="0" xfId="373" applyNumberFormat="1" applyFont="1" applyAlignment="1">
      <alignment horizontal="center" wrapText="1"/>
    </xf>
    <xf numFmtId="176" fontId="137" fillId="0" borderId="0" xfId="373" applyNumberFormat="1" applyFont="1" applyAlignment="1">
      <alignment horizontal="center" wrapText="1"/>
    </xf>
    <xf numFmtId="176" fontId="0" fillId="0" borderId="0" xfId="373" applyNumberFormat="1" applyFont="1" applyAlignment="1">
      <alignment horizontal="center" wrapText="1"/>
    </xf>
    <xf numFmtId="176" fontId="86" fillId="57" borderId="2" xfId="373" applyNumberFormat="1" applyFont="1" applyFill="1" applyBorder="1" applyAlignment="1">
      <alignment horizontal="center" vertical="center" wrapText="1"/>
    </xf>
    <xf numFmtId="176" fontId="86" fillId="0" borderId="2" xfId="373" applyNumberFormat="1" applyFont="1" applyFill="1" applyBorder="1" applyAlignment="1">
      <alignment horizontal="center" vertical="center" wrapText="1"/>
    </xf>
    <xf numFmtId="176" fontId="86" fillId="0" borderId="0" xfId="373" applyNumberFormat="1" applyFont="1" applyFill="1" applyBorder="1" applyAlignment="1">
      <alignment horizontal="center" vertical="center" wrapText="1"/>
    </xf>
    <xf numFmtId="49" fontId="42" fillId="0" borderId="16" xfId="222" applyNumberFormat="1" applyFont="1" applyFill="1" applyBorder="1" applyAlignment="1" applyProtection="1">
      <alignment horizontal="center" vertical="center"/>
      <protection locked="0" hidden="1"/>
    </xf>
    <xf numFmtId="49" fontId="47" fillId="0" borderId="16" xfId="0" applyNumberFormat="1" applyFont="1" applyBorder="1" applyAlignment="1" applyProtection="1">
      <alignment horizontal="center"/>
      <protection locked="0" hidden="1"/>
    </xf>
    <xf numFmtId="0" fontId="47" fillId="0" borderId="16" xfId="0" applyFont="1" applyBorder="1" applyAlignment="1" applyProtection="1">
      <alignment wrapText="1"/>
      <protection locked="0" hidden="1"/>
    </xf>
    <xf numFmtId="44" fontId="47" fillId="0" borderId="16" xfId="0" applyNumberFormat="1" applyFont="1" applyBorder="1" applyProtection="1">
      <protection locked="0" hidden="1"/>
    </xf>
    <xf numFmtId="0" fontId="5" fillId="0" borderId="16" xfId="378" applyFont="1" applyBorder="1" applyAlignment="1" applyProtection="1">
      <alignment horizontal="left"/>
      <protection locked="0" hidden="1"/>
    </xf>
    <xf numFmtId="0" fontId="5" fillId="0" borderId="16" xfId="378" applyFont="1" applyBorder="1" applyAlignment="1" applyProtection="1">
      <alignment wrapText="1"/>
      <protection locked="0" hidden="1"/>
    </xf>
    <xf numFmtId="44" fontId="5" fillId="0" borderId="16" xfId="350" applyNumberFormat="1" applyBorder="1" applyProtection="1">
      <protection locked="0" hidden="1"/>
    </xf>
    <xf numFmtId="164" fontId="26" fillId="0" borderId="0" xfId="222" applyNumberFormat="1" applyFont="1" applyAlignment="1" applyProtection="1">
      <alignment vertical="center" wrapText="1"/>
      <protection locked="0" hidden="1"/>
    </xf>
    <xf numFmtId="0" fontId="5" fillId="58" borderId="0" xfId="0" applyFont="1" applyFill="1" applyProtection="1">
      <protection locked="0" hidden="1"/>
    </xf>
    <xf numFmtId="0" fontId="5" fillId="58" borderId="27" xfId="0" applyFont="1" applyFill="1" applyBorder="1" applyProtection="1">
      <protection locked="0" hidden="1"/>
    </xf>
    <xf numFmtId="0" fontId="26" fillId="58" borderId="22" xfId="0" applyFont="1" applyFill="1" applyBorder="1" applyProtection="1">
      <protection locked="0" hidden="1"/>
    </xf>
    <xf numFmtId="0" fontId="0" fillId="58" borderId="22" xfId="0" applyFill="1" applyBorder="1" applyProtection="1">
      <protection locked="0" hidden="1"/>
    </xf>
    <xf numFmtId="49" fontId="42" fillId="0" borderId="34" xfId="351" applyNumberFormat="1" applyFont="1" applyBorder="1" applyAlignment="1" applyProtection="1">
      <alignment horizontal="center" vertical="top" wrapText="1"/>
      <protection locked="0" hidden="1"/>
    </xf>
    <xf numFmtId="49" fontId="5" fillId="0" borderId="32" xfId="303" applyNumberFormat="1" applyBorder="1" applyAlignment="1" applyProtection="1">
      <alignment horizontal="center"/>
      <protection locked="0" hidden="1"/>
    </xf>
    <xf numFmtId="1" fontId="42" fillId="0" borderId="17" xfId="351" applyNumberFormat="1" applyFont="1" applyBorder="1" applyAlignment="1" applyProtection="1">
      <alignment horizontal="center" vertical="top" wrapText="1"/>
      <protection locked="0" hidden="1"/>
    </xf>
    <xf numFmtId="49" fontId="5" fillId="0" borderId="32" xfId="303" applyNumberFormat="1" applyBorder="1" applyAlignment="1" applyProtection="1">
      <alignment horizontal="left"/>
      <protection locked="0" hidden="1"/>
    </xf>
    <xf numFmtId="0" fontId="42" fillId="0" borderId="17" xfId="351" applyFont="1" applyBorder="1" applyAlignment="1" applyProtection="1">
      <alignment vertical="top" wrapText="1"/>
      <protection locked="0" hidden="1"/>
    </xf>
    <xf numFmtId="44" fontId="5" fillId="0" borderId="32" xfId="303" applyNumberFormat="1" applyBorder="1" applyProtection="1">
      <protection locked="0" hidden="1"/>
    </xf>
    <xf numFmtId="44" fontId="42" fillId="0" borderId="17" xfId="351" applyNumberFormat="1" applyFont="1" applyBorder="1" applyProtection="1">
      <protection locked="0" hidden="1"/>
    </xf>
    <xf numFmtId="172" fontId="0" fillId="0" borderId="0" xfId="0" applyNumberFormat="1" applyProtection="1">
      <protection locked="0" hidden="1"/>
    </xf>
    <xf numFmtId="172" fontId="0" fillId="0" borderId="0" xfId="0" applyNumberFormat="1" applyProtection="1">
      <protection hidden="1"/>
    </xf>
    <xf numFmtId="172" fontId="0" fillId="0" borderId="0" xfId="0" applyNumberFormat="1" applyAlignment="1" applyProtection="1">
      <alignment horizontal="center"/>
      <protection hidden="1"/>
    </xf>
    <xf numFmtId="166" fontId="0" fillId="0" borderId="0" xfId="0" applyNumberFormat="1" applyProtection="1">
      <protection locked="0" hidden="1"/>
    </xf>
    <xf numFmtId="44" fontId="32" fillId="0" borderId="0" xfId="0" applyNumberFormat="1" applyFont="1" applyProtection="1">
      <protection locked="0" hidden="1"/>
    </xf>
    <xf numFmtId="49" fontId="70" fillId="0" borderId="16" xfId="222" applyNumberFormat="1" applyFont="1" applyFill="1" applyBorder="1" applyAlignment="1" applyProtection="1">
      <alignment horizontal="center" vertical="center"/>
      <protection locked="0" hidden="1"/>
    </xf>
    <xf numFmtId="0" fontId="70" fillId="0" borderId="16" xfId="0" applyFont="1" applyBorder="1" applyAlignment="1" applyProtection="1">
      <alignment horizontal="center" vertical="top" wrapText="1"/>
      <protection locked="0" hidden="1"/>
    </xf>
    <xf numFmtId="169" fontId="70" fillId="0" borderId="16" xfId="1" applyNumberFormat="1" applyFont="1" applyBorder="1" applyAlignment="1" applyProtection="1">
      <alignment horizontal="left"/>
      <protection locked="0" hidden="1"/>
    </xf>
    <xf numFmtId="44" fontId="70" fillId="0" borderId="16" xfId="0" applyNumberFormat="1" applyFont="1" applyBorder="1" applyAlignment="1" applyProtection="1">
      <alignment wrapText="1"/>
      <protection locked="0" hidden="1"/>
    </xf>
    <xf numFmtId="44" fontId="70" fillId="0" borderId="16" xfId="352" applyNumberFormat="1" applyFont="1" applyBorder="1" applyAlignment="1" applyProtection="1">
      <alignment horizontal="right"/>
      <protection hidden="1"/>
    </xf>
    <xf numFmtId="0" fontId="60" fillId="0" borderId="22" xfId="0" applyFont="1" applyBorder="1" applyAlignment="1" applyProtection="1">
      <alignment horizontal="left"/>
      <protection locked="0" hidden="1"/>
    </xf>
    <xf numFmtId="166" fontId="60" fillId="0" borderId="22" xfId="0" applyNumberFormat="1" applyFont="1" applyBorder="1" applyAlignment="1" applyProtection="1">
      <alignment horizontal="left"/>
      <protection locked="0" hidden="1"/>
    </xf>
    <xf numFmtId="44" fontId="58" fillId="0" borderId="0" xfId="0" applyNumberFormat="1" applyFont="1" applyAlignment="1" applyProtection="1">
      <alignment vertical="center"/>
      <protection locked="0" hidden="1"/>
    </xf>
    <xf numFmtId="0" fontId="60" fillId="0" borderId="0" xfId="0" applyFont="1" applyAlignment="1" applyProtection="1">
      <alignment horizontal="center" vertical="center"/>
      <protection locked="0" hidden="1"/>
    </xf>
    <xf numFmtId="169" fontId="70" fillId="0" borderId="16" xfId="1" applyNumberFormat="1" applyFont="1" applyBorder="1" applyAlignment="1" applyProtection="1">
      <alignment horizontal="left" wrapText="1"/>
      <protection locked="0" hidden="1"/>
    </xf>
    <xf numFmtId="44" fontId="70" fillId="0" borderId="16" xfId="352" applyNumberFormat="1" applyFont="1" applyBorder="1" applyAlignment="1" applyProtection="1">
      <alignment horizontal="right"/>
      <protection locked="0" hidden="1"/>
    </xf>
    <xf numFmtId="49" fontId="72" fillId="0" borderId="16" xfId="344" applyNumberFormat="1" applyFont="1" applyBorder="1" applyAlignment="1" applyProtection="1">
      <alignment horizontal="center"/>
      <protection locked="0" hidden="1"/>
    </xf>
    <xf numFmtId="37" fontId="60" fillId="0" borderId="16" xfId="344" applyFont="1" applyBorder="1" applyAlignment="1" applyProtection="1">
      <alignment wrapText="1"/>
      <protection locked="0" hidden="1"/>
    </xf>
    <xf numFmtId="44" fontId="72" fillId="0" borderId="16" xfId="344" applyNumberFormat="1" applyFont="1" applyBorder="1" applyProtection="1">
      <protection locked="0" hidden="1"/>
    </xf>
    <xf numFmtId="0" fontId="68" fillId="24" borderId="16" xfId="0" applyFont="1" applyFill="1" applyBorder="1" applyAlignment="1" applyProtection="1">
      <alignment horizontal="center"/>
      <protection locked="0" hidden="1"/>
    </xf>
    <xf numFmtId="49" fontId="97" fillId="0" borderId="16" xfId="222" applyNumberFormat="1" applyFont="1" applyFill="1" applyBorder="1" applyAlignment="1" applyProtection="1">
      <alignment horizontal="center" vertical="center"/>
      <protection locked="0" hidden="1"/>
    </xf>
    <xf numFmtId="49" fontId="68" fillId="0" borderId="16" xfId="344" applyNumberFormat="1" applyFont="1" applyBorder="1" applyAlignment="1" applyProtection="1">
      <alignment horizontal="center"/>
      <protection locked="0" hidden="1"/>
    </xf>
    <xf numFmtId="37" fontId="68" fillId="0" borderId="16" xfId="344" applyFont="1" applyBorder="1" applyAlignment="1" applyProtection="1">
      <alignment wrapText="1"/>
      <protection locked="0" hidden="1"/>
    </xf>
    <xf numFmtId="44" fontId="68" fillId="0" borderId="16" xfId="344" applyNumberFormat="1" applyFont="1" applyBorder="1" applyProtection="1">
      <protection locked="0" hidden="1"/>
    </xf>
    <xf numFmtId="44" fontId="97" fillId="0" borderId="16" xfId="352" applyNumberFormat="1" applyFont="1" applyBorder="1" applyAlignment="1" applyProtection="1">
      <alignment horizontal="right"/>
      <protection hidden="1"/>
    </xf>
    <xf numFmtId="49" fontId="5" fillId="0" borderId="34" xfId="351" applyNumberFormat="1" applyFont="1" applyBorder="1" applyAlignment="1" applyProtection="1">
      <alignment horizontal="center" vertical="top" wrapText="1"/>
      <protection locked="0" hidden="1"/>
    </xf>
    <xf numFmtId="0" fontId="5" fillId="0" borderId="34" xfId="351" applyFont="1" applyBorder="1" applyAlignment="1" applyProtection="1">
      <alignment vertical="top" wrapText="1"/>
      <protection locked="0" hidden="1"/>
    </xf>
    <xf numFmtId="44" fontId="5" fillId="0" borderId="34" xfId="351" applyNumberFormat="1" applyFont="1" applyBorder="1" applyProtection="1">
      <protection locked="0" hidden="1"/>
    </xf>
    <xf numFmtId="44" fontId="5" fillId="0" borderId="17" xfId="303" applyNumberFormat="1" applyBorder="1" applyProtection="1">
      <protection locked="0" hidden="1"/>
    </xf>
    <xf numFmtId="44" fontId="5" fillId="0" borderId="16" xfId="303" applyNumberFormat="1" applyBorder="1" applyAlignment="1" applyProtection="1">
      <alignment horizontal="right"/>
      <protection locked="0" hidden="1"/>
    </xf>
    <xf numFmtId="0" fontId="5" fillId="0" borderId="17" xfId="326" applyFont="1" applyBorder="1" applyAlignment="1" applyProtection="1">
      <alignment horizontal="center" vertical="top" wrapText="1"/>
      <protection locked="0" hidden="1"/>
    </xf>
    <xf numFmtId="0" fontId="5" fillId="0" borderId="30" xfId="326" applyFont="1" applyBorder="1" applyAlignment="1" applyProtection="1">
      <alignment horizontal="center" vertical="top" wrapText="1"/>
      <protection locked="0" hidden="1"/>
    </xf>
    <xf numFmtId="0" fontId="5" fillId="0" borderId="17" xfId="326" applyFont="1" applyBorder="1" applyAlignment="1" applyProtection="1">
      <alignment horizontal="left" vertical="top" wrapText="1"/>
      <protection locked="0" hidden="1"/>
    </xf>
    <xf numFmtId="3" fontId="26" fillId="0" borderId="0" xfId="378" applyNumberFormat="1" applyFont="1" applyAlignment="1" applyProtection="1">
      <alignment horizontal="left" wrapText="1"/>
      <protection locked="0" hidden="1"/>
    </xf>
    <xf numFmtId="0" fontId="5" fillId="0" borderId="32" xfId="350" applyNumberFormat="1" applyBorder="1" applyAlignment="1" applyProtection="1">
      <alignment horizontal="center" wrapText="1"/>
      <protection locked="0" hidden="1"/>
    </xf>
    <xf numFmtId="0" fontId="5" fillId="0" borderId="16" xfId="0" applyFont="1" applyBorder="1" applyAlignment="1" applyProtection="1">
      <alignment horizontal="center"/>
      <protection locked="0" hidden="1"/>
    </xf>
    <xf numFmtId="0" fontId="5" fillId="0" borderId="16" xfId="0" applyFont="1" applyBorder="1" applyAlignment="1" applyProtection="1">
      <alignment wrapText="1"/>
      <protection locked="0" hidden="1"/>
    </xf>
    <xf numFmtId="44" fontId="42" fillId="0" borderId="16" xfId="1" applyNumberFormat="1" applyFont="1" applyBorder="1" applyProtection="1">
      <protection locked="0" hidden="1"/>
    </xf>
    <xf numFmtId="0" fontId="42" fillId="0" borderId="35" xfId="0" applyFont="1" applyBorder="1" applyAlignment="1">
      <alignment horizontal="center"/>
    </xf>
    <xf numFmtId="0" fontId="5" fillId="0" borderId="30" xfId="338" applyFont="1" applyBorder="1" applyAlignment="1" applyProtection="1">
      <alignment horizontal="center"/>
      <protection locked="0" hidden="1"/>
    </xf>
    <xf numFmtId="0" fontId="42" fillId="0" borderId="36" xfId="0" applyFont="1" applyBorder="1" applyAlignment="1">
      <alignment horizontal="center"/>
    </xf>
    <xf numFmtId="0" fontId="134" fillId="0" borderId="30" xfId="0" applyFont="1" applyBorder="1" applyAlignment="1" applyProtection="1">
      <alignment wrapText="1"/>
      <protection locked="0" hidden="1"/>
    </xf>
    <xf numFmtId="1" fontId="134" fillId="0" borderId="17" xfId="1" applyNumberFormat="1" applyFont="1" applyBorder="1" applyAlignment="1" applyProtection="1">
      <alignment horizontal="center"/>
      <protection locked="0" hidden="1"/>
    </xf>
    <xf numFmtId="0" fontId="134" fillId="0" borderId="16" xfId="303" applyFont="1" applyBorder="1" applyAlignment="1" applyProtection="1">
      <alignment horizontal="center"/>
      <protection locked="0" hidden="1"/>
    </xf>
    <xf numFmtId="0" fontId="134" fillId="0" borderId="16" xfId="303" applyFont="1" applyBorder="1" applyAlignment="1" applyProtection="1">
      <alignment wrapText="1"/>
      <protection locked="0" hidden="1"/>
    </xf>
    <xf numFmtId="1" fontId="134" fillId="0" borderId="17" xfId="303" applyNumberFormat="1" applyFont="1" applyBorder="1" applyAlignment="1" applyProtection="1">
      <alignment horizontal="center"/>
      <protection locked="0" hidden="1"/>
    </xf>
    <xf numFmtId="0" fontId="64" fillId="0" borderId="17" xfId="0" applyFont="1" applyBorder="1" applyAlignment="1" applyProtection="1">
      <alignment vertical="center" wrapText="1"/>
      <protection locked="0" hidden="1"/>
    </xf>
    <xf numFmtId="0" fontId="50" fillId="24" borderId="21" xfId="378" applyFont="1" applyFill="1" applyBorder="1" applyAlignment="1" applyProtection="1">
      <alignment horizontal="left"/>
      <protection locked="0" hidden="1"/>
    </xf>
    <xf numFmtId="44" fontId="64" fillId="0" borderId="17" xfId="225" applyFont="1" applyFill="1" applyBorder="1" applyAlignment="1" applyProtection="1">
      <alignment horizontal="center" vertical="center"/>
      <protection hidden="1"/>
    </xf>
    <xf numFmtId="44" fontId="10" fillId="0" borderId="17" xfId="0" applyNumberFormat="1" applyFont="1" applyBorder="1" applyAlignment="1" applyProtection="1">
      <alignment horizontal="right" wrapText="1"/>
      <protection locked="0" hidden="1"/>
    </xf>
    <xf numFmtId="44" fontId="26" fillId="0" borderId="0" xfId="0" applyNumberFormat="1" applyFont="1" applyAlignment="1" applyProtection="1">
      <alignment horizontal="center" vertical="center" wrapText="1"/>
      <protection locked="0" hidden="1"/>
    </xf>
    <xf numFmtId="0" fontId="26" fillId="0" borderId="26" xfId="303" applyFont="1" applyBorder="1" applyProtection="1">
      <protection locked="0" hidden="1"/>
    </xf>
    <xf numFmtId="44" fontId="32" fillId="0" borderId="0" xfId="303" applyNumberFormat="1" applyFont="1" applyAlignment="1" applyProtection="1">
      <alignment horizontal="center"/>
      <protection locked="0" hidden="1"/>
    </xf>
    <xf numFmtId="0" fontId="33" fillId="0" borderId="0" xfId="303" applyFont="1" applyAlignment="1" applyProtection="1">
      <alignment vertical="top" wrapText="1"/>
      <protection locked="0" hidden="1"/>
    </xf>
    <xf numFmtId="0" fontId="76" fillId="0" borderId="17" xfId="341" applyFont="1" applyBorder="1" applyAlignment="1" applyProtection="1">
      <alignment horizontal="center" vertical="center" wrapText="1"/>
      <protection locked="0" hidden="1"/>
    </xf>
    <xf numFmtId="44" fontId="34" fillId="0" borderId="17" xfId="223" applyFont="1" applyFill="1" applyBorder="1" applyAlignment="1" applyProtection="1">
      <alignment vertical="center"/>
      <protection hidden="1"/>
    </xf>
    <xf numFmtId="0" fontId="42" fillId="0" borderId="17" xfId="223" applyNumberFormat="1" applyFont="1" applyFill="1" applyBorder="1" applyAlignment="1" applyProtection="1">
      <alignment horizontal="center"/>
      <protection locked="0" hidden="1"/>
    </xf>
    <xf numFmtId="44" fontId="5" fillId="0" borderId="17" xfId="378" applyNumberFormat="1" applyFont="1" applyBorder="1" applyAlignment="1" applyProtection="1">
      <alignment horizontal="left"/>
      <protection locked="0" hidden="1"/>
    </xf>
    <xf numFmtId="44" fontId="5" fillId="0" borderId="17" xfId="223" applyFont="1" applyFill="1" applyBorder="1" applyAlignment="1" applyProtection="1">
      <alignment horizontal="center" vertical="center"/>
      <protection locked="0" hidden="1"/>
    </xf>
    <xf numFmtId="44" fontId="34" fillId="0" borderId="18" xfId="223" applyFont="1" applyFill="1" applyBorder="1" applyAlignment="1" applyProtection="1">
      <alignment horizontal="center" vertical="center"/>
      <protection locked="0" hidden="1"/>
    </xf>
    <xf numFmtId="44" fontId="34" fillId="0" borderId="19" xfId="223" applyFont="1" applyFill="1" applyBorder="1" applyAlignment="1" applyProtection="1">
      <alignment horizontal="center" vertical="center"/>
      <protection locked="0" hidden="1"/>
    </xf>
    <xf numFmtId="0" fontId="42" fillId="0" borderId="17" xfId="303" applyFont="1" applyBorder="1" applyAlignment="1" applyProtection="1">
      <alignment horizontal="justify" vertical="top" wrapText="1"/>
      <protection locked="0" hidden="1"/>
    </xf>
    <xf numFmtId="0" fontId="42" fillId="0" borderId="17" xfId="303" applyFont="1" applyBorder="1" applyAlignment="1" applyProtection="1">
      <alignment horizontal="left" vertical="top" wrapText="1"/>
      <protection locked="0" hidden="1"/>
    </xf>
    <xf numFmtId="44" fontId="42" fillId="0" borderId="17" xfId="303" applyNumberFormat="1" applyFont="1" applyBorder="1" applyAlignment="1" applyProtection="1">
      <alignment wrapText="1"/>
      <protection locked="0" hidden="1"/>
    </xf>
    <xf numFmtId="0" fontId="26" fillId="0" borderId="0" xfId="303" applyFont="1" applyAlignment="1" applyProtection="1">
      <alignment horizontal="center"/>
      <protection locked="0" hidden="1"/>
    </xf>
    <xf numFmtId="44" fontId="36" fillId="0" borderId="0" xfId="303" applyNumberFormat="1" applyFont="1" applyAlignment="1" applyProtection="1">
      <alignment horizontal="center"/>
      <protection hidden="1"/>
    </xf>
    <xf numFmtId="0" fontId="53" fillId="23" borderId="0" xfId="303" applyFont="1" applyFill="1" applyProtection="1">
      <protection locked="0" hidden="1"/>
    </xf>
    <xf numFmtId="0" fontId="5" fillId="23" borderId="0" xfId="303" applyFill="1" applyProtection="1">
      <protection locked="0" hidden="1"/>
    </xf>
    <xf numFmtId="164" fontId="5" fillId="0" borderId="0" xfId="223" applyNumberFormat="1" applyAlignment="1" applyProtection="1">
      <protection locked="0" hidden="1"/>
    </xf>
    <xf numFmtId="0" fontId="26" fillId="0" borderId="0" xfId="303" applyFont="1" applyAlignment="1" applyProtection="1">
      <alignment horizontal="center" vertical="center"/>
      <protection locked="0" hidden="1"/>
    </xf>
    <xf numFmtId="8" fontId="26" fillId="0" borderId="0" xfId="0" applyNumberFormat="1" applyFont="1" applyAlignment="1" applyProtection="1">
      <alignment horizontal="center" vertical="center" wrapText="1"/>
      <protection locked="0" hidden="1"/>
    </xf>
    <xf numFmtId="44" fontId="5" fillId="0" borderId="0" xfId="303" applyNumberFormat="1" applyAlignment="1" applyProtection="1">
      <alignment horizontal="center" wrapText="1"/>
      <protection locked="0" hidden="1"/>
    </xf>
    <xf numFmtId="0" fontId="5" fillId="0" borderId="17" xfId="223" applyNumberFormat="1" applyFont="1" applyFill="1" applyBorder="1" applyAlignment="1" applyProtection="1">
      <alignment horizontal="right"/>
      <protection locked="0" hidden="1"/>
    </xf>
    <xf numFmtId="44" fontId="10" fillId="0" borderId="0" xfId="0" applyNumberFormat="1" applyFont="1" applyAlignment="1" applyProtection="1">
      <alignment horizontal="center" wrapText="1"/>
      <protection locked="0" hidden="1"/>
    </xf>
    <xf numFmtId="44" fontId="60" fillId="0" borderId="0" xfId="0" applyNumberFormat="1" applyFont="1" applyAlignment="1" applyProtection="1">
      <alignment horizontal="center"/>
      <protection locked="0" hidden="1"/>
    </xf>
    <xf numFmtId="44" fontId="34" fillId="0" borderId="0" xfId="378" applyNumberFormat="1" applyFont="1" applyAlignment="1" applyProtection="1">
      <alignment horizontal="center" vertical="center" wrapText="1"/>
      <protection locked="0" hidden="1"/>
    </xf>
    <xf numFmtId="44" fontId="32" fillId="0" borderId="0" xfId="378" applyNumberFormat="1" applyFont="1" applyProtection="1">
      <protection locked="0" hidden="1"/>
    </xf>
    <xf numFmtId="44" fontId="98" fillId="0" borderId="0" xfId="378" applyNumberFormat="1" applyFont="1" applyProtection="1">
      <protection locked="0" hidden="1"/>
    </xf>
    <xf numFmtId="44" fontId="5" fillId="0" borderId="0" xfId="348" applyNumberFormat="1" applyProtection="1">
      <protection locked="0" hidden="1"/>
    </xf>
    <xf numFmtId="1" fontId="10" fillId="0" borderId="17" xfId="346" applyNumberFormat="1" applyFont="1" applyBorder="1" applyAlignment="1" applyProtection="1">
      <alignment horizontal="center"/>
      <protection locked="0" hidden="1"/>
    </xf>
    <xf numFmtId="1" fontId="49" fillId="0" borderId="17" xfId="1" applyNumberFormat="1" applyFont="1" applyBorder="1" applyAlignment="1" applyProtection="1">
      <alignment horizontal="center"/>
      <protection locked="0" hidden="1"/>
    </xf>
    <xf numFmtId="1" fontId="5" fillId="0" borderId="17" xfId="346" applyNumberFormat="1" applyBorder="1" applyAlignment="1" applyProtection="1">
      <alignment horizontal="center"/>
      <protection locked="0" hidden="1"/>
    </xf>
    <xf numFmtId="1" fontId="5" fillId="0" borderId="16" xfId="0" applyNumberFormat="1" applyFont="1" applyBorder="1" applyAlignment="1" applyProtection="1">
      <alignment horizontal="center"/>
      <protection locked="0" hidden="1"/>
    </xf>
    <xf numFmtId="44" fontId="5" fillId="0" borderId="16" xfId="1" applyNumberFormat="1" applyFont="1" applyBorder="1" applyProtection="1">
      <protection locked="0" hidden="1"/>
    </xf>
    <xf numFmtId="166" fontId="95" fillId="0" borderId="0" xfId="0" applyNumberFormat="1" applyFont="1" applyAlignment="1">
      <alignment horizontal="center" vertical="center"/>
    </xf>
    <xf numFmtId="49" fontId="60" fillId="0" borderId="17" xfId="344" applyNumberFormat="1" applyFont="1" applyBorder="1" applyAlignment="1" applyProtection="1">
      <alignment horizontal="center"/>
      <protection locked="0" hidden="1"/>
    </xf>
    <xf numFmtId="8" fontId="72" fillId="0" borderId="17" xfId="344" applyNumberFormat="1" applyFont="1" applyBorder="1" applyProtection="1">
      <protection locked="0" hidden="1"/>
    </xf>
    <xf numFmtId="49" fontId="60" fillId="0" borderId="17" xfId="344" applyNumberFormat="1" applyFont="1" applyBorder="1" applyAlignment="1" applyProtection="1">
      <alignment wrapText="1"/>
      <protection locked="0" hidden="1"/>
    </xf>
    <xf numFmtId="49" fontId="60" fillId="0" borderId="16" xfId="344" applyNumberFormat="1" applyFont="1" applyBorder="1" applyAlignment="1" applyProtection="1">
      <alignment horizontal="center"/>
      <protection hidden="1"/>
    </xf>
    <xf numFmtId="8" fontId="72" fillId="0" borderId="16" xfId="344" applyNumberFormat="1" applyFont="1" applyBorder="1" applyProtection="1">
      <protection locked="0" hidden="1"/>
    </xf>
    <xf numFmtId="44" fontId="68" fillId="0" borderId="0" xfId="0" applyNumberFormat="1" applyFont="1" applyAlignment="1" applyProtection="1">
      <alignment horizontal="center"/>
      <protection locked="0" hidden="1"/>
    </xf>
    <xf numFmtId="44" fontId="34" fillId="0" borderId="15" xfId="223" applyFont="1" applyFill="1" applyBorder="1" applyAlignment="1" applyProtection="1">
      <alignment horizontal="center" vertical="center"/>
      <protection hidden="1"/>
    </xf>
    <xf numFmtId="0" fontId="5" fillId="0" borderId="18" xfId="303" applyBorder="1" applyProtection="1">
      <protection locked="0" hidden="1"/>
    </xf>
    <xf numFmtId="0" fontId="5" fillId="0" borderId="18" xfId="303" applyBorder="1" applyProtection="1">
      <protection hidden="1"/>
    </xf>
    <xf numFmtId="0" fontId="5" fillId="0" borderId="19" xfId="303" applyBorder="1" applyProtection="1">
      <protection hidden="1"/>
    </xf>
    <xf numFmtId="44" fontId="34" fillId="0" borderId="15" xfId="223" applyFont="1" applyFill="1" applyBorder="1" applyAlignment="1" applyProtection="1">
      <alignment horizontal="center" vertical="center"/>
      <protection locked="0" hidden="1"/>
    </xf>
    <xf numFmtId="0" fontId="5" fillId="0" borderId="16" xfId="303" applyBorder="1" applyAlignment="1" applyProtection="1">
      <alignment horizontal="center" vertical="center"/>
      <protection locked="0" hidden="1"/>
    </xf>
    <xf numFmtId="0" fontId="5" fillId="0" borderId="27" xfId="303" applyBorder="1" applyProtection="1">
      <protection locked="0" hidden="1"/>
    </xf>
    <xf numFmtId="0" fontId="5" fillId="0" borderId="28" xfId="303" applyBorder="1" applyProtection="1">
      <protection locked="0" hidden="1"/>
    </xf>
    <xf numFmtId="0" fontId="5" fillId="0" borderId="19" xfId="303" applyBorder="1" applyAlignment="1" applyProtection="1">
      <alignment horizontal="center"/>
      <protection locked="0" hidden="1"/>
    </xf>
    <xf numFmtId="0" fontId="5" fillId="0" borderId="18" xfId="303" applyBorder="1" applyAlignment="1" applyProtection="1">
      <alignment horizontal="center"/>
      <protection locked="0" hidden="1"/>
    </xf>
    <xf numFmtId="0" fontId="5" fillId="0" borderId="19" xfId="303" applyBorder="1" applyProtection="1">
      <protection locked="0" hidden="1"/>
    </xf>
    <xf numFmtId="0" fontId="25" fillId="0" borderId="0" xfId="303" applyFont="1" applyAlignment="1" applyProtection="1">
      <alignment horizontal="right" wrapText="1"/>
      <protection locked="0" hidden="1"/>
    </xf>
    <xf numFmtId="0" fontId="26" fillId="0" borderId="0" xfId="303" applyFont="1" applyAlignment="1" applyProtection="1">
      <alignment horizontal="left" wrapText="1"/>
      <protection locked="0" hidden="1"/>
    </xf>
    <xf numFmtId="0" fontId="5" fillId="0" borderId="0" xfId="303" applyAlignment="1" applyProtection="1">
      <alignment horizontal="left"/>
      <protection locked="0" hidden="1"/>
    </xf>
    <xf numFmtId="0" fontId="34" fillId="0" borderId="15" xfId="303" applyFont="1" applyBorder="1" applyAlignment="1" applyProtection="1">
      <alignment horizontal="center" vertical="center"/>
      <protection locked="0" hidden="1"/>
    </xf>
    <xf numFmtId="0" fontId="5" fillId="0" borderId="22" xfId="303" applyBorder="1" applyProtection="1">
      <protection locked="0" hidden="1"/>
    </xf>
    <xf numFmtId="0" fontId="34" fillId="0" borderId="0" xfId="303" applyFont="1" applyAlignment="1">
      <alignment horizontal="center"/>
    </xf>
    <xf numFmtId="0" fontId="25" fillId="0" borderId="26" xfId="303" applyFont="1" applyBorder="1" applyAlignment="1" applyProtection="1">
      <alignment wrapText="1"/>
      <protection locked="0" hidden="1"/>
    </xf>
    <xf numFmtId="0" fontId="25" fillId="0" borderId="26" xfId="303" applyFont="1" applyBorder="1" applyProtection="1">
      <protection locked="0" hidden="1"/>
    </xf>
    <xf numFmtId="44" fontId="25" fillId="0" borderId="26" xfId="303" applyNumberFormat="1" applyFont="1" applyBorder="1" applyProtection="1">
      <protection locked="0" hidden="1"/>
    </xf>
    <xf numFmtId="3" fontId="26" fillId="0" borderId="0" xfId="303" applyNumberFormat="1" applyFont="1" applyAlignment="1" applyProtection="1">
      <alignment horizontal="left"/>
      <protection locked="0" hidden="1"/>
    </xf>
    <xf numFmtId="0" fontId="34" fillId="0" borderId="0" xfId="303" applyFont="1" applyAlignment="1" applyProtection="1">
      <alignment horizontal="center"/>
      <protection locked="0" hidden="1"/>
    </xf>
    <xf numFmtId="164" fontId="26" fillId="0" borderId="0" xfId="223" applyNumberFormat="1" applyFont="1" applyFill="1" applyAlignment="1" applyProtection="1">
      <alignment horizontal="center" vertical="center" wrapText="1"/>
      <protection locked="0" hidden="1"/>
    </xf>
    <xf numFmtId="0" fontId="34" fillId="0" borderId="15" xfId="303" applyFont="1" applyBorder="1" applyAlignment="1" applyProtection="1">
      <alignment horizontal="left" vertical="center" wrapText="1"/>
      <protection locked="0" hidden="1"/>
    </xf>
    <xf numFmtId="44" fontId="34" fillId="0" borderId="15" xfId="303" applyNumberFormat="1" applyFont="1" applyBorder="1" applyAlignment="1" applyProtection="1">
      <alignment horizontal="center" vertical="center" wrapText="1"/>
      <protection locked="0" hidden="1"/>
    </xf>
    <xf numFmtId="4" fontId="25" fillId="0" borderId="0" xfId="303" applyNumberFormat="1" applyFont="1" applyAlignment="1" applyProtection="1">
      <alignment horizontal="center"/>
      <protection locked="0" hidden="1"/>
    </xf>
    <xf numFmtId="0" fontId="5" fillId="0" borderId="17" xfId="303" applyBorder="1" applyAlignment="1" applyProtection="1">
      <alignment horizontal="left"/>
      <protection locked="0" hidden="1"/>
    </xf>
    <xf numFmtId="0" fontId="5" fillId="0" borderId="20" xfId="303" applyBorder="1" applyAlignment="1" applyProtection="1">
      <alignment horizontal="center" vertical="center"/>
      <protection locked="0" hidden="1"/>
    </xf>
    <xf numFmtId="44" fontId="5" fillId="0" borderId="18" xfId="303" applyNumberFormat="1" applyBorder="1" applyProtection="1">
      <protection locked="0" hidden="1"/>
    </xf>
    <xf numFmtId="0" fontId="5" fillId="0" borderId="30" xfId="303" applyBorder="1" applyAlignment="1" applyProtection="1">
      <alignment horizontal="center"/>
      <protection locked="0" hidden="1"/>
    </xf>
    <xf numFmtId="44" fontId="5" fillId="0" borderId="17" xfId="223" applyFont="1" applyFill="1" applyBorder="1" applyAlignment="1" applyProtection="1">
      <protection locked="0" hidden="1"/>
    </xf>
    <xf numFmtId="44" fontId="5" fillId="0" borderId="16" xfId="223" applyFont="1" applyFill="1" applyBorder="1" applyAlignment="1" applyProtection="1">
      <protection locked="0" hidden="1"/>
    </xf>
    <xf numFmtId="44" fontId="26" fillId="0" borderId="0" xfId="303" applyNumberFormat="1" applyFont="1" applyAlignment="1" applyProtection="1">
      <alignment horizontal="center" vertical="center" wrapText="1"/>
      <protection locked="0" hidden="1"/>
    </xf>
    <xf numFmtId="0" fontId="42" fillId="0" borderId="17" xfId="403" applyFont="1" applyBorder="1" applyAlignment="1" applyProtection="1">
      <alignment horizontal="center" vertical="top" wrapText="1"/>
      <protection locked="0" hidden="1"/>
    </xf>
    <xf numFmtId="0" fontId="5" fillId="0" borderId="17" xfId="303" applyBorder="1" applyAlignment="1" applyProtection="1">
      <alignment horizontal="left" wrapText="1"/>
      <protection locked="0" hidden="1"/>
    </xf>
    <xf numFmtId="8" fontId="42" fillId="0" borderId="17" xfId="303" applyNumberFormat="1" applyFont="1" applyBorder="1" applyProtection="1">
      <protection locked="0" hidden="1"/>
    </xf>
    <xf numFmtId="0" fontId="43" fillId="0" borderId="0" xfId="303" applyFont="1" applyProtection="1">
      <protection locked="0" hidden="1"/>
    </xf>
    <xf numFmtId="44" fontId="34" fillId="0" borderId="0" xfId="223" applyFont="1" applyFill="1" applyBorder="1" applyAlignment="1" applyProtection="1">
      <alignment horizontal="center"/>
      <protection locked="0" hidden="1"/>
    </xf>
    <xf numFmtId="0" fontId="45" fillId="0" borderId="0" xfId="303" applyFont="1" applyProtection="1">
      <protection locked="0" hidden="1"/>
    </xf>
    <xf numFmtId="0" fontId="5" fillId="0" borderId="17" xfId="303" applyBorder="1" applyProtection="1">
      <protection locked="0" hidden="1"/>
    </xf>
    <xf numFmtId="0" fontId="26" fillId="0" borderId="27" xfId="303" applyFont="1" applyBorder="1" applyProtection="1">
      <protection locked="0" hidden="1"/>
    </xf>
    <xf numFmtId="0" fontId="35" fillId="0" borderId="0" xfId="303" applyFont="1" applyProtection="1">
      <protection locked="0" hidden="1"/>
    </xf>
    <xf numFmtId="164" fontId="26" fillId="0" borderId="0" xfId="223" applyNumberFormat="1" applyFont="1" applyAlignment="1" applyProtection="1">
      <alignment vertical="center" wrapText="1"/>
      <protection locked="0" hidden="1"/>
    </xf>
    <xf numFmtId="0" fontId="25" fillId="0" borderId="19" xfId="303" applyFont="1" applyBorder="1" applyAlignment="1" applyProtection="1">
      <alignment horizontal="center" vertical="center" wrapText="1"/>
      <protection locked="0" hidden="1"/>
    </xf>
    <xf numFmtId="0" fontId="34" fillId="0" borderId="19" xfId="303" applyFont="1" applyBorder="1" applyAlignment="1" applyProtection="1">
      <alignment horizontal="center"/>
      <protection locked="0" hidden="1"/>
    </xf>
    <xf numFmtId="0" fontId="34" fillId="0" borderId="17" xfId="303" applyFont="1" applyBorder="1" applyAlignment="1" applyProtection="1">
      <alignment wrapText="1"/>
      <protection locked="0" hidden="1"/>
    </xf>
    <xf numFmtId="44" fontId="34" fillId="0" borderId="17" xfId="303" applyNumberFormat="1" applyFont="1" applyBorder="1" applyAlignment="1" applyProtection="1">
      <alignment horizontal="center" vertical="center" wrapText="1"/>
      <protection locked="0" hidden="1"/>
    </xf>
    <xf numFmtId="0" fontId="26" fillId="0" borderId="17" xfId="303" applyFont="1" applyBorder="1" applyAlignment="1" applyProtection="1">
      <alignment horizontal="center" vertical="center" wrapText="1"/>
      <protection locked="0" hidden="1"/>
    </xf>
    <xf numFmtId="8" fontId="26" fillId="0" borderId="0" xfId="303" applyNumberFormat="1" applyFont="1" applyAlignment="1" applyProtection="1">
      <alignment horizontal="center" vertical="center" wrapText="1"/>
      <protection locked="0" hidden="1"/>
    </xf>
    <xf numFmtId="0" fontId="26" fillId="0" borderId="17" xfId="303" applyFont="1" applyBorder="1" applyAlignment="1" applyProtection="1">
      <alignment horizontal="center" vertical="center"/>
      <protection locked="0" hidden="1"/>
    </xf>
    <xf numFmtId="0" fontId="42" fillId="0" borderId="17" xfId="326" applyFont="1" applyBorder="1" applyAlignment="1" applyProtection="1">
      <alignment horizontal="center" vertical="top" wrapText="1"/>
      <protection locked="0" hidden="1"/>
    </xf>
    <xf numFmtId="0" fontId="42" fillId="0" borderId="17" xfId="326" applyFont="1" applyBorder="1" applyAlignment="1" applyProtection="1">
      <alignment horizontal="left" vertical="top" wrapText="1"/>
      <protection locked="0" hidden="1"/>
    </xf>
    <xf numFmtId="0" fontId="5" fillId="0" borderId="17" xfId="303" applyBorder="1" applyAlignment="1" applyProtection="1">
      <alignment horizontal="center" wrapText="1"/>
      <protection locked="0" hidden="1"/>
    </xf>
    <xf numFmtId="0" fontId="5" fillId="0" borderId="36" xfId="303" applyBorder="1" applyAlignment="1" applyProtection="1">
      <alignment horizontal="center"/>
      <protection locked="0" hidden="1"/>
    </xf>
    <xf numFmtId="0" fontId="5" fillId="0" borderId="37" xfId="303" applyBorder="1" applyAlignment="1" applyProtection="1">
      <alignment wrapText="1"/>
      <protection locked="0" hidden="1"/>
    </xf>
    <xf numFmtId="0" fontId="5" fillId="0" borderId="35" xfId="303" applyBorder="1" applyAlignment="1" applyProtection="1">
      <alignment horizontal="center"/>
      <protection locked="0" hidden="1"/>
    </xf>
    <xf numFmtId="0" fontId="5" fillId="0" borderId="38" xfId="303" applyBorder="1" applyAlignment="1" applyProtection="1">
      <alignment wrapText="1"/>
      <protection locked="0" hidden="1"/>
    </xf>
    <xf numFmtId="8" fontId="5" fillId="0" borderId="39" xfId="303" applyNumberFormat="1" applyBorder="1" applyProtection="1">
      <protection locked="0" hidden="1"/>
    </xf>
    <xf numFmtId="44" fontId="5" fillId="0" borderId="17" xfId="303" applyNumberFormat="1" applyBorder="1" applyProtection="1">
      <protection hidden="1"/>
    </xf>
    <xf numFmtId="0" fontId="50" fillId="0" borderId="0" xfId="303" applyFont="1" applyProtection="1">
      <protection locked="0" hidden="1"/>
    </xf>
    <xf numFmtId="44" fontId="5" fillId="0" borderId="0" xfId="303" applyNumberFormat="1" applyProtection="1">
      <protection locked="0" hidden="1"/>
    </xf>
    <xf numFmtId="44" fontId="34" fillId="0" borderId="0" xfId="303" applyNumberFormat="1" applyFont="1" applyAlignment="1" applyProtection="1">
      <alignment horizontal="center"/>
      <protection hidden="1"/>
    </xf>
    <xf numFmtId="8" fontId="5" fillId="0" borderId="0" xfId="303" applyNumberFormat="1" applyProtection="1">
      <protection locked="0" hidden="1"/>
    </xf>
    <xf numFmtId="44" fontId="5" fillId="0" borderId="16" xfId="303" applyNumberFormat="1" applyBorder="1" applyAlignment="1" applyProtection="1">
      <alignment horizontal="right"/>
      <protection hidden="1"/>
    </xf>
    <xf numFmtId="44" fontId="5" fillId="0" borderId="24" xfId="303" applyNumberFormat="1" applyBorder="1" applyProtection="1">
      <protection hidden="1"/>
    </xf>
    <xf numFmtId="44" fontId="5" fillId="0" borderId="17" xfId="303" applyNumberFormat="1" applyBorder="1" applyAlignment="1" applyProtection="1">
      <alignment horizontal="right"/>
      <protection hidden="1"/>
    </xf>
    <xf numFmtId="44" fontId="5" fillId="0" borderId="17" xfId="303" applyNumberFormat="1" applyBorder="1" applyAlignment="1" applyProtection="1">
      <alignment wrapText="1"/>
      <protection hidden="1"/>
    </xf>
    <xf numFmtId="8" fontId="5" fillId="0" borderId="17" xfId="303" applyNumberFormat="1" applyBorder="1" applyAlignment="1" applyProtection="1">
      <alignment wrapText="1"/>
      <protection locked="0" hidden="1"/>
    </xf>
    <xf numFmtId="49" fontId="5" fillId="0" borderId="17" xfId="303" applyNumberFormat="1" applyBorder="1" applyAlignment="1" applyProtection="1">
      <alignment horizontal="center"/>
      <protection locked="0" hidden="1"/>
    </xf>
    <xf numFmtId="49" fontId="5" fillId="0" borderId="17" xfId="303" applyNumberFormat="1" applyBorder="1" applyAlignment="1" applyProtection="1">
      <alignment horizontal="left" wrapText="1"/>
      <protection locked="0" hidden="1"/>
    </xf>
    <xf numFmtId="8" fontId="5" fillId="0" borderId="17" xfId="303" applyNumberFormat="1" applyBorder="1" applyAlignment="1" applyProtection="1">
      <alignment horizontal="right" wrapText="1"/>
      <protection locked="0" hidden="1"/>
    </xf>
    <xf numFmtId="0" fontId="5" fillId="0" borderId="17" xfId="303" applyBorder="1" applyAlignment="1" applyProtection="1">
      <alignment horizontal="left" vertical="top" wrapText="1"/>
      <protection locked="0" hidden="1"/>
    </xf>
    <xf numFmtId="44" fontId="5" fillId="0" borderId="15" xfId="223" applyFont="1" applyFill="1" applyBorder="1" applyAlignment="1" applyProtection="1">
      <alignment horizontal="right"/>
      <protection hidden="1"/>
    </xf>
    <xf numFmtId="164" fontId="5" fillId="0" borderId="23" xfId="223" applyNumberFormat="1" applyFont="1" applyFill="1" applyBorder="1" applyAlignment="1" applyProtection="1">
      <alignment horizontal="right"/>
      <protection hidden="1"/>
    </xf>
    <xf numFmtId="44" fontId="5" fillId="0" borderId="17" xfId="303" applyNumberFormat="1" applyBorder="1" applyAlignment="1" applyProtection="1">
      <alignment horizontal="left"/>
      <protection locked="0" hidden="1"/>
    </xf>
    <xf numFmtId="164" fontId="5" fillId="0" borderId="20" xfId="223" applyNumberFormat="1" applyFont="1" applyFill="1" applyBorder="1" applyAlignment="1" applyProtection="1">
      <alignment horizontal="right"/>
      <protection hidden="1"/>
    </xf>
    <xf numFmtId="44" fontId="31" fillId="0" borderId="17" xfId="303" applyNumberFormat="1" applyFont="1" applyBorder="1" applyProtection="1">
      <protection locked="0" hidden="1"/>
    </xf>
    <xf numFmtId="0" fontId="31" fillId="0" borderId="17" xfId="303" applyFont="1" applyBorder="1" applyProtection="1">
      <protection locked="0" hidden="1"/>
    </xf>
    <xf numFmtId="49" fontId="31" fillId="0" borderId="17" xfId="303" applyNumberFormat="1" applyFont="1" applyBorder="1" applyAlignment="1" applyProtection="1">
      <alignment horizontal="center"/>
      <protection locked="0" hidden="1"/>
    </xf>
    <xf numFmtId="44" fontId="34" fillId="0" borderId="20" xfId="303" applyNumberFormat="1" applyFont="1" applyBorder="1" applyAlignment="1" applyProtection="1">
      <alignment horizontal="center" vertical="center"/>
      <protection hidden="1"/>
    </xf>
    <xf numFmtId="44" fontId="34" fillId="0" borderId="17" xfId="303" applyNumberFormat="1" applyFont="1" applyBorder="1" applyAlignment="1" applyProtection="1">
      <alignment horizontal="center" vertical="center"/>
      <protection hidden="1"/>
    </xf>
    <xf numFmtId="44" fontId="41" fillId="0" borderId="17" xfId="303" applyNumberFormat="1" applyFont="1" applyBorder="1" applyAlignment="1" applyProtection="1">
      <alignment horizontal="left" vertical="center" wrapText="1"/>
      <protection locked="0" hidden="1"/>
    </xf>
    <xf numFmtId="169" fontId="41" fillId="0" borderId="17" xfId="303" applyNumberFormat="1" applyFont="1" applyBorder="1" applyAlignment="1" applyProtection="1">
      <alignment horizontal="left" vertical="center" wrapText="1"/>
      <protection locked="0" hidden="1"/>
    </xf>
    <xf numFmtId="49" fontId="41" fillId="0" borderId="17" xfId="303" applyNumberFormat="1" applyFont="1" applyBorder="1" applyAlignment="1" applyProtection="1">
      <alignment horizontal="center" vertical="center"/>
      <protection locked="0" hidden="1"/>
    </xf>
    <xf numFmtId="165" fontId="34" fillId="0" borderId="22" xfId="303" applyNumberFormat="1" applyFont="1" applyBorder="1" applyAlignment="1" applyProtection="1">
      <alignment horizontal="center"/>
      <protection hidden="1"/>
    </xf>
    <xf numFmtId="4" fontId="26" fillId="0" borderId="0" xfId="303" applyNumberFormat="1" applyFont="1" applyAlignment="1" applyProtection="1">
      <alignment horizontal="center" vertical="center"/>
      <protection hidden="1"/>
    </xf>
    <xf numFmtId="4" fontId="26" fillId="0" borderId="21" xfId="303" applyNumberFormat="1" applyFont="1" applyBorder="1" applyAlignment="1" applyProtection="1">
      <alignment horizontal="center" vertical="center"/>
      <protection hidden="1"/>
    </xf>
    <xf numFmtId="44" fontId="5" fillId="0" borderId="19" xfId="303" applyNumberFormat="1" applyBorder="1" applyAlignment="1" applyProtection="1">
      <alignment horizontal="center" vertical="center"/>
      <protection hidden="1"/>
    </xf>
    <xf numFmtId="44" fontId="5" fillId="0" borderId="18" xfId="303" applyNumberFormat="1" applyBorder="1" applyAlignment="1" applyProtection="1">
      <alignment horizontal="center" vertical="center"/>
      <protection hidden="1"/>
    </xf>
    <xf numFmtId="44" fontId="5" fillId="0" borderId="18" xfId="303" applyNumberFormat="1" applyBorder="1" applyAlignment="1" applyProtection="1">
      <alignment horizontal="left"/>
      <protection locked="0" hidden="1"/>
    </xf>
    <xf numFmtId="0" fontId="5" fillId="0" borderId="20" xfId="303" applyBorder="1" applyProtection="1">
      <protection locked="0" hidden="1"/>
    </xf>
    <xf numFmtId="164" fontId="5" fillId="0" borderId="20" xfId="223" applyNumberFormat="1" applyFont="1" applyFill="1" applyBorder="1" applyAlignment="1" applyProtection="1">
      <alignment horizontal="right"/>
      <protection locked="0" hidden="1"/>
    </xf>
    <xf numFmtId="0" fontId="25" fillId="0" borderId="20" xfId="303" applyFont="1" applyBorder="1" applyAlignment="1" applyProtection="1">
      <alignment horizontal="center" vertical="center" wrapText="1"/>
      <protection locked="0" hidden="1"/>
    </xf>
    <xf numFmtId="0" fontId="25" fillId="0" borderId="17" xfId="303" applyFont="1" applyBorder="1" applyAlignment="1" applyProtection="1">
      <alignment horizontal="left" vertical="center" wrapText="1"/>
      <protection locked="0" hidden="1"/>
    </xf>
    <xf numFmtId="0" fontId="5" fillId="0" borderId="0" xfId="303"/>
    <xf numFmtId="0" fontId="30" fillId="0" borderId="0" xfId="303" applyFont="1" applyAlignment="1" applyProtection="1">
      <alignment horizontal="left"/>
      <protection locked="0" hidden="1"/>
    </xf>
    <xf numFmtId="0" fontId="25" fillId="0" borderId="0" xfId="303" applyFont="1" applyAlignment="1" applyProtection="1">
      <alignment horizontal="left" wrapText="1"/>
      <protection locked="0" hidden="1"/>
    </xf>
    <xf numFmtId="0" fontId="5" fillId="0" borderId="25" xfId="303" applyBorder="1" applyAlignment="1" applyProtection="1">
      <alignment horizontal="center"/>
      <protection locked="0" hidden="1"/>
    </xf>
    <xf numFmtId="0" fontId="25" fillId="0" borderId="25" xfId="303" applyFont="1" applyBorder="1" applyAlignment="1" applyProtection="1">
      <alignment horizontal="left" wrapText="1"/>
      <protection locked="0" hidden="1"/>
    </xf>
    <xf numFmtId="44" fontId="5" fillId="0" borderId="18" xfId="303" applyNumberFormat="1" applyBorder="1" applyAlignment="1" applyProtection="1">
      <alignment horizontal="center" vertical="center"/>
      <protection locked="0" hidden="1"/>
    </xf>
    <xf numFmtId="44" fontId="5" fillId="0" borderId="19" xfId="303" applyNumberFormat="1" applyBorder="1" applyAlignment="1" applyProtection="1">
      <alignment horizontal="center" vertical="center"/>
      <protection locked="0" hidden="1"/>
    </xf>
    <xf numFmtId="4" fontId="26" fillId="0" borderId="21" xfId="303" applyNumberFormat="1" applyFont="1" applyBorder="1" applyAlignment="1" applyProtection="1">
      <alignment horizontal="center" vertical="center"/>
      <protection locked="0" hidden="1"/>
    </xf>
    <xf numFmtId="4" fontId="26" fillId="0" borderId="0" xfId="303" applyNumberFormat="1" applyFont="1" applyAlignment="1" applyProtection="1">
      <alignment horizontal="center" vertical="center"/>
      <protection locked="0" hidden="1"/>
    </xf>
    <xf numFmtId="165" fontId="34" fillId="0" borderId="22" xfId="303" applyNumberFormat="1" applyFont="1" applyBorder="1" applyAlignment="1" applyProtection="1">
      <alignment horizontal="center"/>
      <protection locked="0" hidden="1"/>
    </xf>
    <xf numFmtId="8" fontId="133" fillId="0" borderId="0" xfId="303" applyNumberFormat="1" applyFont="1" applyProtection="1">
      <protection locked="0" hidden="1"/>
    </xf>
    <xf numFmtId="0" fontId="133" fillId="0" borderId="0" xfId="303" applyFont="1" applyProtection="1">
      <protection locked="0" hidden="1"/>
    </xf>
    <xf numFmtId="0" fontId="4" fillId="0" borderId="26" xfId="303" applyFont="1" applyBorder="1" applyProtection="1">
      <protection locked="0" hidden="1"/>
    </xf>
    <xf numFmtId="44" fontId="31" fillId="0" borderId="0" xfId="303" applyNumberFormat="1" applyFont="1" applyAlignment="1" applyProtection="1">
      <alignment horizontal="center"/>
      <protection locked="0" hidden="1"/>
    </xf>
    <xf numFmtId="44" fontId="26" fillId="0" borderId="0" xfId="223" applyFont="1" applyProtection="1">
      <protection locked="0" hidden="1"/>
    </xf>
    <xf numFmtId="44" fontId="26" fillId="0" borderId="0" xfId="303" applyNumberFormat="1" applyFont="1" applyProtection="1">
      <protection locked="0" hidden="1"/>
    </xf>
    <xf numFmtId="44" fontId="31" fillId="0" borderId="0" xfId="303" applyNumberFormat="1" applyFont="1" applyProtection="1">
      <protection locked="0" hidden="1"/>
    </xf>
    <xf numFmtId="167" fontId="26" fillId="0" borderId="0" xfId="303" applyNumberFormat="1" applyFont="1" applyProtection="1">
      <protection locked="0" hidden="1"/>
    </xf>
    <xf numFmtId="44" fontId="25" fillId="0" borderId="17" xfId="303" applyNumberFormat="1" applyFont="1" applyBorder="1" applyAlignment="1" applyProtection="1">
      <alignment horizontal="center" vertical="center" wrapText="1"/>
      <protection locked="0" hidden="1"/>
    </xf>
    <xf numFmtId="168" fontId="34" fillId="0" borderId="0" xfId="303" applyNumberFormat="1" applyFont="1" applyAlignment="1" applyProtection="1">
      <alignment horizontal="center"/>
      <protection locked="0" hidden="1"/>
    </xf>
    <xf numFmtId="0" fontId="26" fillId="0" borderId="20" xfId="303" applyFont="1" applyBorder="1" applyAlignment="1" applyProtection="1">
      <alignment horizontal="center"/>
      <protection locked="0" hidden="1"/>
    </xf>
    <xf numFmtId="0" fontId="42" fillId="0" borderId="17" xfId="303" applyFont="1" applyBorder="1" applyAlignment="1">
      <alignment horizontal="center"/>
    </xf>
    <xf numFmtId="44" fontId="26" fillId="0" borderId="0" xfId="303" applyNumberFormat="1" applyFont="1" applyAlignment="1" applyProtection="1">
      <alignment horizontal="center"/>
      <protection locked="0" hidden="1"/>
    </xf>
    <xf numFmtId="0" fontId="42" fillId="0" borderId="30" xfId="303" applyFont="1" applyBorder="1" applyAlignment="1">
      <alignment horizontal="center"/>
    </xf>
    <xf numFmtId="44" fontId="5" fillId="0" borderId="17" xfId="303" applyNumberFormat="1" applyBorder="1" applyAlignment="1" applyProtection="1">
      <alignment wrapText="1"/>
      <protection locked="0" hidden="1"/>
    </xf>
    <xf numFmtId="0" fontId="42" fillId="0" borderId="30" xfId="303" applyFont="1" applyBorder="1" applyAlignment="1">
      <alignment horizontal="center" wrapText="1"/>
    </xf>
    <xf numFmtId="0" fontId="42" fillId="0" borderId="17" xfId="303" applyFont="1" applyBorder="1" applyAlignment="1">
      <alignment wrapText="1"/>
    </xf>
    <xf numFmtId="44" fontId="5" fillId="0" borderId="39" xfId="303" applyNumberFormat="1" applyBorder="1" applyProtection="1">
      <protection locked="0" hidden="1"/>
    </xf>
    <xf numFmtId="0" fontId="5" fillId="0" borderId="30" xfId="303" applyBorder="1" applyAlignment="1" applyProtection="1">
      <alignment wrapText="1"/>
      <protection locked="0" hidden="1"/>
    </xf>
    <xf numFmtId="165" fontId="5" fillId="0" borderId="0" xfId="303" applyNumberFormat="1" applyAlignment="1" applyProtection="1">
      <alignment horizontal="center"/>
      <protection locked="0" hidden="1"/>
    </xf>
    <xf numFmtId="44" fontId="5" fillId="0" borderId="0" xfId="223" applyAlignment="1" applyProtection="1">
      <alignment horizontal="center"/>
      <protection locked="0" hidden="1"/>
    </xf>
    <xf numFmtId="44" fontId="5" fillId="0" borderId="0" xfId="223" applyProtection="1">
      <protection locked="0" hidden="1"/>
    </xf>
    <xf numFmtId="0" fontId="25" fillId="0" borderId="26" xfId="303" applyFont="1" applyBorder="1" applyAlignment="1" applyProtection="1">
      <alignment horizontal="center" vertical="center" wrapText="1"/>
      <protection locked="0" hidden="1"/>
    </xf>
    <xf numFmtId="44" fontId="34" fillId="0" borderId="17" xfId="223" applyFont="1" applyFill="1" applyBorder="1" applyAlignment="1" applyProtection="1">
      <alignment vertical="center"/>
      <protection locked="0" hidden="1"/>
    </xf>
    <xf numFmtId="44" fontId="34" fillId="0" borderId="17" xfId="303" applyNumberFormat="1" applyFont="1" applyBorder="1" applyAlignment="1" applyProtection="1">
      <alignment horizontal="center" vertical="center"/>
      <protection locked="0" hidden="1"/>
    </xf>
    <xf numFmtId="44" fontId="34" fillId="0" borderId="20" xfId="303" applyNumberFormat="1" applyFont="1" applyBorder="1" applyAlignment="1" applyProtection="1">
      <alignment horizontal="center" vertical="center"/>
      <protection locked="0" hidden="1"/>
    </xf>
    <xf numFmtId="0" fontId="42" fillId="0" borderId="17" xfId="404" applyFont="1" applyBorder="1" applyAlignment="1" applyProtection="1">
      <alignment horizontal="center" vertical="top" wrapText="1"/>
      <protection locked="0" hidden="1"/>
    </xf>
    <xf numFmtId="0" fontId="42" fillId="0" borderId="17" xfId="404" applyFont="1" applyBorder="1" applyAlignment="1" applyProtection="1">
      <alignment vertical="top" wrapText="1"/>
      <protection locked="0" hidden="1"/>
    </xf>
    <xf numFmtId="0" fontId="42" fillId="0" borderId="17" xfId="303" applyFont="1" applyBorder="1" applyAlignment="1" applyProtection="1">
      <alignment horizontal="center"/>
      <protection locked="0" hidden="1"/>
    </xf>
    <xf numFmtId="169" fontId="42" fillId="0" borderId="17" xfId="303" applyNumberFormat="1" applyFont="1" applyBorder="1" applyAlignment="1" applyProtection="1">
      <alignment horizontal="left" wrapText="1"/>
      <protection locked="0" hidden="1"/>
    </xf>
    <xf numFmtId="49" fontId="5" fillId="0" borderId="38" xfId="303" applyNumberFormat="1" applyBorder="1" applyAlignment="1" applyProtection="1">
      <alignment horizontal="left" wrapText="1"/>
      <protection locked="0" hidden="1"/>
    </xf>
    <xf numFmtId="44" fontId="5" fillId="0" borderId="24" xfId="223" applyFont="1" applyFill="1" applyBorder="1" applyAlignment="1" applyProtection="1">
      <protection locked="0" hidden="1"/>
    </xf>
    <xf numFmtId="49" fontId="42" fillId="0" borderId="17" xfId="303" applyNumberFormat="1" applyFont="1" applyBorder="1" applyAlignment="1" applyProtection="1">
      <alignment horizontal="center"/>
      <protection locked="0" hidden="1"/>
    </xf>
    <xf numFmtId="44" fontId="34" fillId="0" borderId="0" xfId="303" applyNumberFormat="1" applyFont="1" applyAlignment="1" applyProtection="1">
      <alignment horizontal="center"/>
      <protection locked="0" hidden="1"/>
    </xf>
    <xf numFmtId="0" fontId="33" fillId="0" borderId="0" xfId="303" applyFont="1" applyAlignment="1" applyProtection="1">
      <alignment horizontal="left" vertical="top" wrapText="1"/>
      <protection locked="0" hidden="1"/>
    </xf>
    <xf numFmtId="0" fontId="28" fillId="0" borderId="0" xfId="303" applyFont="1" applyProtection="1">
      <protection locked="0" hidden="1"/>
    </xf>
    <xf numFmtId="0" fontId="25" fillId="0" borderId="19" xfId="303" applyFont="1" applyBorder="1" applyAlignment="1" applyProtection="1">
      <alignment horizontal="left" vertical="center" wrapText="1"/>
      <protection locked="0" hidden="1"/>
    </xf>
    <xf numFmtId="49" fontId="34" fillId="0" borderId="19" xfId="303" applyNumberFormat="1" applyFont="1" applyBorder="1" applyAlignment="1" applyProtection="1">
      <alignment horizontal="center" vertical="center"/>
      <protection locked="0" hidden="1"/>
    </xf>
    <xf numFmtId="0" fontId="36" fillId="0" borderId="17" xfId="303" applyFont="1" applyBorder="1" applyAlignment="1" applyProtection="1">
      <alignment vertical="center" wrapText="1"/>
      <protection locked="0" hidden="1"/>
    </xf>
    <xf numFmtId="44" fontId="36" fillId="0" borderId="17" xfId="303" applyNumberFormat="1" applyFont="1" applyBorder="1" applyAlignment="1" applyProtection="1">
      <alignment vertical="center" wrapText="1"/>
      <protection locked="0" hidden="1"/>
    </xf>
    <xf numFmtId="44" fontId="41" fillId="0" borderId="17" xfId="223" applyFont="1" applyFill="1" applyBorder="1" applyAlignment="1" applyProtection="1">
      <alignment vertical="center"/>
      <protection locked="0" hidden="1"/>
    </xf>
    <xf numFmtId="44" fontId="34" fillId="0" borderId="17" xfId="223" applyFont="1" applyFill="1" applyBorder="1" applyAlignment="1" applyProtection="1">
      <alignment horizontal="left" vertical="center"/>
      <protection locked="0" hidden="1"/>
    </xf>
    <xf numFmtId="171" fontId="42" fillId="0" borderId="17" xfId="303" applyNumberFormat="1" applyFont="1" applyBorder="1" applyAlignment="1" applyProtection="1">
      <alignment horizontal="center"/>
      <protection locked="0" hidden="1"/>
    </xf>
    <xf numFmtId="169" fontId="42" fillId="0" borderId="17" xfId="303" applyNumberFormat="1" applyFont="1" applyBorder="1" applyAlignment="1" applyProtection="1">
      <alignment wrapText="1"/>
      <protection locked="0" hidden="1"/>
    </xf>
    <xf numFmtId="42" fontId="5" fillId="0" borderId="17" xfId="223" applyNumberFormat="1" applyFont="1" applyFill="1" applyBorder="1" applyAlignment="1" applyProtection="1">
      <alignment horizontal="right" vertical="top"/>
      <protection locked="0" hidden="1"/>
    </xf>
    <xf numFmtId="0" fontId="5" fillId="0" borderId="15" xfId="303" applyBorder="1" applyProtection="1">
      <protection locked="0" hidden="1"/>
    </xf>
    <xf numFmtId="44" fontId="5" fillId="0" borderId="15" xfId="303" applyNumberFormat="1" applyBorder="1" applyProtection="1">
      <protection locked="0" hidden="1"/>
    </xf>
    <xf numFmtId="42" fontId="5" fillId="0" borderId="15" xfId="223" applyNumberFormat="1" applyFont="1" applyFill="1" applyBorder="1" applyAlignment="1" applyProtection="1">
      <alignment horizontal="right" vertical="top"/>
      <protection locked="0" hidden="1"/>
    </xf>
    <xf numFmtId="0" fontId="26" fillId="0" borderId="20" xfId="303" applyFont="1" applyBorder="1" applyAlignment="1" applyProtection="1">
      <alignment horizontal="center" vertical="center" wrapText="1"/>
      <protection locked="0" hidden="1"/>
    </xf>
    <xf numFmtId="42" fontId="5" fillId="0" borderId="18" xfId="223" applyNumberFormat="1" applyFont="1" applyFill="1" applyBorder="1" applyAlignment="1" applyProtection="1">
      <alignment horizontal="right" vertical="top"/>
      <protection locked="0" hidden="1"/>
    </xf>
    <xf numFmtId="44" fontId="41" fillId="0" borderId="17" xfId="223" applyFont="1" applyFill="1" applyBorder="1" applyAlignment="1" applyProtection="1">
      <alignment vertical="center"/>
      <protection hidden="1"/>
    </xf>
    <xf numFmtId="44" fontId="34" fillId="0" borderId="17" xfId="223" applyFont="1" applyFill="1" applyBorder="1" applyAlignment="1" applyProtection="1">
      <alignment horizontal="left" vertical="center"/>
      <protection hidden="1"/>
    </xf>
    <xf numFmtId="42" fontId="5" fillId="0" borderId="17" xfId="223" applyNumberFormat="1" applyFont="1" applyFill="1" applyBorder="1" applyAlignment="1" applyProtection="1">
      <alignment horizontal="right" vertical="top"/>
      <protection hidden="1"/>
    </xf>
    <xf numFmtId="42" fontId="5" fillId="0" borderId="15" xfId="223" applyNumberFormat="1" applyFont="1" applyFill="1" applyBorder="1" applyAlignment="1" applyProtection="1">
      <alignment horizontal="right" vertical="top"/>
      <protection hidden="1"/>
    </xf>
    <xf numFmtId="42" fontId="5" fillId="0" borderId="18" xfId="223" applyNumberFormat="1" applyFont="1" applyFill="1" applyBorder="1" applyAlignment="1" applyProtection="1">
      <alignment horizontal="right" vertical="top"/>
      <protection hidden="1"/>
    </xf>
    <xf numFmtId="0" fontId="5" fillId="0" borderId="16" xfId="223" applyNumberFormat="1" applyFont="1" applyFill="1" applyBorder="1" applyAlignment="1" applyProtection="1">
      <alignment horizontal="center"/>
      <protection locked="0" hidden="1"/>
    </xf>
    <xf numFmtId="0" fontId="5" fillId="0" borderId="17" xfId="223" applyNumberFormat="1" applyFont="1" applyFill="1" applyBorder="1" applyAlignment="1" applyProtection="1">
      <alignment horizontal="center"/>
      <protection locked="0" hidden="1"/>
    </xf>
    <xf numFmtId="0" fontId="42" fillId="0" borderId="17" xfId="303" applyFont="1" applyBorder="1"/>
    <xf numFmtId="0" fontId="43" fillId="0" borderId="0" xfId="303" applyFont="1" applyAlignment="1" applyProtection="1">
      <alignment horizontal="left"/>
      <protection locked="0" hidden="1"/>
    </xf>
    <xf numFmtId="0" fontId="45" fillId="0" borderId="0" xfId="303" applyFont="1" applyAlignment="1" applyProtection="1">
      <alignment horizontal="left"/>
      <protection locked="0" hidden="1"/>
    </xf>
    <xf numFmtId="0" fontId="25" fillId="0" borderId="0" xfId="303" applyFont="1" applyAlignment="1" applyProtection="1">
      <alignment horizontal="left"/>
      <protection locked="0" hidden="1"/>
    </xf>
    <xf numFmtId="0" fontId="35" fillId="0" borderId="0" xfId="303" applyFont="1" applyAlignment="1" applyProtection="1">
      <alignment horizontal="left"/>
      <protection locked="0" hidden="1"/>
    </xf>
    <xf numFmtId="0" fontId="5" fillId="0" borderId="15" xfId="303" applyBorder="1" applyAlignment="1" applyProtection="1">
      <alignment wrapText="1"/>
      <protection locked="0" hidden="1"/>
    </xf>
    <xf numFmtId="44" fontId="42" fillId="0" borderId="16" xfId="303" applyNumberFormat="1" applyFont="1" applyBorder="1" applyProtection="1">
      <protection locked="0" hidden="1"/>
    </xf>
    <xf numFmtId="44" fontId="42" fillId="0" borderId="16" xfId="303" applyNumberFormat="1" applyFont="1" applyBorder="1" applyProtection="1">
      <protection hidden="1"/>
    </xf>
    <xf numFmtId="7" fontId="5" fillId="0" borderId="17" xfId="303" applyNumberFormat="1" applyBorder="1" applyAlignment="1">
      <alignment horizontal="right"/>
    </xf>
    <xf numFmtId="44" fontId="5" fillId="0" borderId="20" xfId="223" applyFont="1" applyFill="1" applyBorder="1" applyAlignment="1" applyProtection="1">
      <protection hidden="1"/>
    </xf>
    <xf numFmtId="0" fontId="42" fillId="0" borderId="0" xfId="303" applyFont="1"/>
    <xf numFmtId="44" fontId="5" fillId="0" borderId="20" xfId="223" applyFont="1" applyFill="1" applyBorder="1" applyAlignment="1" applyProtection="1">
      <protection locked="0" hidden="1"/>
    </xf>
    <xf numFmtId="44" fontId="34" fillId="0" borderId="15" xfId="303" applyNumberFormat="1" applyFont="1" applyBorder="1" applyAlignment="1" applyProtection="1">
      <alignment horizontal="left" wrapText="1"/>
      <protection locked="0" hidden="1"/>
    </xf>
    <xf numFmtId="0" fontId="42" fillId="0" borderId="17" xfId="223" applyNumberFormat="1" applyFont="1" applyFill="1" applyBorder="1" applyAlignment="1" applyProtection="1">
      <alignment horizontal="left"/>
      <protection locked="0" hidden="1"/>
    </xf>
    <xf numFmtId="44" fontId="5" fillId="0" borderId="17" xfId="223" applyFont="1" applyFill="1" applyBorder="1" applyAlignment="1" applyProtection="1">
      <alignment horizontal="right" vertical="center"/>
      <protection locked="0" hidden="1"/>
    </xf>
    <xf numFmtId="0" fontId="26" fillId="24" borderId="33" xfId="303" applyFont="1" applyFill="1" applyBorder="1" applyAlignment="1" applyProtection="1">
      <alignment vertical="center" wrapText="1"/>
      <protection locked="0" hidden="1"/>
    </xf>
    <xf numFmtId="49" fontId="42" fillId="0" borderId="17" xfId="223" applyNumberFormat="1" applyFont="1" applyFill="1" applyBorder="1" applyAlignment="1" applyProtection="1">
      <alignment horizontal="left"/>
      <protection locked="0" hidden="1"/>
    </xf>
    <xf numFmtId="49" fontId="31" fillId="0" borderId="17" xfId="303" applyNumberFormat="1" applyFont="1" applyBorder="1" applyAlignment="1" applyProtection="1">
      <alignment horizontal="left"/>
      <protection locked="0" hidden="1"/>
    </xf>
    <xf numFmtId="49" fontId="42" fillId="0" borderId="17" xfId="223" applyNumberFormat="1" applyFont="1" applyBorder="1" applyAlignment="1" applyProtection="1">
      <alignment horizontal="center" vertical="center"/>
      <protection locked="0" hidden="1"/>
    </xf>
    <xf numFmtId="7" fontId="5" fillId="0" borderId="30" xfId="303" applyNumberFormat="1" applyBorder="1" applyAlignment="1">
      <alignment horizontal="right"/>
    </xf>
    <xf numFmtId="44" fontId="5" fillId="0" borderId="16" xfId="223" applyFont="1" applyFill="1" applyBorder="1" applyAlignment="1" applyProtection="1">
      <alignment horizontal="center" vertical="center"/>
      <protection hidden="1"/>
    </xf>
    <xf numFmtId="44" fontId="5" fillId="0" borderId="17" xfId="223" applyFont="1" applyFill="1" applyBorder="1" applyAlignment="1" applyProtection="1">
      <alignment horizontal="center" vertical="center"/>
      <protection hidden="1"/>
    </xf>
    <xf numFmtId="44" fontId="0" fillId="0" borderId="0" xfId="223" applyFont="1" applyBorder="1" applyAlignment="1" applyProtection="1">
      <alignment horizontal="center"/>
      <protection locked="0" hidden="1"/>
    </xf>
    <xf numFmtId="0" fontId="138" fillId="0" borderId="16" xfId="0" applyFont="1" applyBorder="1" applyAlignment="1" applyProtection="1">
      <alignment horizontal="center" vertical="center" wrapText="1"/>
      <protection locked="0" hidden="1"/>
    </xf>
    <xf numFmtId="169" fontId="138" fillId="0" borderId="16" xfId="1" applyNumberFormat="1" applyFont="1" applyBorder="1" applyAlignment="1" applyProtection="1">
      <alignment horizontal="left" vertical="center" wrapText="1"/>
      <protection locked="0" hidden="1"/>
    </xf>
    <xf numFmtId="44" fontId="138" fillId="0" borderId="16" xfId="0" applyNumberFormat="1" applyFont="1" applyBorder="1" applyAlignment="1" applyProtection="1">
      <alignment vertical="center" wrapText="1"/>
      <protection locked="0" hidden="1"/>
    </xf>
    <xf numFmtId="44" fontId="138" fillId="0" borderId="16" xfId="352" applyNumberFormat="1" applyFont="1" applyBorder="1" applyAlignment="1" applyProtection="1">
      <alignment horizontal="right" vertical="center"/>
      <protection locked="0" hidden="1"/>
    </xf>
    <xf numFmtId="0" fontId="138" fillId="0" borderId="17" xfId="0" applyFont="1" applyBorder="1" applyAlignment="1" applyProtection="1">
      <alignment horizontal="center" vertical="center" wrapText="1"/>
      <protection hidden="1"/>
    </xf>
    <xf numFmtId="169" fontId="138" fillId="0" borderId="17" xfId="1" applyNumberFormat="1" applyFont="1" applyBorder="1" applyAlignment="1" applyProtection="1">
      <alignment horizontal="left" vertical="center" wrapText="1"/>
      <protection hidden="1"/>
    </xf>
    <xf numFmtId="44" fontId="138" fillId="0" borderId="17" xfId="0" applyNumberFormat="1" applyFont="1" applyBorder="1" applyAlignment="1" applyProtection="1">
      <alignment vertical="center" wrapText="1"/>
      <protection hidden="1"/>
    </xf>
    <xf numFmtId="44" fontId="138" fillId="0" borderId="17" xfId="352" applyNumberFormat="1" applyFont="1" applyBorder="1" applyAlignment="1" applyProtection="1">
      <alignment horizontal="right" vertical="center"/>
      <protection locked="0" hidden="1"/>
    </xf>
    <xf numFmtId="0" fontId="138" fillId="0" borderId="17" xfId="0" applyFont="1" applyBorder="1" applyAlignment="1" applyProtection="1">
      <alignment horizontal="center" vertical="center" wrapText="1"/>
      <protection locked="0" hidden="1"/>
    </xf>
    <xf numFmtId="169" fontId="138" fillId="0" borderId="17" xfId="1" applyNumberFormat="1" applyFont="1" applyBorder="1" applyAlignment="1" applyProtection="1">
      <alignment horizontal="left" vertical="center" wrapText="1"/>
      <protection locked="0" hidden="1"/>
    </xf>
    <xf numFmtId="44" fontId="138" fillId="0" borderId="17" xfId="0" applyNumberFormat="1" applyFont="1" applyBorder="1" applyAlignment="1" applyProtection="1">
      <alignment vertical="center" wrapText="1"/>
      <protection locked="0" hidden="1"/>
    </xf>
    <xf numFmtId="44" fontId="138" fillId="0" borderId="17" xfId="352" applyNumberFormat="1" applyFont="1" applyBorder="1" applyAlignment="1" applyProtection="1">
      <alignment horizontal="right" vertical="center"/>
      <protection hidden="1"/>
    </xf>
    <xf numFmtId="44" fontId="5" fillId="0" borderId="19" xfId="303" applyNumberFormat="1" applyBorder="1" applyProtection="1">
      <protection locked="0" hidden="1"/>
    </xf>
    <xf numFmtId="44" fontId="42" fillId="0" borderId="19" xfId="303" applyNumberFormat="1" applyFont="1" applyBorder="1" applyProtection="1">
      <protection locked="0" hidden="1"/>
    </xf>
    <xf numFmtId="0" fontId="43" fillId="0" borderId="41" xfId="303" applyFont="1" applyBorder="1" applyProtection="1">
      <protection locked="0" hidden="1"/>
    </xf>
    <xf numFmtId="0" fontId="42" fillId="0" borderId="33" xfId="0" applyFont="1" applyBorder="1" applyAlignment="1">
      <alignment horizontal="center"/>
    </xf>
    <xf numFmtId="0" fontId="42" fillId="0" borderId="15" xfId="0" applyFont="1" applyBorder="1" applyAlignment="1">
      <alignment horizontal="center"/>
    </xf>
    <xf numFmtId="0" fontId="42" fillId="0" borderId="16" xfId="0" applyFont="1" applyBorder="1" applyAlignment="1">
      <alignment horizontal="center"/>
    </xf>
    <xf numFmtId="0" fontId="42" fillId="0" borderId="17" xfId="0" applyFont="1" applyBorder="1"/>
    <xf numFmtId="0" fontId="42" fillId="0" borderId="33" xfId="0" applyFont="1" applyBorder="1"/>
    <xf numFmtId="0" fontId="42" fillId="0" borderId="15" xfId="0" applyFont="1" applyBorder="1"/>
    <xf numFmtId="0" fontId="42" fillId="0" borderId="16" xfId="0" applyFont="1" applyBorder="1"/>
    <xf numFmtId="44" fontId="34" fillId="0" borderId="17" xfId="223" applyFont="1" applyFill="1" applyBorder="1" applyAlignment="1" applyProtection="1">
      <alignment horizontal="right" vertical="center"/>
      <protection locked="0" hidden="1"/>
    </xf>
    <xf numFmtId="164" fontId="5" fillId="0" borderId="17" xfId="223" applyNumberFormat="1" applyFont="1" applyFill="1" applyBorder="1" applyAlignment="1" applyProtection="1">
      <alignment horizontal="right" vertical="center"/>
      <protection locked="0" hidden="1"/>
    </xf>
    <xf numFmtId="164" fontId="5" fillId="0" borderId="15" xfId="223" applyNumberFormat="1" applyFont="1" applyFill="1" applyBorder="1" applyAlignment="1" applyProtection="1">
      <alignment horizontal="right" vertical="center"/>
      <protection locked="0" hidden="1"/>
    </xf>
    <xf numFmtId="164" fontId="5" fillId="0" borderId="18" xfId="223" applyNumberFormat="1" applyFont="1" applyFill="1" applyBorder="1" applyAlignment="1" applyProtection="1">
      <alignment horizontal="right" vertical="center"/>
      <protection locked="0" hidden="1"/>
    </xf>
    <xf numFmtId="44" fontId="34" fillId="0" borderId="17" xfId="223" applyFont="1" applyFill="1" applyBorder="1" applyAlignment="1" applyProtection="1">
      <alignment horizontal="right" vertical="center"/>
      <protection hidden="1"/>
    </xf>
    <xf numFmtId="164" fontId="5" fillId="0" borderId="18" xfId="223" applyNumberFormat="1" applyFont="1" applyFill="1" applyBorder="1" applyAlignment="1" applyProtection="1">
      <alignment horizontal="right" vertical="center"/>
      <protection hidden="1"/>
    </xf>
    <xf numFmtId="164" fontId="5" fillId="0" borderId="15" xfId="223" applyNumberFormat="1" applyFont="1" applyFill="1" applyBorder="1" applyAlignment="1" applyProtection="1">
      <alignment horizontal="right" vertical="center"/>
      <protection hidden="1"/>
    </xf>
    <xf numFmtId="44" fontId="34" fillId="0" borderId="17" xfId="222" applyFont="1" applyFill="1" applyBorder="1" applyAlignment="1" applyProtection="1">
      <alignment horizontal="right" vertical="center"/>
      <protection hidden="1"/>
    </xf>
    <xf numFmtId="164" fontId="10" fillId="0" borderId="15" xfId="222" applyNumberFormat="1" applyFont="1" applyFill="1" applyBorder="1" applyAlignment="1" applyProtection="1">
      <alignment horizontal="right" vertical="center"/>
      <protection locked="0" hidden="1"/>
    </xf>
    <xf numFmtId="164" fontId="10" fillId="0" borderId="18" xfId="222" applyNumberFormat="1" applyFont="1" applyFill="1" applyBorder="1" applyAlignment="1" applyProtection="1">
      <alignment horizontal="right" vertical="center"/>
      <protection locked="0" hidden="1"/>
    </xf>
    <xf numFmtId="164" fontId="10" fillId="0" borderId="15" xfId="222" applyNumberFormat="1" applyFont="1" applyFill="1" applyBorder="1" applyAlignment="1" applyProtection="1">
      <alignment horizontal="right" vertical="center"/>
      <protection hidden="1"/>
    </xf>
    <xf numFmtId="44" fontId="34" fillId="0" borderId="17" xfId="0" applyNumberFormat="1" applyFont="1" applyBorder="1" applyAlignment="1" applyProtection="1">
      <alignment vertical="center" wrapText="1"/>
      <protection locked="0" hidden="1"/>
    </xf>
    <xf numFmtId="44" fontId="5" fillId="0" borderId="15" xfId="0" applyNumberFormat="1" applyFont="1" applyBorder="1" applyProtection="1">
      <protection locked="0" hidden="1"/>
    </xf>
    <xf numFmtId="44" fontId="5" fillId="0" borderId="18" xfId="0" applyNumberFormat="1" applyFont="1" applyBorder="1" applyProtection="1">
      <protection locked="0" hidden="1"/>
    </xf>
    <xf numFmtId="0" fontId="34" fillId="0" borderId="17" xfId="303" applyFont="1" applyBorder="1" applyAlignment="1" applyProtection="1">
      <alignment vertical="center" wrapText="1"/>
      <protection locked="0" hidden="1"/>
    </xf>
    <xf numFmtId="44" fontId="34" fillId="0" borderId="17" xfId="303" applyNumberFormat="1" applyFont="1" applyBorder="1" applyAlignment="1" applyProtection="1">
      <alignment vertical="center" wrapText="1"/>
      <protection locked="0" hidden="1"/>
    </xf>
    <xf numFmtId="0" fontId="25" fillId="0" borderId="0" xfId="0" applyFont="1" applyAlignment="1" applyProtection="1">
      <alignment horizontal="right"/>
      <protection locked="0" hidden="1"/>
    </xf>
    <xf numFmtId="0" fontId="0" fillId="0" borderId="0" xfId="0" applyProtection="1">
      <protection locked="0" hidden="1"/>
    </xf>
    <xf numFmtId="44" fontId="32" fillId="4" borderId="0" xfId="0" applyNumberFormat="1" applyFont="1" applyFill="1" applyAlignment="1" applyProtection="1">
      <alignment horizontal="center"/>
      <protection locked="0" hidden="1"/>
    </xf>
    <xf numFmtId="0" fontId="27" fillId="0" borderId="0" xfId="0" applyFont="1" applyAlignment="1" applyProtection="1">
      <alignment horizontal="center" vertical="center"/>
      <protection locked="0" hidden="1"/>
    </xf>
    <xf numFmtId="0" fontId="25" fillId="0" borderId="0" xfId="0" applyFont="1" applyAlignment="1" applyProtection="1">
      <alignment horizontal="center" vertical="center" wrapText="1"/>
      <protection locked="0" hidden="1"/>
    </xf>
    <xf numFmtId="0" fontId="10" fillId="0" borderId="0" xfId="0" applyFont="1" applyAlignment="1" applyProtection="1">
      <alignment vertical="center"/>
      <protection locked="0" hidden="1"/>
    </xf>
    <xf numFmtId="0" fontId="34" fillId="0" borderId="15" xfId="0" applyFont="1" applyBorder="1" applyAlignment="1" applyProtection="1">
      <alignment horizontal="center" vertical="center"/>
      <protection locked="0" hidden="1"/>
    </xf>
    <xf numFmtId="0" fontId="34" fillId="0" borderId="16" xfId="0" applyFont="1" applyBorder="1" applyAlignment="1" applyProtection="1">
      <alignment horizontal="center" vertical="center"/>
      <protection locked="0" hidden="1"/>
    </xf>
    <xf numFmtId="0" fontId="0" fillId="0" borderId="16" xfId="0" applyBorder="1" applyAlignment="1" applyProtection="1">
      <alignment horizontal="center" vertical="center"/>
      <protection locked="0" hidden="1"/>
    </xf>
    <xf numFmtId="44" fontId="34" fillId="0" borderId="15" xfId="222" applyFont="1" applyFill="1" applyBorder="1" applyAlignment="1" applyProtection="1">
      <alignment horizontal="center" vertical="center"/>
      <protection hidden="1"/>
    </xf>
    <xf numFmtId="44" fontId="34" fillId="0" borderId="16" xfId="222" applyFont="1" applyFill="1" applyBorder="1" applyAlignment="1" applyProtection="1">
      <alignment horizontal="center" vertical="center"/>
      <protection hidden="1"/>
    </xf>
    <xf numFmtId="166" fontId="0" fillId="0" borderId="0" xfId="0" applyNumberFormat="1" applyAlignment="1" applyProtection="1">
      <alignment horizontal="left"/>
      <protection locked="0" hidden="1"/>
    </xf>
    <xf numFmtId="44" fontId="32" fillId="4" borderId="21" xfId="0" applyNumberFormat="1" applyFont="1" applyFill="1" applyBorder="1" applyAlignment="1" applyProtection="1">
      <alignment horizontal="center"/>
      <protection locked="0" hidden="1"/>
    </xf>
    <xf numFmtId="0" fontId="0" fillId="0" borderId="22" xfId="0" applyBorder="1" applyProtection="1">
      <protection locked="0" hidden="1"/>
    </xf>
    <xf numFmtId="44" fontId="30" fillId="0" borderId="21" xfId="0" applyNumberFormat="1" applyFont="1" applyBorder="1" applyAlignment="1" applyProtection="1">
      <alignment horizontal="center"/>
      <protection locked="0" hidden="1"/>
    </xf>
    <xf numFmtId="0" fontId="34" fillId="0" borderId="21" xfId="0" applyFont="1" applyBorder="1" applyAlignment="1" applyProtection="1">
      <alignment horizontal="center"/>
      <protection locked="0" hidden="1"/>
    </xf>
    <xf numFmtId="0" fontId="25" fillId="0" borderId="21" xfId="0" applyFont="1" applyBorder="1" applyAlignment="1" applyProtection="1">
      <alignment horizontal="right" wrapText="1"/>
      <protection locked="0" hidden="1"/>
    </xf>
    <xf numFmtId="0" fontId="5" fillId="0" borderId="27" xfId="0" applyFont="1" applyBorder="1" applyProtection="1">
      <protection locked="0" hidden="1"/>
    </xf>
    <xf numFmtId="0" fontId="0" fillId="0" borderId="27" xfId="0" applyBorder="1" applyProtection="1">
      <protection locked="0" hidden="1"/>
    </xf>
    <xf numFmtId="0" fontId="36" fillId="0" borderId="0" xfId="0" applyFont="1" applyAlignment="1" applyProtection="1">
      <alignment horizontal="right"/>
      <protection locked="0" hidden="1"/>
    </xf>
    <xf numFmtId="0" fontId="0" fillId="0" borderId="0" xfId="0" applyAlignment="1" applyProtection="1">
      <alignment horizontal="right"/>
      <protection locked="0" hidden="1"/>
    </xf>
    <xf numFmtId="0" fontId="0" fillId="0" borderId="41" xfId="0" applyBorder="1" applyProtection="1">
      <protection locked="0" hidden="1"/>
    </xf>
    <xf numFmtId="0" fontId="0" fillId="0" borderId="16" xfId="0" applyBorder="1" applyProtection="1">
      <protection hidden="1"/>
    </xf>
    <xf numFmtId="0" fontId="25" fillId="24" borderId="20" xfId="0" applyFont="1" applyFill="1" applyBorder="1" applyAlignment="1" applyProtection="1">
      <alignment horizontal="left" wrapText="1"/>
      <protection locked="0" hidden="1"/>
    </xf>
    <xf numFmtId="0" fontId="0" fillId="0" borderId="18" xfId="0" applyBorder="1" applyProtection="1">
      <protection locked="0" hidden="1"/>
    </xf>
    <xf numFmtId="0" fontId="0" fillId="0" borderId="19" xfId="0" applyBorder="1" applyProtection="1">
      <protection locked="0" hidden="1"/>
    </xf>
    <xf numFmtId="0" fontId="26" fillId="24" borderId="15" xfId="0" applyFont="1" applyFill="1" applyBorder="1" applyAlignment="1" applyProtection="1">
      <alignment horizontal="center" vertical="center" wrapText="1"/>
      <protection locked="0" hidden="1"/>
    </xf>
    <xf numFmtId="0" fontId="26" fillId="24" borderId="33" xfId="0" applyFont="1" applyFill="1" applyBorder="1" applyAlignment="1" applyProtection="1">
      <alignment horizontal="center" vertical="center" wrapText="1"/>
      <protection locked="0" hidden="1"/>
    </xf>
    <xf numFmtId="0" fontId="26" fillId="24" borderId="16" xfId="0" applyFont="1" applyFill="1" applyBorder="1" applyAlignment="1" applyProtection="1">
      <alignment horizontal="center" vertical="center" wrapText="1"/>
      <protection locked="0" hidden="1"/>
    </xf>
    <xf numFmtId="164" fontId="25" fillId="0" borderId="20" xfId="222" applyNumberFormat="1" applyFont="1" applyBorder="1" applyAlignment="1" applyProtection="1">
      <alignment horizontal="center"/>
      <protection locked="0" hidden="1"/>
    </xf>
    <xf numFmtId="0" fontId="0" fillId="0" borderId="19" xfId="0" applyBorder="1" applyAlignment="1" applyProtection="1">
      <alignment horizontal="center"/>
      <protection locked="0" hidden="1"/>
    </xf>
    <xf numFmtId="0" fontId="25" fillId="0" borderId="20" xfId="0" applyFont="1" applyBorder="1" applyAlignment="1" applyProtection="1">
      <alignment horizontal="center"/>
      <protection locked="0" hidden="1"/>
    </xf>
    <xf numFmtId="0" fontId="25" fillId="0" borderId="18" xfId="0" applyFont="1" applyBorder="1" applyAlignment="1" applyProtection="1">
      <alignment horizontal="center"/>
      <protection locked="0" hidden="1"/>
    </xf>
    <xf numFmtId="166" fontId="0" fillId="0" borderId="22" xfId="0" applyNumberFormat="1" applyBorder="1" applyAlignment="1" applyProtection="1">
      <alignment horizontal="left"/>
      <protection locked="0" hidden="1"/>
    </xf>
    <xf numFmtId="0" fontId="25" fillId="0" borderId="24" xfId="0" applyFont="1" applyBorder="1" applyAlignment="1" applyProtection="1">
      <alignment horizontal="right" wrapText="1"/>
      <protection locked="0" hidden="1"/>
    </xf>
    <xf numFmtId="8" fontId="37" fillId="0" borderId="0" xfId="0" applyNumberFormat="1" applyFont="1" applyAlignment="1" applyProtection="1">
      <alignment horizontal="right"/>
      <protection locked="0" hidden="1"/>
    </xf>
    <xf numFmtId="0" fontId="5" fillId="0" borderId="0" xfId="0" applyFont="1" applyProtection="1">
      <protection locked="0" hidden="1"/>
    </xf>
    <xf numFmtId="0" fontId="0" fillId="0" borderId="28" xfId="0" applyBorder="1" applyProtection="1">
      <protection locked="0" hidden="1"/>
    </xf>
    <xf numFmtId="44" fontId="30" fillId="0" borderId="21" xfId="303" applyNumberFormat="1" applyFont="1" applyBorder="1" applyAlignment="1" applyProtection="1">
      <alignment horizontal="center"/>
      <protection locked="0" hidden="1"/>
    </xf>
    <xf numFmtId="44" fontId="30" fillId="0" borderId="0" xfId="303" applyNumberFormat="1" applyFont="1" applyAlignment="1" applyProtection="1">
      <alignment horizontal="center"/>
      <protection locked="0" hidden="1"/>
    </xf>
    <xf numFmtId="44" fontId="30" fillId="0" borderId="22" xfId="303" applyNumberFormat="1" applyFont="1" applyBorder="1" applyAlignment="1" applyProtection="1">
      <alignment horizontal="center"/>
      <protection locked="0" hidden="1"/>
    </xf>
    <xf numFmtId="0" fontId="34" fillId="0" borderId="21" xfId="303" applyFont="1" applyBorder="1" applyAlignment="1" applyProtection="1">
      <alignment horizontal="center"/>
      <protection locked="0" hidden="1"/>
    </xf>
    <xf numFmtId="0" fontId="34" fillId="0" borderId="0" xfId="303" applyFont="1" applyAlignment="1" applyProtection="1">
      <alignment horizontal="center"/>
      <protection locked="0" hidden="1"/>
    </xf>
    <xf numFmtId="0" fontId="34" fillId="0" borderId="22" xfId="303" applyFont="1" applyBorder="1" applyAlignment="1" applyProtection="1">
      <alignment horizontal="center"/>
      <protection locked="0" hidden="1"/>
    </xf>
    <xf numFmtId="0" fontId="27" fillId="0" borderId="0" xfId="303" applyFont="1" applyAlignment="1" applyProtection="1">
      <alignment horizontal="center" vertical="center"/>
      <protection locked="0" hidden="1"/>
    </xf>
    <xf numFmtId="0" fontId="5" fillId="0" borderId="0" xfId="303" applyProtection="1">
      <protection locked="0" hidden="1"/>
    </xf>
    <xf numFmtId="0" fontId="25" fillId="0" borderId="0" xfId="303" applyFont="1" applyAlignment="1" applyProtection="1">
      <alignment horizontal="center" vertical="center" wrapText="1"/>
      <protection locked="0" hidden="1"/>
    </xf>
    <xf numFmtId="0" fontId="5" fillId="0" borderId="0" xfId="303" applyAlignment="1" applyProtection="1">
      <alignment vertical="center"/>
      <protection locked="0" hidden="1"/>
    </xf>
    <xf numFmtId="44" fontId="32" fillId="4" borderId="0" xfId="303" applyNumberFormat="1" applyFont="1" applyFill="1" applyAlignment="1" applyProtection="1">
      <alignment horizontal="center"/>
      <protection locked="0" hidden="1"/>
    </xf>
    <xf numFmtId="0" fontId="32" fillId="0" borderId="0" xfId="303" applyFont="1" applyAlignment="1" applyProtection="1">
      <alignment horizontal="center" vertical="center" wrapText="1"/>
      <protection locked="0" hidden="1"/>
    </xf>
    <xf numFmtId="44" fontId="32" fillId="4" borderId="21" xfId="303" applyNumberFormat="1" applyFont="1" applyFill="1" applyBorder="1" applyAlignment="1" applyProtection="1">
      <alignment horizontal="center"/>
      <protection locked="0" hidden="1"/>
    </xf>
    <xf numFmtId="44" fontId="32" fillId="4" borderId="22" xfId="303" applyNumberFormat="1" applyFont="1" applyFill="1" applyBorder="1" applyAlignment="1" applyProtection="1">
      <alignment horizontal="center"/>
      <protection locked="0" hidden="1"/>
    </xf>
    <xf numFmtId="0" fontId="25" fillId="0" borderId="21" xfId="303" applyFont="1" applyBorder="1" applyAlignment="1" applyProtection="1">
      <alignment horizontal="right" wrapText="1"/>
      <protection locked="0" hidden="1"/>
    </xf>
    <xf numFmtId="0" fontId="25" fillId="0" borderId="0" xfId="303" applyFont="1" applyAlignment="1" applyProtection="1">
      <alignment horizontal="right" wrapText="1"/>
      <protection locked="0" hidden="1"/>
    </xf>
    <xf numFmtId="0" fontId="5" fillId="0" borderId="22" xfId="303" applyBorder="1" applyProtection="1">
      <protection locked="0" hidden="1"/>
    </xf>
    <xf numFmtId="166" fontId="5" fillId="0" borderId="0" xfId="303" applyNumberFormat="1" applyAlignment="1" applyProtection="1">
      <alignment horizontal="left"/>
      <protection locked="0" hidden="1"/>
    </xf>
    <xf numFmtId="166" fontId="5" fillId="0" borderId="22" xfId="303" applyNumberFormat="1" applyBorder="1" applyAlignment="1" applyProtection="1">
      <alignment horizontal="left"/>
      <protection locked="0" hidden="1"/>
    </xf>
    <xf numFmtId="0" fontId="25" fillId="0" borderId="24" xfId="303" applyFont="1" applyBorder="1" applyAlignment="1" applyProtection="1">
      <alignment horizontal="right" wrapText="1"/>
      <protection locked="0" hidden="1"/>
    </xf>
    <xf numFmtId="0" fontId="25" fillId="0" borderId="27" xfId="303" applyFont="1" applyBorder="1" applyAlignment="1" applyProtection="1">
      <alignment horizontal="right" wrapText="1"/>
      <protection locked="0" hidden="1"/>
    </xf>
    <xf numFmtId="0" fontId="5" fillId="0" borderId="27" xfId="303" applyBorder="1" applyProtection="1">
      <protection locked="0" hidden="1"/>
    </xf>
    <xf numFmtId="0" fontId="5" fillId="0" borderId="28" xfId="303" applyBorder="1" applyProtection="1">
      <protection locked="0" hidden="1"/>
    </xf>
    <xf numFmtId="0" fontId="36" fillId="0" borderId="0" xfId="303" applyFont="1" applyAlignment="1" applyProtection="1">
      <alignment horizontal="center"/>
      <protection locked="0" hidden="1"/>
    </xf>
    <xf numFmtId="164" fontId="25" fillId="0" borderId="20" xfId="223" applyNumberFormat="1" applyFont="1" applyFill="1" applyBorder="1" applyAlignment="1" applyProtection="1">
      <alignment horizontal="center"/>
      <protection locked="0" hidden="1"/>
    </xf>
    <xf numFmtId="0" fontId="5" fillId="0" borderId="19" xfId="303" applyBorder="1" applyAlignment="1" applyProtection="1">
      <alignment horizontal="center"/>
      <protection locked="0" hidden="1"/>
    </xf>
    <xf numFmtId="0" fontId="25" fillId="0" borderId="20" xfId="303" applyFont="1" applyBorder="1" applyAlignment="1" applyProtection="1">
      <alignment horizontal="center"/>
      <protection locked="0" hidden="1"/>
    </xf>
    <xf numFmtId="0" fontId="25" fillId="0" borderId="18" xfId="303" applyFont="1" applyBorder="1" applyAlignment="1" applyProtection="1">
      <alignment horizontal="center"/>
      <protection locked="0" hidden="1"/>
    </xf>
    <xf numFmtId="0" fontId="5" fillId="0" borderId="18" xfId="303" applyBorder="1" applyProtection="1">
      <protection locked="0" hidden="1"/>
    </xf>
    <xf numFmtId="0" fontId="5" fillId="0" borderId="19" xfId="303" applyBorder="1" applyProtection="1">
      <protection locked="0" hidden="1"/>
    </xf>
    <xf numFmtId="0" fontId="34" fillId="0" borderId="15" xfId="303" applyFont="1" applyBorder="1" applyAlignment="1" applyProtection="1">
      <alignment horizontal="center" vertical="center"/>
      <protection locked="0" hidden="1"/>
    </xf>
    <xf numFmtId="0" fontId="34" fillId="0" borderId="33" xfId="303" applyFont="1" applyBorder="1" applyAlignment="1" applyProtection="1">
      <alignment horizontal="center" vertical="center"/>
      <protection locked="0" hidden="1"/>
    </xf>
    <xf numFmtId="0" fontId="34" fillId="0" borderId="16" xfId="303" applyFont="1" applyBorder="1" applyAlignment="1" applyProtection="1">
      <alignment horizontal="center" vertical="center"/>
      <protection locked="0" hidden="1"/>
    </xf>
    <xf numFmtId="0" fontId="5" fillId="0" borderId="16" xfId="303" applyBorder="1" applyAlignment="1" applyProtection="1">
      <alignment horizontal="center" vertical="center"/>
      <protection locked="0" hidden="1"/>
    </xf>
    <xf numFmtId="44" fontId="34" fillId="0" borderId="15" xfId="223" applyFont="1" applyFill="1" applyBorder="1" applyAlignment="1" applyProtection="1">
      <alignment horizontal="center" vertical="center"/>
      <protection locked="0" hidden="1"/>
    </xf>
    <xf numFmtId="44" fontId="34" fillId="0" borderId="33" xfId="223" applyFont="1" applyFill="1" applyBorder="1" applyAlignment="1" applyProtection="1">
      <alignment horizontal="center" vertical="center"/>
      <protection hidden="1"/>
    </xf>
    <xf numFmtId="44" fontId="34" fillId="0" borderId="16" xfId="223" applyFont="1" applyFill="1" applyBorder="1" applyAlignment="1" applyProtection="1">
      <alignment horizontal="center" vertical="center"/>
      <protection hidden="1"/>
    </xf>
    <xf numFmtId="0" fontId="5" fillId="0" borderId="16" xfId="303" applyBorder="1" applyProtection="1">
      <protection hidden="1"/>
    </xf>
    <xf numFmtId="0" fontId="25" fillId="24" borderId="20" xfId="303" applyFont="1" applyFill="1" applyBorder="1" applyAlignment="1" applyProtection="1">
      <alignment horizontal="left" wrapText="1"/>
      <protection locked="0" hidden="1"/>
    </xf>
    <xf numFmtId="0" fontId="5" fillId="0" borderId="18" xfId="303" applyBorder="1" applyProtection="1">
      <protection hidden="1"/>
    </xf>
    <xf numFmtId="0" fontId="5" fillId="0" borderId="19" xfId="303" applyBorder="1" applyProtection="1">
      <protection hidden="1"/>
    </xf>
    <xf numFmtId="0" fontId="26" fillId="24" borderId="33" xfId="303" applyFont="1" applyFill="1" applyBorder="1" applyAlignment="1" applyProtection="1">
      <alignment horizontal="center" vertical="center" wrapText="1"/>
      <protection locked="0" hidden="1"/>
    </xf>
    <xf numFmtId="0" fontId="26" fillId="24" borderId="16" xfId="303" applyFont="1" applyFill="1" applyBorder="1" applyAlignment="1" applyProtection="1">
      <alignment horizontal="center" vertical="center" wrapText="1"/>
      <protection locked="0" hidden="1"/>
    </xf>
    <xf numFmtId="0" fontId="36" fillId="0" borderId="0" xfId="303" applyFont="1" applyAlignment="1" applyProtection="1">
      <alignment horizontal="right"/>
      <protection locked="0" hidden="1"/>
    </xf>
    <xf numFmtId="0" fontId="5" fillId="0" borderId="41" xfId="303" applyBorder="1" applyAlignment="1" applyProtection="1">
      <alignment horizontal="right"/>
      <protection locked="0" hidden="1"/>
    </xf>
    <xf numFmtId="0" fontId="5" fillId="0" borderId="41" xfId="303" applyBorder="1" applyProtection="1">
      <protection locked="0" hidden="1"/>
    </xf>
    <xf numFmtId="44" fontId="34" fillId="0" borderId="15" xfId="223" applyFont="1" applyFill="1" applyBorder="1" applyAlignment="1" applyProtection="1">
      <alignment horizontal="center" vertical="center"/>
      <protection hidden="1"/>
    </xf>
    <xf numFmtId="0" fontId="5" fillId="0" borderId="16" xfId="303" applyBorder="1" applyProtection="1">
      <protection locked="0" hidden="1"/>
    </xf>
    <xf numFmtId="44" fontId="34" fillId="0" borderId="16" xfId="223" applyFont="1" applyFill="1" applyBorder="1" applyAlignment="1" applyProtection="1">
      <alignment horizontal="center" vertical="center"/>
      <protection locked="0" hidden="1"/>
    </xf>
    <xf numFmtId="44" fontId="30" fillId="0" borderId="23" xfId="0" applyNumberFormat="1" applyFont="1" applyBorder="1" applyAlignment="1" applyProtection="1">
      <alignment horizontal="center"/>
      <protection locked="0" hidden="1"/>
    </xf>
    <xf numFmtId="44" fontId="30" fillId="0" borderId="41" xfId="0" applyNumberFormat="1" applyFont="1" applyBorder="1" applyAlignment="1" applyProtection="1">
      <alignment horizontal="center"/>
      <protection locked="0" hidden="1"/>
    </xf>
    <xf numFmtId="44" fontId="30" fillId="0" borderId="31" xfId="0" applyNumberFormat="1" applyFont="1" applyBorder="1" applyAlignment="1" applyProtection="1">
      <alignment horizontal="center"/>
      <protection locked="0" hidden="1"/>
    </xf>
    <xf numFmtId="0" fontId="34" fillId="0" borderId="23" xfId="0" applyFont="1" applyBorder="1" applyAlignment="1" applyProtection="1">
      <alignment horizontal="center"/>
      <protection locked="0" hidden="1"/>
    </xf>
    <xf numFmtId="0" fontId="0" fillId="0" borderId="31" xfId="0" applyBorder="1" applyProtection="1">
      <protection locked="0" hidden="1"/>
    </xf>
    <xf numFmtId="0" fontId="5" fillId="0" borderId="0" xfId="0" applyFont="1" applyAlignment="1" applyProtection="1">
      <alignment wrapText="1"/>
      <protection locked="0" hidden="1"/>
    </xf>
    <xf numFmtId="0" fontId="32" fillId="0" borderId="0" xfId="0" applyFont="1" applyAlignment="1" applyProtection="1">
      <alignment horizontal="center" vertical="center" wrapText="1"/>
      <protection locked="0" hidden="1"/>
    </xf>
    <xf numFmtId="44" fontId="32" fillId="4" borderId="24" xfId="0" applyNumberFormat="1" applyFont="1" applyFill="1" applyBorder="1" applyAlignment="1" applyProtection="1">
      <alignment horizontal="center"/>
      <protection locked="0" hidden="1"/>
    </xf>
    <xf numFmtId="0" fontId="25" fillId="0" borderId="0" xfId="0" applyFont="1" applyAlignment="1" applyProtection="1">
      <alignment horizontal="right" wrapText="1"/>
      <protection locked="0" hidden="1"/>
    </xf>
    <xf numFmtId="166" fontId="26" fillId="0" borderId="0" xfId="0" applyNumberFormat="1" applyFont="1" applyAlignment="1" applyProtection="1">
      <alignment horizontal="left" wrapText="1"/>
      <protection locked="0" hidden="1"/>
    </xf>
    <xf numFmtId="0" fontId="0" fillId="0" borderId="22" xfId="0" applyBorder="1" applyAlignment="1" applyProtection="1">
      <alignment horizontal="left"/>
      <protection locked="0" hidden="1"/>
    </xf>
    <xf numFmtId="8" fontId="26" fillId="0" borderId="0" xfId="0" applyNumberFormat="1" applyFont="1" applyAlignment="1" applyProtection="1">
      <alignment horizontal="left"/>
      <protection locked="0" hidden="1"/>
    </xf>
    <xf numFmtId="8" fontId="26" fillId="0" borderId="22" xfId="0" applyNumberFormat="1" applyFont="1" applyBorder="1" applyAlignment="1" applyProtection="1">
      <alignment horizontal="left"/>
      <protection locked="0" hidden="1"/>
    </xf>
    <xf numFmtId="0" fontId="26" fillId="0" borderId="0" xfId="0" applyFont="1" applyAlignment="1" applyProtection="1">
      <alignment horizontal="left" wrapText="1"/>
      <protection locked="0" hidden="1"/>
    </xf>
    <xf numFmtId="0" fontId="26" fillId="0" borderId="0" xfId="0" applyFont="1" applyProtection="1">
      <protection locked="0" hidden="1"/>
    </xf>
    <xf numFmtId="0" fontId="26" fillId="0" borderId="22" xfId="0" applyFont="1" applyBorder="1" applyProtection="1">
      <protection locked="0" hidden="1"/>
    </xf>
    <xf numFmtId="0" fontId="25" fillId="0" borderId="27" xfId="0" applyFont="1" applyBorder="1" applyAlignment="1" applyProtection="1">
      <alignment horizontal="right" wrapText="1"/>
      <protection locked="0" hidden="1"/>
    </xf>
    <xf numFmtId="0" fontId="26" fillId="0" borderId="27" xfId="0" applyFont="1" applyBorder="1" applyAlignment="1" applyProtection="1">
      <alignment horizontal="left" wrapText="1"/>
      <protection locked="0" hidden="1"/>
    </xf>
    <xf numFmtId="0" fontId="0" fillId="0" borderId="28" xfId="0" applyBorder="1" applyAlignment="1" applyProtection="1">
      <alignment horizontal="left"/>
      <protection locked="0" hidden="1"/>
    </xf>
    <xf numFmtId="0" fontId="26" fillId="0" borderId="27" xfId="0" applyFont="1" applyBorder="1" applyProtection="1">
      <protection locked="0" hidden="1"/>
    </xf>
    <xf numFmtId="0" fontId="26" fillId="0" borderId="28" xfId="0" applyFont="1" applyBorder="1" applyProtection="1">
      <protection locked="0" hidden="1"/>
    </xf>
    <xf numFmtId="164" fontId="26" fillId="0" borderId="0" xfId="223" applyNumberFormat="1" applyFont="1" applyAlignment="1" applyProtection="1">
      <alignment horizontal="center" vertical="center" wrapText="1"/>
      <protection locked="0" hidden="1"/>
    </xf>
    <xf numFmtId="44" fontId="30" fillId="0" borderId="0" xfId="0" applyNumberFormat="1" applyFont="1" applyAlignment="1" applyProtection="1">
      <alignment horizontal="center"/>
      <protection locked="0" hidden="1"/>
    </xf>
    <xf numFmtId="164" fontId="25" fillId="0" borderId="20" xfId="223" applyNumberFormat="1" applyFont="1" applyBorder="1" applyAlignment="1" applyProtection="1">
      <alignment horizontal="center"/>
      <protection locked="0" hidden="1"/>
    </xf>
    <xf numFmtId="0" fontId="0" fillId="0" borderId="18" xfId="0" applyBorder="1" applyAlignment="1" applyProtection="1">
      <alignment horizontal="center"/>
      <protection locked="0" hidden="1"/>
    </xf>
    <xf numFmtId="0" fontId="0" fillId="0" borderId="33"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34" fillId="0" borderId="17" xfId="0" applyFont="1" applyBorder="1" applyAlignment="1" applyProtection="1">
      <alignment horizontal="center" vertical="center"/>
      <protection locked="0" hidden="1"/>
    </xf>
    <xf numFmtId="0" fontId="0" fillId="0" borderId="17" xfId="0" applyBorder="1" applyAlignment="1" applyProtection="1">
      <alignment horizontal="center" vertical="center"/>
      <protection locked="0" hidden="1"/>
    </xf>
    <xf numFmtId="0" fontId="26" fillId="59" borderId="15" xfId="0" applyFont="1" applyFill="1" applyBorder="1" applyAlignment="1" applyProtection="1">
      <alignment horizontal="center" vertical="center" wrapText="1"/>
      <protection locked="0" hidden="1"/>
    </xf>
    <xf numFmtId="0" fontId="0" fillId="59" borderId="33" xfId="0" applyFill="1" applyBorder="1" applyAlignment="1" applyProtection="1">
      <alignment horizontal="center"/>
      <protection locked="0" hidden="1"/>
    </xf>
    <xf numFmtId="0" fontId="0" fillId="59" borderId="16" xfId="0" applyFill="1" applyBorder="1" applyAlignment="1" applyProtection="1">
      <alignment horizontal="center"/>
      <protection locked="0" hidden="1"/>
    </xf>
    <xf numFmtId="0" fontId="0" fillId="0" borderId="15" xfId="0" applyBorder="1" applyAlignment="1" applyProtection="1">
      <alignment horizontal="center" vertical="center"/>
      <protection locked="0" hidden="1"/>
    </xf>
    <xf numFmtId="44" fontId="30" fillId="0" borderId="23" xfId="303" applyNumberFormat="1" applyFont="1" applyBorder="1" applyAlignment="1" applyProtection="1">
      <alignment horizontal="center"/>
      <protection locked="0" hidden="1"/>
    </xf>
    <xf numFmtId="44" fontId="30" fillId="0" borderId="41" xfId="303" applyNumberFormat="1" applyFont="1" applyBorder="1" applyAlignment="1" applyProtection="1">
      <alignment horizontal="center"/>
      <protection locked="0" hidden="1"/>
    </xf>
    <xf numFmtId="44" fontId="30" fillId="0" borderId="31" xfId="303" applyNumberFormat="1" applyFont="1" applyBorder="1" applyAlignment="1" applyProtection="1">
      <alignment horizontal="center"/>
      <protection locked="0" hidden="1"/>
    </xf>
    <xf numFmtId="0" fontId="34" fillId="0" borderId="23" xfId="303" applyFont="1" applyBorder="1" applyAlignment="1" applyProtection="1">
      <alignment horizontal="center"/>
      <protection locked="0" hidden="1"/>
    </xf>
    <xf numFmtId="0" fontId="5" fillId="0" borderId="31" xfId="303" applyBorder="1" applyProtection="1">
      <protection locked="0" hidden="1"/>
    </xf>
    <xf numFmtId="0" fontId="5" fillId="0" borderId="0" xfId="303" applyAlignment="1" applyProtection="1">
      <alignment wrapText="1"/>
      <protection locked="0" hidden="1"/>
    </xf>
    <xf numFmtId="44" fontId="32" fillId="4" borderId="24" xfId="303" applyNumberFormat="1" applyFont="1" applyFill="1" applyBorder="1" applyAlignment="1" applyProtection="1">
      <alignment horizontal="center"/>
      <protection locked="0" hidden="1"/>
    </xf>
    <xf numFmtId="166" fontId="26" fillId="0" borderId="0" xfId="303" applyNumberFormat="1" applyFont="1" applyAlignment="1" applyProtection="1">
      <alignment horizontal="left" wrapText="1"/>
      <protection locked="0" hidden="1"/>
    </xf>
    <xf numFmtId="0" fontId="5" fillId="0" borderId="22" xfId="303" applyBorder="1" applyAlignment="1" applyProtection="1">
      <alignment horizontal="left"/>
      <protection locked="0" hidden="1"/>
    </xf>
    <xf numFmtId="8" fontId="26" fillId="0" borderId="0" xfId="303" applyNumberFormat="1" applyFont="1" applyAlignment="1" applyProtection="1">
      <alignment horizontal="left"/>
      <protection locked="0" hidden="1"/>
    </xf>
    <xf numFmtId="8" fontId="26" fillId="0" borderId="22" xfId="303" applyNumberFormat="1" applyFont="1" applyBorder="1" applyAlignment="1" applyProtection="1">
      <alignment horizontal="left"/>
      <protection locked="0" hidden="1"/>
    </xf>
    <xf numFmtId="0" fontId="26" fillId="0" borderId="0" xfId="303" applyFont="1" applyAlignment="1" applyProtection="1">
      <alignment horizontal="left" wrapText="1"/>
      <protection locked="0" hidden="1"/>
    </xf>
    <xf numFmtId="0" fontId="26" fillId="0" borderId="0" xfId="303" applyFont="1" applyProtection="1">
      <protection locked="0" hidden="1"/>
    </xf>
    <xf numFmtId="0" fontId="26" fillId="0" borderId="22" xfId="303" applyFont="1" applyBorder="1" applyProtection="1">
      <protection locked="0" hidden="1"/>
    </xf>
    <xf numFmtId="0" fontId="26" fillId="0" borderId="27" xfId="303" applyFont="1" applyBorder="1" applyAlignment="1" applyProtection="1">
      <alignment horizontal="left" wrapText="1"/>
      <protection locked="0" hidden="1"/>
    </xf>
    <xf numFmtId="0" fontId="5" fillId="0" borderId="28" xfId="303" applyBorder="1" applyAlignment="1" applyProtection="1">
      <alignment horizontal="left"/>
      <protection locked="0" hidden="1"/>
    </xf>
    <xf numFmtId="0" fontId="26" fillId="0" borderId="27" xfId="303" applyFont="1" applyBorder="1" applyProtection="1">
      <protection locked="0" hidden="1"/>
    </xf>
    <xf numFmtId="0" fontId="26" fillId="0" borderId="28" xfId="303" applyFont="1" applyBorder="1" applyProtection="1">
      <protection locked="0" hidden="1"/>
    </xf>
    <xf numFmtId="0" fontId="5" fillId="0" borderId="18" xfId="303" applyBorder="1" applyAlignment="1" applyProtection="1">
      <alignment horizontal="center"/>
      <protection locked="0" hidden="1"/>
    </xf>
    <xf numFmtId="0" fontId="5" fillId="0" borderId="33" xfId="303" applyBorder="1" applyAlignment="1" applyProtection="1">
      <alignment horizontal="center" vertical="center"/>
      <protection hidden="1"/>
    </xf>
    <xf numFmtId="0" fontId="5" fillId="0" borderId="16" xfId="303" applyBorder="1" applyAlignment="1" applyProtection="1">
      <alignment horizontal="center" vertical="center"/>
      <protection hidden="1"/>
    </xf>
    <xf numFmtId="0" fontId="34" fillId="0" borderId="17" xfId="303" applyFont="1" applyBorder="1" applyAlignment="1" applyProtection="1">
      <alignment horizontal="center" vertical="center"/>
      <protection locked="0" hidden="1"/>
    </xf>
    <xf numFmtId="0" fontId="5" fillId="0" borderId="17" xfId="303" applyBorder="1" applyAlignment="1" applyProtection="1">
      <alignment horizontal="center" vertical="center"/>
      <protection locked="0" hidden="1"/>
    </xf>
    <xf numFmtId="0" fontId="26" fillId="59" borderId="15" xfId="303" applyFont="1" applyFill="1" applyBorder="1" applyAlignment="1" applyProtection="1">
      <alignment horizontal="center" vertical="center" wrapText="1"/>
      <protection locked="0" hidden="1"/>
    </xf>
    <xf numFmtId="0" fontId="5" fillId="59" borderId="33" xfId="303" applyFill="1" applyBorder="1" applyAlignment="1" applyProtection="1">
      <alignment horizontal="center"/>
      <protection locked="0" hidden="1"/>
    </xf>
    <xf numFmtId="0" fontId="5" fillId="59" borderId="16" xfId="303" applyFill="1" applyBorder="1" applyAlignment="1" applyProtection="1">
      <alignment horizontal="center"/>
      <protection locked="0" hidden="1"/>
    </xf>
    <xf numFmtId="0" fontId="5" fillId="0" borderId="0" xfId="303" applyAlignment="1" applyProtection="1">
      <alignment horizontal="right"/>
      <protection locked="0" hidden="1"/>
    </xf>
    <xf numFmtId="0" fontId="5" fillId="0" borderId="15" xfId="303" applyBorder="1" applyAlignment="1" applyProtection="1">
      <alignment horizontal="center" vertical="center"/>
      <protection locked="0" hidden="1"/>
    </xf>
    <xf numFmtId="0" fontId="5" fillId="59" borderId="15" xfId="303" applyFill="1" applyBorder="1" applyAlignment="1" applyProtection="1">
      <alignment horizontal="center"/>
      <protection locked="0" hidden="1"/>
    </xf>
    <xf numFmtId="0" fontId="5" fillId="0" borderId="33" xfId="303" applyBorder="1" applyAlignment="1" applyProtection="1">
      <alignment horizontal="center"/>
      <protection hidden="1"/>
    </xf>
    <xf numFmtId="0" fontId="34" fillId="0" borderId="0" xfId="303" applyFont="1" applyAlignment="1" applyProtection="1">
      <alignment horizontal="right" wrapText="1"/>
      <protection locked="0" hidden="1"/>
    </xf>
    <xf numFmtId="0" fontId="5" fillId="0" borderId="0" xfId="303" applyAlignment="1" applyProtection="1">
      <alignment horizontal="right" wrapText="1"/>
      <protection locked="0" hidden="1"/>
    </xf>
    <xf numFmtId="44" fontId="5" fillId="0" borderId="33" xfId="303" applyNumberFormat="1" applyBorder="1" applyAlignment="1" applyProtection="1">
      <alignment horizontal="center" vertical="center"/>
      <protection hidden="1"/>
    </xf>
    <xf numFmtId="44" fontId="34" fillId="0" borderId="17" xfId="223" applyFont="1" applyFill="1" applyBorder="1" applyAlignment="1" applyProtection="1">
      <alignment horizontal="center" vertical="center"/>
      <protection hidden="1"/>
    </xf>
    <xf numFmtId="44" fontId="5" fillId="0" borderId="17" xfId="303" applyNumberFormat="1" applyBorder="1" applyAlignment="1" applyProtection="1">
      <alignment horizontal="center" vertical="center"/>
      <protection hidden="1"/>
    </xf>
    <xf numFmtId="44" fontId="5" fillId="0" borderId="15" xfId="303" applyNumberFormat="1" applyBorder="1" applyAlignment="1" applyProtection="1">
      <alignment horizontal="center" vertical="center"/>
      <protection hidden="1"/>
    </xf>
    <xf numFmtId="44" fontId="5" fillId="0" borderId="16" xfId="303" applyNumberFormat="1" applyBorder="1" applyAlignment="1" applyProtection="1">
      <alignment horizontal="center" vertical="center"/>
      <protection hidden="1"/>
    </xf>
    <xf numFmtId="0" fontId="34" fillId="24" borderId="20" xfId="303" applyFont="1" applyFill="1" applyBorder="1" applyAlignment="1" applyProtection="1">
      <alignment horizontal="left" wrapText="1"/>
      <protection locked="0" hidden="1"/>
    </xf>
    <xf numFmtId="49" fontId="41" fillId="0" borderId="15" xfId="303" applyNumberFormat="1" applyFont="1" applyBorder="1" applyAlignment="1" applyProtection="1">
      <alignment horizontal="center" vertical="center"/>
      <protection locked="0" hidden="1"/>
    </xf>
    <xf numFmtId="0" fontId="5" fillId="0" borderId="33" xfId="303" applyBorder="1" applyAlignment="1" applyProtection="1">
      <alignment horizontal="center" vertical="center"/>
      <protection locked="0" hidden="1"/>
    </xf>
    <xf numFmtId="0" fontId="26" fillId="0" borderId="28" xfId="303" applyFont="1" applyBorder="1" applyAlignment="1" applyProtection="1">
      <alignment horizontal="left" wrapText="1"/>
      <protection locked="0" hidden="1"/>
    </xf>
    <xf numFmtId="0" fontId="5" fillId="0" borderId="0" xfId="303" applyAlignment="1" applyProtection="1">
      <alignment horizontal="left"/>
      <protection locked="0" hidden="1"/>
    </xf>
    <xf numFmtId="0" fontId="26" fillId="0" borderId="22" xfId="303" applyFont="1" applyBorder="1" applyAlignment="1" applyProtection="1">
      <alignment horizontal="left" wrapText="1"/>
      <protection locked="0" hidden="1"/>
    </xf>
    <xf numFmtId="0" fontId="51" fillId="0" borderId="0" xfId="303" applyFont="1" applyAlignment="1" applyProtection="1">
      <alignment horizontal="center" vertical="center"/>
      <protection locked="0" hidden="1"/>
    </xf>
    <xf numFmtId="0" fontId="25" fillId="0" borderId="42" xfId="303" applyFont="1" applyBorder="1" applyAlignment="1" applyProtection="1">
      <alignment horizontal="center" vertical="center" wrapText="1"/>
      <protection locked="0" hidden="1"/>
    </xf>
    <xf numFmtId="0" fontId="5" fillId="0" borderId="42" xfId="303" applyBorder="1" applyProtection="1">
      <protection locked="0" hidden="1"/>
    </xf>
    <xf numFmtId="0" fontId="5" fillId="24" borderId="15" xfId="303" applyFill="1" applyBorder="1" applyAlignment="1" applyProtection="1">
      <alignment horizontal="center"/>
      <protection locked="0" hidden="1"/>
    </xf>
    <xf numFmtId="0" fontId="5" fillId="24" borderId="33" xfId="303" applyFill="1" applyBorder="1" applyAlignment="1" applyProtection="1">
      <alignment horizontal="center"/>
      <protection locked="0" hidden="1"/>
    </xf>
    <xf numFmtId="0" fontId="5" fillId="24" borderId="16" xfId="303" applyFill="1" applyBorder="1" applyAlignment="1" applyProtection="1">
      <alignment horizontal="center"/>
      <protection locked="0" hidden="1"/>
    </xf>
    <xf numFmtId="0" fontId="34" fillId="0" borderId="0" xfId="303" applyFont="1" applyAlignment="1" applyProtection="1">
      <alignment horizontal="right"/>
      <protection locked="0" hidden="1"/>
    </xf>
    <xf numFmtId="0" fontId="34" fillId="24" borderId="20" xfId="0" applyFont="1" applyFill="1" applyBorder="1" applyAlignment="1" applyProtection="1">
      <alignment horizontal="left" wrapText="1"/>
      <protection locked="0" hidden="1"/>
    </xf>
    <xf numFmtId="0" fontId="0" fillId="0" borderId="18" xfId="0" applyBorder="1" applyProtection="1">
      <protection hidden="1"/>
    </xf>
    <xf numFmtId="0" fontId="0" fillId="0" borderId="19" xfId="0" applyBorder="1" applyProtection="1">
      <protection hidden="1"/>
    </xf>
    <xf numFmtId="0" fontId="0" fillId="24" borderId="15" xfId="0" applyFill="1" applyBorder="1" applyAlignment="1" applyProtection="1">
      <alignment horizontal="center"/>
      <protection locked="0" hidden="1"/>
    </xf>
    <xf numFmtId="0" fontId="0" fillId="24" borderId="33" xfId="0" applyFill="1" applyBorder="1" applyAlignment="1" applyProtection="1">
      <alignment horizontal="center"/>
      <protection locked="0" hidden="1"/>
    </xf>
    <xf numFmtId="0" fontId="0" fillId="24" borderId="16" xfId="0" applyFill="1" applyBorder="1" applyAlignment="1" applyProtection="1">
      <alignment horizontal="center"/>
      <protection locked="0" hidden="1"/>
    </xf>
    <xf numFmtId="0" fontId="34" fillId="0" borderId="0" xfId="0" applyFont="1" applyAlignment="1" applyProtection="1">
      <alignment horizontal="right"/>
      <protection locked="0" hidden="1"/>
    </xf>
    <xf numFmtId="0" fontId="5" fillId="0" borderId="0" xfId="0" applyFont="1" applyAlignment="1" applyProtection="1">
      <alignment horizontal="right"/>
      <protection locked="0" hidden="1"/>
    </xf>
    <xf numFmtId="0" fontId="0" fillId="0" borderId="33" xfId="0" applyBorder="1" applyAlignment="1" applyProtection="1">
      <alignment horizontal="center"/>
      <protection locked="0" hidden="1"/>
    </xf>
    <xf numFmtId="0" fontId="34" fillId="0" borderId="33" xfId="0" applyFont="1" applyBorder="1" applyAlignment="1" applyProtection="1">
      <alignment horizontal="center" vertical="center"/>
      <protection locked="0" hidden="1"/>
    </xf>
    <xf numFmtId="49" fontId="41" fillId="0" borderId="15" xfId="0" applyNumberFormat="1" applyFont="1" applyBorder="1" applyAlignment="1" applyProtection="1">
      <alignment horizontal="center" vertical="center"/>
      <protection locked="0" hidden="1"/>
    </xf>
    <xf numFmtId="0" fontId="0" fillId="0" borderId="33" xfId="0" applyBorder="1" applyAlignment="1" applyProtection="1">
      <alignment horizontal="center" vertical="center"/>
      <protection locked="0" hidden="1"/>
    </xf>
    <xf numFmtId="44" fontId="0" fillId="0" borderId="33" xfId="0" applyNumberFormat="1" applyBorder="1" applyAlignment="1" applyProtection="1">
      <alignment horizontal="center" vertical="center"/>
      <protection locked="0" hidden="1"/>
    </xf>
    <xf numFmtId="44" fontId="0" fillId="0" borderId="33" xfId="0" applyNumberFormat="1" applyBorder="1" applyAlignment="1" applyProtection="1">
      <alignment horizontal="center" vertical="center"/>
      <protection hidden="1"/>
    </xf>
    <xf numFmtId="44" fontId="34" fillId="0" borderId="17" xfId="222" applyFont="1" applyFill="1" applyBorder="1" applyAlignment="1" applyProtection="1">
      <alignment horizontal="center" vertical="center"/>
      <protection hidden="1"/>
    </xf>
    <xf numFmtId="44" fontId="0" fillId="0" borderId="17" xfId="0" applyNumberFormat="1" applyBorder="1" applyAlignment="1" applyProtection="1">
      <alignment horizontal="center" vertical="center"/>
      <protection locked="0" hidden="1"/>
    </xf>
    <xf numFmtId="44" fontId="0" fillId="0" borderId="15" xfId="0" applyNumberFormat="1" applyBorder="1" applyAlignment="1" applyProtection="1">
      <alignment horizontal="center" vertical="center"/>
      <protection hidden="1"/>
    </xf>
    <xf numFmtId="0" fontId="0" fillId="0" borderId="33" xfId="0" applyBorder="1" applyAlignment="1" applyProtection="1">
      <alignment horizontal="center"/>
      <protection hidden="1"/>
    </xf>
    <xf numFmtId="44" fontId="0" fillId="0" borderId="16" xfId="0" applyNumberFormat="1" applyBorder="1" applyAlignment="1" applyProtection="1">
      <alignment horizontal="center" vertical="center"/>
      <protection locked="0" hidden="1"/>
    </xf>
    <xf numFmtId="44" fontId="0" fillId="0" borderId="17" xfId="0" applyNumberFormat="1" applyBorder="1" applyAlignment="1" applyProtection="1">
      <alignment horizontal="center" vertical="center"/>
      <protection hidden="1"/>
    </xf>
    <xf numFmtId="0" fontId="36" fillId="0" borderId="0" xfId="0" applyFont="1" applyAlignment="1" applyProtection="1">
      <alignment horizontal="center"/>
      <protection locked="0" hidden="1"/>
    </xf>
    <xf numFmtId="44" fontId="34" fillId="0" borderId="15" xfId="222" applyFont="1" applyFill="1" applyBorder="1" applyAlignment="1" applyProtection="1">
      <alignment horizontal="center" vertical="center"/>
      <protection locked="0" hidden="1"/>
    </xf>
    <xf numFmtId="44" fontId="34" fillId="0" borderId="17" xfId="222" applyFont="1" applyFill="1" applyBorder="1" applyAlignment="1" applyProtection="1">
      <alignment horizontal="center" vertical="center"/>
      <protection locked="0" hidden="1"/>
    </xf>
    <xf numFmtId="0" fontId="26" fillId="0" borderId="28" xfId="0" applyFont="1" applyBorder="1" applyAlignment="1" applyProtection="1">
      <alignment horizontal="left" wrapText="1"/>
      <protection locked="0" hidden="1"/>
    </xf>
    <xf numFmtId="0" fontId="5" fillId="0" borderId="28" xfId="0" applyFont="1" applyBorder="1" applyProtection="1">
      <protection locked="0" hidden="1"/>
    </xf>
    <xf numFmtId="0" fontId="26" fillId="0" borderId="22" xfId="0" applyFont="1" applyBorder="1" applyAlignment="1" applyProtection="1">
      <alignment horizontal="left" wrapText="1"/>
      <protection locked="0" hidden="1"/>
    </xf>
    <xf numFmtId="166" fontId="26" fillId="0" borderId="22" xfId="0" applyNumberFormat="1" applyFont="1" applyBorder="1" applyAlignment="1" applyProtection="1">
      <alignment horizontal="left" wrapText="1"/>
      <protection locked="0" hidden="1"/>
    </xf>
    <xf numFmtId="0" fontId="51" fillId="0" borderId="0" xfId="0" applyFont="1" applyAlignment="1" applyProtection="1">
      <alignment horizontal="center" vertical="center"/>
      <protection locked="0" hidden="1"/>
    </xf>
    <xf numFmtId="0" fontId="25" fillId="0" borderId="42" xfId="0" applyFont="1" applyBorder="1" applyAlignment="1" applyProtection="1">
      <alignment horizontal="center" vertical="center" wrapText="1"/>
      <protection locked="0" hidden="1"/>
    </xf>
    <xf numFmtId="0" fontId="0" fillId="0" borderId="42" xfId="0" applyBorder="1" applyProtection="1">
      <protection locked="0" hidden="1"/>
    </xf>
    <xf numFmtId="44" fontId="32" fillId="4" borderId="27" xfId="0" applyNumberFormat="1" applyFont="1" applyFill="1" applyBorder="1" applyAlignment="1" applyProtection="1">
      <alignment horizontal="center"/>
      <protection locked="0" hidden="1"/>
    </xf>
    <xf numFmtId="0" fontId="34" fillId="0" borderId="41" xfId="0" applyFont="1" applyBorder="1" applyAlignment="1" applyProtection="1">
      <alignment horizontal="center"/>
      <protection locked="0" hidden="1"/>
    </xf>
    <xf numFmtId="0" fontId="34" fillId="0" borderId="31" xfId="0" applyFont="1" applyBorder="1" applyAlignment="1" applyProtection="1">
      <alignment horizontal="center"/>
      <protection locked="0" hidden="1"/>
    </xf>
    <xf numFmtId="0" fontId="26" fillId="24" borderId="15" xfId="303" applyFont="1" applyFill="1" applyBorder="1" applyAlignment="1" applyProtection="1">
      <alignment horizontal="center" vertical="center" wrapText="1"/>
      <protection locked="0" hidden="1"/>
    </xf>
    <xf numFmtId="0" fontId="5" fillId="0" borderId="33" xfId="303" applyBorder="1" applyAlignment="1" applyProtection="1">
      <alignment horizontal="center"/>
      <protection locked="0" hidden="1"/>
    </xf>
    <xf numFmtId="0" fontId="5" fillId="0" borderId="16" xfId="303" applyBorder="1" applyAlignment="1" applyProtection="1">
      <alignment horizontal="center"/>
      <protection locked="0" hidden="1"/>
    </xf>
    <xf numFmtId="0" fontId="34" fillId="0" borderId="41" xfId="303" applyFont="1" applyBorder="1" applyAlignment="1" applyProtection="1">
      <alignment horizontal="center"/>
      <protection locked="0" hidden="1"/>
    </xf>
    <xf numFmtId="0" fontId="34" fillId="0" borderId="31" xfId="303" applyFont="1" applyBorder="1" applyAlignment="1" applyProtection="1">
      <alignment horizontal="center"/>
      <protection locked="0" hidden="1"/>
    </xf>
    <xf numFmtId="166" fontId="26" fillId="0" borderId="22" xfId="303" applyNumberFormat="1" applyFont="1" applyBorder="1" applyAlignment="1" applyProtection="1">
      <alignment horizontal="left" wrapText="1"/>
      <protection locked="0" hidden="1"/>
    </xf>
    <xf numFmtId="44" fontId="32" fillId="4" borderId="27" xfId="303" applyNumberFormat="1" applyFont="1" applyFill="1" applyBorder="1" applyAlignment="1" applyProtection="1">
      <alignment horizontal="center"/>
      <protection locked="0" hidden="1"/>
    </xf>
    <xf numFmtId="44" fontId="32" fillId="4" borderId="0" xfId="378" applyNumberFormat="1" applyFont="1" applyFill="1" applyAlignment="1" applyProtection="1">
      <alignment horizontal="center"/>
      <protection locked="0" hidden="1"/>
    </xf>
    <xf numFmtId="44" fontId="5" fillId="0" borderId="33" xfId="303" applyNumberFormat="1" applyBorder="1" applyAlignment="1" applyProtection="1">
      <alignment horizontal="center" vertical="center"/>
      <protection locked="0" hidden="1"/>
    </xf>
    <xf numFmtId="44" fontId="5" fillId="0" borderId="16" xfId="303" applyNumberFormat="1" applyBorder="1" applyAlignment="1" applyProtection="1">
      <alignment horizontal="center" vertical="center"/>
      <protection locked="0" hidden="1"/>
    </xf>
    <xf numFmtId="0" fontId="26" fillId="59" borderId="15" xfId="303" applyFont="1" applyFill="1" applyBorder="1" applyAlignment="1" applyProtection="1">
      <alignment horizontal="center"/>
      <protection locked="0" hidden="1"/>
    </xf>
    <xf numFmtId="0" fontId="26" fillId="59" borderId="33" xfId="303" applyFont="1" applyFill="1" applyBorder="1" applyAlignment="1" applyProtection="1">
      <alignment horizontal="center"/>
      <protection locked="0" hidden="1"/>
    </xf>
    <xf numFmtId="0" fontId="26" fillId="59" borderId="16" xfId="303" applyFont="1" applyFill="1" applyBorder="1" applyAlignment="1" applyProtection="1">
      <alignment horizontal="center"/>
      <protection locked="0" hidden="1"/>
    </xf>
    <xf numFmtId="44" fontId="34" fillId="0" borderId="17" xfId="223" applyFont="1" applyFill="1" applyBorder="1" applyAlignment="1" applyProtection="1">
      <alignment horizontal="center" vertical="center"/>
      <protection locked="0" hidden="1"/>
    </xf>
    <xf numFmtId="44" fontId="5" fillId="0" borderId="17" xfId="303" applyNumberFormat="1" applyBorder="1" applyAlignment="1" applyProtection="1">
      <alignment horizontal="center" vertical="center"/>
      <protection locked="0" hidden="1"/>
    </xf>
    <xf numFmtId="0" fontId="29" fillId="0" borderId="0" xfId="303" applyFont="1" applyAlignment="1" applyProtection="1">
      <alignment horizontal="center" vertical="center" wrapText="1"/>
      <protection locked="0" hidden="1"/>
    </xf>
    <xf numFmtId="0" fontId="34" fillId="0" borderId="15" xfId="223" applyNumberFormat="1" applyFont="1" applyFill="1" applyBorder="1" applyAlignment="1" applyProtection="1">
      <alignment horizontal="center" vertical="center"/>
      <protection locked="0" hidden="1"/>
    </xf>
    <xf numFmtId="44" fontId="34" fillId="0" borderId="15" xfId="223" applyFont="1" applyFill="1" applyBorder="1" applyAlignment="1" applyProtection="1">
      <alignment horizontal="left" vertical="center"/>
      <protection locked="0" hidden="1"/>
    </xf>
    <xf numFmtId="0" fontId="5" fillId="0" borderId="33" xfId="303" applyBorder="1" applyProtection="1">
      <protection locked="0" hidden="1"/>
    </xf>
    <xf numFmtId="0" fontId="36" fillId="0" borderId="41" xfId="303" applyFont="1" applyBorder="1" applyAlignment="1" applyProtection="1">
      <alignment horizontal="right"/>
      <protection locked="0" hidden="1"/>
    </xf>
    <xf numFmtId="44" fontId="34" fillId="0" borderId="15" xfId="223" applyFont="1" applyFill="1" applyBorder="1" applyAlignment="1" applyProtection="1">
      <alignment horizontal="left" vertical="center"/>
      <protection hidden="1"/>
    </xf>
    <xf numFmtId="0" fontId="5" fillId="0" borderId="33" xfId="303" applyBorder="1" applyProtection="1">
      <protection hidden="1"/>
    </xf>
    <xf numFmtId="0" fontId="5" fillId="0" borderId="17" xfId="303" applyBorder="1" applyAlignment="1" applyProtection="1">
      <alignment horizontal="center"/>
      <protection locked="0" hidden="1"/>
    </xf>
    <xf numFmtId="0" fontId="5" fillId="0" borderId="15" xfId="303" applyBorder="1" applyAlignment="1" applyProtection="1">
      <alignment horizontal="center"/>
      <protection locked="0" hidden="1"/>
    </xf>
    <xf numFmtId="49" fontId="34" fillId="0" borderId="15" xfId="303" applyNumberFormat="1" applyFont="1" applyBorder="1" applyAlignment="1" applyProtection="1">
      <alignment horizontal="center" vertical="center" wrapText="1"/>
      <protection locked="0" hidden="1"/>
    </xf>
    <xf numFmtId="0" fontId="25" fillId="0" borderId="19" xfId="303" applyFont="1" applyBorder="1" applyAlignment="1" applyProtection="1">
      <alignment horizontal="center"/>
      <protection locked="0" hidden="1"/>
    </xf>
    <xf numFmtId="164" fontId="25" fillId="0" borderId="19" xfId="223" applyNumberFormat="1" applyFont="1" applyFill="1" applyBorder="1" applyAlignment="1" applyProtection="1">
      <alignment horizontal="center"/>
      <protection locked="0" hidden="1"/>
    </xf>
    <xf numFmtId="0" fontId="34" fillId="24" borderId="18" xfId="303" applyFont="1" applyFill="1" applyBorder="1" applyAlignment="1" applyProtection="1">
      <alignment horizontal="left" wrapText="1"/>
      <protection locked="0" hidden="1"/>
    </xf>
    <xf numFmtId="0" fontId="34" fillId="24" borderId="19" xfId="303" applyFont="1" applyFill="1" applyBorder="1" applyAlignment="1" applyProtection="1">
      <alignment horizontal="left" wrapText="1"/>
      <protection locked="0" hidden="1"/>
    </xf>
    <xf numFmtId="49" fontId="34" fillId="0" borderId="33" xfId="303" applyNumberFormat="1" applyFont="1" applyBorder="1" applyAlignment="1" applyProtection="1">
      <alignment horizontal="center" vertical="center" wrapText="1"/>
      <protection locked="0" hidden="1"/>
    </xf>
    <xf numFmtId="49" fontId="34" fillId="0" borderId="16" xfId="303" applyNumberFormat="1" applyFont="1" applyBorder="1" applyAlignment="1" applyProtection="1">
      <alignment horizontal="center" vertical="center" wrapText="1"/>
      <protection locked="0" hidden="1"/>
    </xf>
    <xf numFmtId="44" fontId="34" fillId="0" borderId="33" xfId="223" applyFont="1" applyFill="1" applyBorder="1" applyAlignment="1" applyProtection="1">
      <alignment horizontal="center" vertical="center"/>
      <protection locked="0" hidden="1"/>
    </xf>
    <xf numFmtId="0" fontId="0" fillId="0" borderId="0" xfId="0" applyAlignment="1" applyProtection="1">
      <alignment vertical="center"/>
      <protection locked="0" hidden="1"/>
    </xf>
    <xf numFmtId="0" fontId="0" fillId="0" borderId="17" xfId="0" applyBorder="1" applyAlignment="1" applyProtection="1">
      <alignment horizontal="center"/>
      <protection locked="0" hidden="1"/>
    </xf>
    <xf numFmtId="49" fontId="34" fillId="0" borderId="15" xfId="0" applyNumberFormat="1" applyFont="1" applyBorder="1" applyAlignment="1" applyProtection="1">
      <alignment horizontal="center" vertical="center" wrapText="1"/>
      <protection locked="0" hidden="1"/>
    </xf>
    <xf numFmtId="0" fontId="0" fillId="0" borderId="15" xfId="0" applyBorder="1" applyAlignment="1" applyProtection="1">
      <alignment horizontal="center"/>
      <protection locked="0" hidden="1"/>
    </xf>
    <xf numFmtId="164" fontId="25" fillId="0" borderId="20" xfId="222" applyNumberFormat="1" applyFont="1" applyFill="1" applyBorder="1" applyAlignment="1" applyProtection="1">
      <alignment horizontal="center"/>
      <protection locked="0" hidden="1"/>
    </xf>
    <xf numFmtId="164" fontId="26" fillId="0" borderId="41" xfId="223" applyNumberFormat="1" applyFont="1" applyBorder="1" applyAlignment="1" applyProtection="1">
      <alignment horizontal="center" vertical="center" wrapText="1"/>
      <protection locked="0" hidden="1"/>
    </xf>
    <xf numFmtId="0" fontId="34" fillId="0" borderId="33" xfId="223" applyNumberFormat="1" applyFont="1" applyFill="1" applyBorder="1" applyAlignment="1" applyProtection="1">
      <alignment horizontal="center" vertical="center"/>
      <protection locked="0" hidden="1"/>
    </xf>
    <xf numFmtId="44" fontId="34" fillId="0" borderId="33" xfId="223" applyFont="1" applyFill="1" applyBorder="1" applyAlignment="1" applyProtection="1">
      <alignment horizontal="left" vertical="center"/>
      <protection locked="0" hidden="1"/>
    </xf>
    <xf numFmtId="0" fontId="25" fillId="24" borderId="20" xfId="303" applyFont="1" applyFill="1" applyBorder="1" applyAlignment="1" applyProtection="1">
      <alignment horizontal="left"/>
      <protection locked="0" hidden="1"/>
    </xf>
    <xf numFmtId="164" fontId="26" fillId="0" borderId="0" xfId="222" applyNumberFormat="1" applyFont="1" applyAlignment="1" applyProtection="1">
      <alignment horizontal="center" vertical="center" wrapText="1"/>
      <protection locked="0" hidden="1"/>
    </xf>
    <xf numFmtId="0" fontId="34" fillId="0" borderId="15" xfId="222" applyNumberFormat="1" applyFont="1" applyFill="1" applyBorder="1" applyAlignment="1" applyProtection="1">
      <alignment horizontal="center" vertical="center"/>
      <protection locked="0" hidden="1"/>
    </xf>
    <xf numFmtId="44" fontId="34" fillId="0" borderId="15" xfId="222" applyFont="1" applyFill="1" applyBorder="1" applyAlignment="1" applyProtection="1">
      <alignment horizontal="left" vertical="center"/>
      <protection locked="0" hidden="1"/>
    </xf>
    <xf numFmtId="0" fontId="0" fillId="0" borderId="33" xfId="0" applyBorder="1" applyProtection="1">
      <protection hidden="1"/>
    </xf>
    <xf numFmtId="0" fontId="25" fillId="24" borderId="20" xfId="0" applyFont="1" applyFill="1" applyBorder="1" applyAlignment="1" applyProtection="1">
      <alignment horizontal="left"/>
      <protection locked="0" hidden="1"/>
    </xf>
    <xf numFmtId="0" fontId="0" fillId="0" borderId="16" xfId="0" applyBorder="1" applyAlignment="1" applyProtection="1">
      <alignment horizontal="center"/>
      <protection locked="0" hidden="1"/>
    </xf>
    <xf numFmtId="0" fontId="0" fillId="0" borderId="41" xfId="0" applyBorder="1" applyAlignment="1" applyProtection="1">
      <alignment horizontal="right"/>
      <protection locked="0" hidden="1"/>
    </xf>
    <xf numFmtId="0" fontId="66" fillId="0" borderId="41" xfId="0" applyFont="1" applyBorder="1" applyAlignment="1" applyProtection="1">
      <alignment horizontal="right"/>
      <protection locked="0" hidden="1"/>
    </xf>
    <xf numFmtId="0" fontId="66" fillId="0" borderId="41" xfId="0" applyFont="1" applyBorder="1" applyAlignment="1" applyProtection="1">
      <alignment horizontal="right"/>
      <protection hidden="1"/>
    </xf>
    <xf numFmtId="44" fontId="58" fillId="4" borderId="23" xfId="0" applyNumberFormat="1" applyFont="1" applyFill="1" applyBorder="1" applyAlignment="1" applyProtection="1">
      <alignment horizontal="center"/>
      <protection locked="0" hidden="1"/>
    </xf>
    <xf numFmtId="44" fontId="58" fillId="4" borderId="41" xfId="0" applyNumberFormat="1" applyFont="1" applyFill="1" applyBorder="1" applyAlignment="1" applyProtection="1">
      <alignment horizontal="center"/>
      <protection locked="0" hidden="1"/>
    </xf>
    <xf numFmtId="44" fontId="58" fillId="4" borderId="31" xfId="0" applyNumberFormat="1" applyFont="1" applyFill="1" applyBorder="1" applyAlignment="1" applyProtection="1">
      <alignment horizontal="center"/>
      <protection locked="0" hidden="1"/>
    </xf>
    <xf numFmtId="0" fontId="37" fillId="0" borderId="24" xfId="0" applyFont="1" applyBorder="1" applyAlignment="1" applyProtection="1">
      <alignment horizontal="center" wrapText="1"/>
      <protection locked="0" hidden="1"/>
    </xf>
    <xf numFmtId="0" fontId="37" fillId="0" borderId="27" xfId="0" applyFont="1" applyBorder="1" applyAlignment="1" applyProtection="1">
      <alignment horizontal="center" wrapText="1"/>
      <protection locked="0" hidden="1"/>
    </xf>
    <xf numFmtId="0" fontId="37" fillId="0" borderId="28" xfId="0" applyFont="1" applyBorder="1" applyAlignment="1" applyProtection="1">
      <alignment horizontal="center" wrapText="1"/>
      <protection locked="0" hidden="1"/>
    </xf>
    <xf numFmtId="0" fontId="37" fillId="0" borderId="21" xfId="0" applyFont="1" applyBorder="1" applyAlignment="1" applyProtection="1">
      <alignment horizontal="center" wrapText="1"/>
      <protection locked="0" hidden="1"/>
    </xf>
    <xf numFmtId="0" fontId="37" fillId="0" borderId="0" xfId="0" applyFont="1" applyAlignment="1" applyProtection="1">
      <alignment horizontal="center" wrapText="1"/>
      <protection locked="0" hidden="1"/>
    </xf>
    <xf numFmtId="0" fontId="37" fillId="0" borderId="22" xfId="0" applyFont="1" applyBorder="1" applyAlignment="1" applyProtection="1">
      <alignment horizontal="center" wrapText="1"/>
      <protection locked="0" hidden="1"/>
    </xf>
    <xf numFmtId="0" fontId="37" fillId="0" borderId="21" xfId="0" applyFont="1" applyBorder="1" applyAlignment="1" applyProtection="1">
      <alignment horizontal="right" wrapText="1"/>
      <protection locked="0" hidden="1"/>
    </xf>
    <xf numFmtId="0" fontId="37" fillId="0" borderId="0" xfId="0" applyFont="1" applyAlignment="1" applyProtection="1">
      <alignment horizontal="right" wrapText="1"/>
      <protection locked="0" hidden="1"/>
    </xf>
    <xf numFmtId="0" fontId="55" fillId="0" borderId="0" xfId="0" applyFont="1" applyAlignment="1" applyProtection="1">
      <alignment horizontal="center" vertical="center"/>
      <protection locked="0" hidden="1"/>
    </xf>
    <xf numFmtId="0" fontId="56" fillId="0" borderId="42" xfId="0" applyFont="1" applyBorder="1" applyAlignment="1" applyProtection="1">
      <alignment horizontal="center" vertical="center" wrapText="1"/>
      <protection locked="0" hidden="1"/>
    </xf>
    <xf numFmtId="0" fontId="57" fillId="0" borderId="42" xfId="0" applyFont="1" applyBorder="1" applyAlignment="1" applyProtection="1">
      <alignment vertical="center" wrapText="1"/>
      <protection locked="0" hidden="1"/>
    </xf>
    <xf numFmtId="44" fontId="58" fillId="4" borderId="0" xfId="0" applyNumberFormat="1" applyFont="1" applyFill="1" applyAlignment="1" applyProtection="1">
      <alignment horizontal="center"/>
      <protection locked="0" hidden="1"/>
    </xf>
    <xf numFmtId="0" fontId="50" fillId="24" borderId="20" xfId="378" applyFont="1" applyFill="1" applyBorder="1" applyAlignment="1" applyProtection="1">
      <alignment horizontal="left"/>
      <protection locked="0" hidden="1"/>
    </xf>
    <xf numFmtId="0" fontId="50" fillId="24" borderId="18" xfId="378" applyFont="1" applyFill="1" applyBorder="1" applyAlignment="1" applyProtection="1">
      <alignment horizontal="left"/>
      <protection locked="0" hidden="1"/>
    </xf>
    <xf numFmtId="0" fontId="60" fillId="24" borderId="33" xfId="0" applyFont="1" applyFill="1" applyBorder="1" applyAlignment="1" applyProtection="1">
      <alignment horizontal="center"/>
      <protection locked="0" hidden="1"/>
    </xf>
    <xf numFmtId="0" fontId="60" fillId="24" borderId="16" xfId="0" applyFont="1" applyFill="1" applyBorder="1" applyAlignment="1" applyProtection="1">
      <alignment horizontal="center"/>
      <protection locked="0" hidden="1"/>
    </xf>
    <xf numFmtId="164" fontId="37" fillId="0" borderId="20" xfId="222" applyNumberFormat="1" applyFont="1" applyBorder="1" applyAlignment="1" applyProtection="1">
      <alignment horizontal="center"/>
      <protection locked="0" hidden="1"/>
    </xf>
    <xf numFmtId="0" fontId="60" fillId="0" borderId="18" xfId="0" applyFont="1" applyBorder="1" applyAlignment="1" applyProtection="1">
      <alignment horizontal="center"/>
      <protection locked="0" hidden="1"/>
    </xf>
    <xf numFmtId="0" fontId="60" fillId="0" borderId="18" xfId="0" applyFont="1" applyBorder="1" applyProtection="1">
      <protection locked="0" hidden="1"/>
    </xf>
    <xf numFmtId="0" fontId="60" fillId="0" borderId="19" xfId="0" applyFont="1" applyBorder="1" applyProtection="1">
      <protection locked="0" hidden="1"/>
    </xf>
    <xf numFmtId="0" fontId="50" fillId="24" borderId="20" xfId="378" applyFont="1" applyFill="1" applyBorder="1" applyAlignment="1" applyProtection="1">
      <alignment horizontal="center"/>
      <protection locked="0" hidden="1"/>
    </xf>
    <xf numFmtId="0" fontId="50" fillId="24" borderId="18" xfId="378" applyFont="1" applyFill="1" applyBorder="1" applyAlignment="1" applyProtection="1">
      <alignment horizontal="center"/>
      <protection locked="0" hidden="1"/>
    </xf>
    <xf numFmtId="0" fontId="60" fillId="0" borderId="0" xfId="0" applyFont="1" applyAlignment="1" applyProtection="1">
      <alignment horizontal="left"/>
      <protection locked="0" hidden="1"/>
    </xf>
    <xf numFmtId="0" fontId="60" fillId="0" borderId="22" xfId="0" applyFont="1" applyBorder="1" applyAlignment="1" applyProtection="1">
      <alignment horizontal="left"/>
      <protection locked="0" hidden="1"/>
    </xf>
    <xf numFmtId="0" fontId="66" fillId="0" borderId="0" xfId="0" applyFont="1" applyAlignment="1" applyProtection="1">
      <alignment horizontal="right"/>
      <protection locked="0" hidden="1"/>
    </xf>
    <xf numFmtId="166" fontId="60" fillId="0" borderId="0" xfId="0" applyNumberFormat="1" applyFont="1" applyAlignment="1" applyProtection="1">
      <alignment horizontal="left"/>
      <protection locked="0" hidden="1"/>
    </xf>
    <xf numFmtId="166" fontId="60" fillId="0" borderId="22" xfId="0" applyNumberFormat="1" applyFont="1" applyBorder="1" applyAlignment="1" applyProtection="1">
      <alignment horizontal="left"/>
      <protection locked="0" hidden="1"/>
    </xf>
    <xf numFmtId="0" fontId="0" fillId="0" borderId="43" xfId="0" applyBorder="1" applyAlignment="1" applyProtection="1">
      <alignment horizontal="center"/>
      <protection locked="0" hidden="1"/>
    </xf>
    <xf numFmtId="0" fontId="29" fillId="0" borderId="42" xfId="0" applyFont="1" applyBorder="1" applyAlignment="1" applyProtection="1">
      <alignment horizontal="center" vertical="center" wrapText="1"/>
      <protection locked="0" hidden="1"/>
    </xf>
    <xf numFmtId="0" fontId="36" fillId="0" borderId="41" xfId="0" applyFont="1" applyBorder="1" applyAlignment="1" applyProtection="1">
      <alignment horizontal="right"/>
      <protection locked="0" hidden="1"/>
    </xf>
    <xf numFmtId="166" fontId="59" fillId="0" borderId="0" xfId="0" applyNumberFormat="1" applyFont="1" applyAlignment="1" applyProtection="1">
      <alignment horizontal="left" wrapText="1"/>
      <protection locked="0" hidden="1"/>
    </xf>
    <xf numFmtId="44" fontId="37" fillId="0" borderId="21" xfId="0" applyNumberFormat="1" applyFont="1" applyBorder="1" applyAlignment="1" applyProtection="1">
      <alignment horizontal="center"/>
      <protection locked="0" hidden="1"/>
    </xf>
    <xf numFmtId="44" fontId="37" fillId="0" borderId="0" xfId="0" applyNumberFormat="1" applyFont="1" applyAlignment="1" applyProtection="1">
      <alignment horizontal="center"/>
      <protection locked="0" hidden="1"/>
    </xf>
    <xf numFmtId="0" fontId="74" fillId="60" borderId="33" xfId="0" applyFont="1" applyFill="1" applyBorder="1" applyAlignment="1" applyProtection="1">
      <alignment horizontal="center"/>
      <protection locked="0" hidden="1"/>
    </xf>
    <xf numFmtId="0" fontId="74" fillId="60" borderId="16" xfId="0" applyFont="1" applyFill="1" applyBorder="1" applyAlignment="1" applyProtection="1">
      <alignment horizontal="center"/>
      <protection locked="0" hidden="1"/>
    </xf>
    <xf numFmtId="164" fontId="25" fillId="0" borderId="24" xfId="222" applyNumberFormat="1" applyFont="1" applyFill="1" applyBorder="1" applyAlignment="1" applyProtection="1">
      <alignment horizontal="center"/>
      <protection locked="0" hidden="1"/>
    </xf>
    <xf numFmtId="164" fontId="25" fillId="0" borderId="27" xfId="222" applyNumberFormat="1" applyFont="1" applyFill="1" applyBorder="1" applyAlignment="1" applyProtection="1">
      <alignment horizontal="center"/>
      <protection locked="0" hidden="1"/>
    </xf>
    <xf numFmtId="0" fontId="25" fillId="24" borderId="20" xfId="0" applyFont="1" applyFill="1" applyBorder="1" applyAlignment="1" applyProtection="1">
      <alignment horizontal="center" wrapText="1"/>
      <protection locked="0" hidden="1"/>
    </xf>
    <xf numFmtId="0" fontId="25" fillId="24" borderId="18" xfId="0" applyFont="1" applyFill="1" applyBorder="1" applyAlignment="1" applyProtection="1">
      <alignment horizontal="center" wrapText="1"/>
      <protection locked="0" hidden="1"/>
    </xf>
    <xf numFmtId="0" fontId="25" fillId="24" borderId="19" xfId="0" applyFont="1" applyFill="1" applyBorder="1" applyAlignment="1" applyProtection="1">
      <alignment horizontal="center" wrapText="1"/>
      <protection locked="0" hidden="1"/>
    </xf>
    <xf numFmtId="0" fontId="0" fillId="0" borderId="0" xfId="0" applyAlignment="1" applyProtection="1">
      <alignment horizontal="right"/>
      <protection hidden="1"/>
    </xf>
    <xf numFmtId="44" fontId="32" fillId="0" borderId="0" xfId="0" applyNumberFormat="1" applyFont="1" applyAlignment="1" applyProtection="1">
      <alignment horizontal="center"/>
      <protection locked="0" hidden="1"/>
    </xf>
    <xf numFmtId="0" fontId="29" fillId="0" borderId="0" xfId="0" applyFont="1" applyAlignment="1" applyProtection="1">
      <alignment horizontal="center" vertical="center" wrapText="1"/>
      <protection locked="0" hidden="1"/>
    </xf>
    <xf numFmtId="0" fontId="25" fillId="0" borderId="24" xfId="0" applyFont="1" applyBorder="1" applyAlignment="1" applyProtection="1">
      <alignment horizontal="center"/>
      <protection locked="0" hidden="1"/>
    </xf>
    <xf numFmtId="0" fontId="25" fillId="0" borderId="27" xfId="0" applyFont="1" applyBorder="1" applyAlignment="1" applyProtection="1">
      <alignment horizontal="center"/>
      <protection locked="0" hidden="1"/>
    </xf>
    <xf numFmtId="44" fontId="58" fillId="4" borderId="21" xfId="0" applyNumberFormat="1" applyFont="1" applyFill="1" applyBorder="1" applyAlignment="1" applyProtection="1">
      <alignment horizontal="center"/>
      <protection locked="0" hidden="1"/>
    </xf>
    <xf numFmtId="44" fontId="37" fillId="0" borderId="23" xfId="0" applyNumberFormat="1" applyFont="1" applyBorder="1" applyAlignment="1" applyProtection="1">
      <alignment horizontal="center"/>
      <protection locked="0" hidden="1"/>
    </xf>
    <xf numFmtId="44" fontId="37" fillId="0" borderId="41" xfId="0" applyNumberFormat="1" applyFont="1" applyBorder="1" applyAlignment="1" applyProtection="1">
      <alignment horizontal="center"/>
      <protection locked="0" hidden="1"/>
    </xf>
    <xf numFmtId="44" fontId="37" fillId="0" borderId="31" xfId="0" applyNumberFormat="1" applyFont="1" applyBorder="1" applyAlignment="1" applyProtection="1">
      <alignment horizontal="center"/>
      <protection locked="0" hidden="1"/>
    </xf>
    <xf numFmtId="166" fontId="59" fillId="0" borderId="22" xfId="0" applyNumberFormat="1" applyFont="1" applyBorder="1" applyAlignment="1" applyProtection="1">
      <alignment horizontal="left" wrapText="1"/>
      <protection locked="0" hidden="1"/>
    </xf>
    <xf numFmtId="0" fontId="0" fillId="0" borderId="17" xfId="0" applyBorder="1" applyAlignment="1" applyProtection="1">
      <alignment horizontal="center" vertical="center"/>
      <protection hidden="1"/>
    </xf>
    <xf numFmtId="0" fontId="25" fillId="24" borderId="24" xfId="0" applyFont="1" applyFill="1" applyBorder="1" applyAlignment="1" applyProtection="1">
      <alignment horizontal="center" wrapText="1"/>
      <protection locked="0" hidden="1"/>
    </xf>
    <xf numFmtId="0" fontId="25" fillId="24" borderId="27" xfId="0" applyFont="1" applyFill="1" applyBorder="1" applyAlignment="1" applyProtection="1">
      <alignment horizontal="center" wrapText="1"/>
      <protection locked="0" hidden="1"/>
    </xf>
    <xf numFmtId="0" fontId="34" fillId="0" borderId="17" xfId="378" applyFont="1" applyBorder="1" applyAlignment="1" applyProtection="1">
      <alignment horizontal="center" vertical="center" wrapText="1"/>
      <protection locked="0" hidden="1"/>
    </xf>
    <xf numFmtId="49" fontId="34" fillId="0" borderId="17" xfId="378" applyNumberFormat="1" applyFont="1" applyBorder="1" applyAlignment="1" applyProtection="1">
      <alignment horizontal="center" vertical="center"/>
      <protection locked="0" hidden="1"/>
    </xf>
    <xf numFmtId="0" fontId="5" fillId="60" borderId="33" xfId="303" applyFill="1" applyBorder="1" applyAlignment="1" applyProtection="1">
      <alignment horizontal="center"/>
      <protection locked="0" hidden="1"/>
    </xf>
    <xf numFmtId="0" fontId="5" fillId="60" borderId="16" xfId="303" applyFill="1" applyBorder="1" applyAlignment="1" applyProtection="1">
      <alignment horizontal="center"/>
      <protection locked="0" hidden="1"/>
    </xf>
    <xf numFmtId="44" fontId="37" fillId="0" borderId="21" xfId="303" applyNumberFormat="1" applyFont="1" applyBorder="1" applyAlignment="1" applyProtection="1">
      <alignment horizontal="center"/>
      <protection locked="0" hidden="1"/>
    </xf>
    <xf numFmtId="0" fontId="60" fillId="0" borderId="0" xfId="303" applyFont="1" applyProtection="1">
      <protection locked="0" hidden="1"/>
    </xf>
    <xf numFmtId="0" fontId="37" fillId="0" borderId="21" xfId="303" applyFont="1" applyBorder="1" applyAlignment="1" applyProtection="1">
      <alignment horizontal="right" wrapText="1"/>
      <protection locked="0" hidden="1"/>
    </xf>
    <xf numFmtId="166" fontId="59" fillId="0" borderId="0" xfId="303" applyNumberFormat="1" applyFont="1" applyAlignment="1" applyProtection="1">
      <alignment horizontal="left" wrapText="1"/>
      <protection locked="0" hidden="1"/>
    </xf>
    <xf numFmtId="0" fontId="59" fillId="0" borderId="0" xfId="303" applyFont="1" applyProtection="1">
      <protection locked="0" hidden="1"/>
    </xf>
    <xf numFmtId="0" fontId="37" fillId="0" borderId="21" xfId="303" applyFont="1" applyBorder="1" applyAlignment="1" applyProtection="1">
      <alignment horizontal="right"/>
      <protection locked="0" hidden="1"/>
    </xf>
    <xf numFmtId="0" fontId="37" fillId="0" borderId="24" xfId="303" applyFont="1" applyBorder="1" applyAlignment="1" applyProtection="1">
      <alignment horizontal="center" wrapText="1"/>
      <protection locked="0" hidden="1"/>
    </xf>
    <xf numFmtId="0" fontId="60" fillId="0" borderId="27" xfId="303" applyFont="1" applyBorder="1" applyAlignment="1" applyProtection="1">
      <alignment horizontal="center"/>
      <protection locked="0" hidden="1"/>
    </xf>
    <xf numFmtId="44" fontId="58" fillId="4" borderId="23" xfId="303" applyNumberFormat="1" applyFont="1" applyFill="1" applyBorder="1" applyAlignment="1" applyProtection="1">
      <alignment horizontal="center"/>
      <protection locked="0" hidden="1"/>
    </xf>
    <xf numFmtId="0" fontId="60" fillId="0" borderId="41" xfId="303" applyFont="1" applyBorder="1" applyProtection="1">
      <protection locked="0" hidden="1"/>
    </xf>
    <xf numFmtId="0" fontId="25" fillId="0" borderId="19" xfId="0" applyFont="1" applyBorder="1" applyAlignment="1" applyProtection="1">
      <alignment horizontal="center"/>
      <protection locked="0" hidden="1"/>
    </xf>
    <xf numFmtId="0" fontId="25" fillId="24" borderId="24" xfId="0" applyFont="1" applyFill="1" applyBorder="1" applyAlignment="1" applyProtection="1">
      <alignment horizontal="left" wrapText="1"/>
      <protection locked="0" hidden="1"/>
    </xf>
    <xf numFmtId="0" fontId="25" fillId="24" borderId="27" xfId="0" applyFont="1" applyFill="1" applyBorder="1" applyAlignment="1" applyProtection="1">
      <alignment horizontal="left" wrapText="1"/>
      <protection locked="0" hidden="1"/>
    </xf>
    <xf numFmtId="0" fontId="25" fillId="24" borderId="18" xfId="0" applyFont="1" applyFill="1" applyBorder="1" applyAlignment="1" applyProtection="1">
      <alignment horizontal="left" wrapText="1"/>
      <protection locked="0" hidden="1"/>
    </xf>
    <xf numFmtId="0" fontId="25" fillId="24" borderId="19" xfId="0" applyFont="1" applyFill="1" applyBorder="1" applyAlignment="1" applyProtection="1">
      <alignment horizontal="left" wrapText="1"/>
      <protection locked="0" hidden="1"/>
    </xf>
    <xf numFmtId="0" fontId="25" fillId="24" borderId="15" xfId="0" applyFont="1" applyFill="1" applyBorder="1" applyAlignment="1" applyProtection="1">
      <alignment horizontal="center" wrapText="1"/>
      <protection locked="0" hidden="1"/>
    </xf>
    <xf numFmtId="0" fontId="25" fillId="24" borderId="16" xfId="0" applyFont="1" applyFill="1" applyBorder="1" applyAlignment="1" applyProtection="1">
      <alignment horizontal="center" wrapText="1"/>
      <protection locked="0" hidden="1"/>
    </xf>
    <xf numFmtId="0" fontId="50" fillId="24" borderId="23" xfId="378" applyFont="1" applyFill="1" applyBorder="1" applyProtection="1">
      <protection locked="0" hidden="1"/>
    </xf>
    <xf numFmtId="0" fontId="50" fillId="0" borderId="18" xfId="0" applyFont="1" applyBorder="1" applyProtection="1">
      <protection locked="0" hidden="1"/>
    </xf>
    <xf numFmtId="0" fontId="50" fillId="0" borderId="19" xfId="0" applyFont="1" applyBorder="1" applyProtection="1">
      <protection locked="0" hidden="1"/>
    </xf>
    <xf numFmtId="44" fontId="58" fillId="4" borderId="24" xfId="0" applyNumberFormat="1" applyFont="1" applyFill="1" applyBorder="1" applyAlignment="1" applyProtection="1">
      <alignment horizontal="center"/>
      <protection locked="0" hidden="1"/>
    </xf>
    <xf numFmtId="44" fontId="58" fillId="4" borderId="27" xfId="0" applyNumberFormat="1" applyFont="1" applyFill="1" applyBorder="1" applyAlignment="1" applyProtection="1">
      <alignment horizontal="center"/>
      <protection locked="0" hidden="1"/>
    </xf>
    <xf numFmtId="44" fontId="37" fillId="0" borderId="23" xfId="0" applyNumberFormat="1" applyFont="1" applyBorder="1" applyAlignment="1" applyProtection="1">
      <alignment horizontal="right"/>
      <protection locked="0" hidden="1"/>
    </xf>
    <xf numFmtId="44" fontId="37" fillId="0" borderId="41" xfId="0" applyNumberFormat="1" applyFont="1" applyBorder="1" applyAlignment="1" applyProtection="1">
      <alignment horizontal="right"/>
      <protection locked="0" hidden="1"/>
    </xf>
    <xf numFmtId="0" fontId="25" fillId="0" borderId="0" xfId="0" applyFont="1" applyAlignment="1" applyProtection="1">
      <alignment horizontal="right" vertical="top" wrapText="1"/>
      <protection locked="0" hidden="1"/>
    </xf>
    <xf numFmtId="44" fontId="98" fillId="0" borderId="20" xfId="378" applyNumberFormat="1" applyFont="1" applyBorder="1" applyAlignment="1" applyProtection="1">
      <alignment horizontal="center"/>
      <protection locked="0" hidden="1"/>
    </xf>
    <xf numFmtId="44" fontId="98" fillId="0" borderId="18" xfId="378" applyNumberFormat="1" applyFont="1" applyBorder="1" applyAlignment="1" applyProtection="1">
      <alignment horizontal="center"/>
      <protection locked="0" hidden="1"/>
    </xf>
    <xf numFmtId="44" fontId="98" fillId="0" borderId="19" xfId="378" applyNumberFormat="1" applyFont="1" applyBorder="1" applyAlignment="1" applyProtection="1">
      <alignment horizontal="center"/>
      <protection locked="0" hidden="1"/>
    </xf>
    <xf numFmtId="0" fontId="4" fillId="0" borderId="17" xfId="378" applyBorder="1" applyAlignment="1" applyProtection="1">
      <alignment horizontal="center"/>
      <protection locked="0" hidden="1"/>
    </xf>
    <xf numFmtId="0" fontId="4" fillId="0" borderId="17" xfId="378" applyBorder="1" applyAlignment="1" applyProtection="1">
      <alignment horizontal="center" vertical="center"/>
      <protection locked="0" hidden="1"/>
    </xf>
    <xf numFmtId="0" fontId="26" fillId="59" borderId="33" xfId="0" applyFont="1" applyFill="1" applyBorder="1" applyAlignment="1" applyProtection="1">
      <alignment horizontal="center" vertical="center" wrapText="1"/>
      <protection locked="0" hidden="1"/>
    </xf>
    <xf numFmtId="0" fontId="26" fillId="59" borderId="16" xfId="0" applyFont="1" applyFill="1" applyBorder="1" applyAlignment="1" applyProtection="1">
      <alignment horizontal="center" vertical="center" wrapText="1"/>
      <protection locked="0" hidden="1"/>
    </xf>
    <xf numFmtId="0" fontId="25" fillId="24" borderId="18" xfId="303" applyFont="1" applyFill="1" applyBorder="1" applyAlignment="1" applyProtection="1">
      <alignment horizontal="left" wrapText="1"/>
      <protection locked="0" hidden="1"/>
    </xf>
    <xf numFmtId="0" fontId="25" fillId="24" borderId="19" xfId="303" applyFont="1" applyFill="1" applyBorder="1" applyAlignment="1" applyProtection="1">
      <alignment horizontal="left" wrapText="1"/>
      <protection locked="0" hidden="1"/>
    </xf>
    <xf numFmtId="0" fontId="5" fillId="0" borderId="17" xfId="303" applyBorder="1" applyAlignment="1" applyProtection="1">
      <alignment horizontal="center" vertical="center"/>
      <protection hidden="1"/>
    </xf>
    <xf numFmtId="44" fontId="34" fillId="0" borderId="44" xfId="223" applyFont="1" applyFill="1" applyBorder="1" applyAlignment="1" applyProtection="1">
      <alignment horizontal="center" vertical="center"/>
      <protection hidden="1"/>
    </xf>
    <xf numFmtId="0" fontId="5" fillId="0" borderId="44" xfId="303" applyBorder="1" applyAlignment="1" applyProtection="1">
      <alignment horizontal="center" vertical="center"/>
      <protection hidden="1"/>
    </xf>
    <xf numFmtId="44" fontId="32" fillId="4" borderId="27" xfId="378" applyNumberFormat="1" applyFont="1" applyFill="1" applyBorder="1" applyAlignment="1" applyProtection="1">
      <alignment horizontal="center"/>
      <protection locked="0" hidden="1"/>
    </xf>
    <xf numFmtId="0" fontId="51" fillId="0" borderId="0" xfId="352" applyFont="1" applyAlignment="1" applyProtection="1">
      <alignment horizontal="center" vertical="center"/>
      <protection locked="0" hidden="1"/>
    </xf>
    <xf numFmtId="0" fontId="25" fillId="0" borderId="0" xfId="352" applyFont="1" applyAlignment="1" applyProtection="1">
      <alignment horizontal="center" vertical="center" wrapText="1"/>
      <protection locked="0" hidden="1"/>
    </xf>
    <xf numFmtId="44" fontId="32" fillId="4" borderId="0" xfId="352" applyNumberFormat="1" applyFont="1" applyFill="1" applyAlignment="1" applyProtection="1">
      <alignment horizontal="center"/>
      <protection locked="0" hidden="1"/>
    </xf>
    <xf numFmtId="0" fontId="25" fillId="0" borderId="20" xfId="352" applyFont="1" applyBorder="1" applyAlignment="1" applyProtection="1">
      <alignment horizontal="center"/>
      <protection locked="0" hidden="1"/>
    </xf>
    <xf numFmtId="0" fontId="25" fillId="0" borderId="18" xfId="352" applyFont="1" applyBorder="1" applyAlignment="1" applyProtection="1">
      <alignment horizontal="center"/>
      <protection locked="0" hidden="1"/>
    </xf>
    <xf numFmtId="0" fontId="25" fillId="0" borderId="19" xfId="352" applyFont="1" applyBorder="1" applyAlignment="1" applyProtection="1">
      <alignment horizontal="center"/>
      <protection locked="0" hidden="1"/>
    </xf>
    <xf numFmtId="44" fontId="30" fillId="0" borderId="21" xfId="378" applyNumberFormat="1" applyFont="1" applyBorder="1" applyAlignment="1" applyProtection="1">
      <alignment horizontal="center"/>
      <protection locked="0" hidden="1"/>
    </xf>
    <xf numFmtId="44" fontId="30" fillId="0" borderId="0" xfId="378" applyNumberFormat="1" applyFont="1" applyAlignment="1" applyProtection="1">
      <alignment horizontal="center"/>
      <protection locked="0" hidden="1"/>
    </xf>
    <xf numFmtId="0" fontId="34" fillId="24" borderId="20" xfId="352" applyFont="1" applyFill="1" applyBorder="1" applyAlignment="1" applyProtection="1">
      <alignment horizontal="left" wrapText="1"/>
      <protection locked="0" hidden="1"/>
    </xf>
    <xf numFmtId="0" fontId="34" fillId="24" borderId="18" xfId="352" applyFont="1" applyFill="1" applyBorder="1" applyAlignment="1" applyProtection="1">
      <alignment horizontal="left" wrapText="1"/>
      <protection locked="0" hidden="1"/>
    </xf>
    <xf numFmtId="0" fontId="34" fillId="24" borderId="19" xfId="352" applyFont="1" applyFill="1" applyBorder="1" applyAlignment="1" applyProtection="1">
      <alignment horizontal="left" wrapText="1"/>
      <protection locked="0" hidden="1"/>
    </xf>
    <xf numFmtId="0" fontId="25" fillId="59" borderId="33" xfId="348" applyFont="1" applyFill="1" applyBorder="1" applyAlignment="1" applyProtection="1">
      <alignment horizontal="left" wrapText="1"/>
      <protection locked="0" hidden="1"/>
    </xf>
    <xf numFmtId="0" fontId="5" fillId="59" borderId="33" xfId="348" applyFill="1" applyBorder="1" applyAlignment="1" applyProtection="1">
      <alignment wrapText="1"/>
      <protection locked="0" hidden="1"/>
    </xf>
    <xf numFmtId="0" fontId="36" fillId="0" borderId="0" xfId="352" applyFont="1" applyAlignment="1" applyProtection="1">
      <alignment horizontal="right"/>
      <protection locked="0" hidden="1"/>
    </xf>
    <xf numFmtId="0" fontId="4" fillId="0" borderId="0" xfId="352" applyAlignment="1" applyProtection="1">
      <alignment horizontal="right"/>
      <protection locked="0" hidden="1"/>
    </xf>
    <xf numFmtId="0" fontId="4" fillId="0" borderId="41" xfId="352" applyBorder="1" applyAlignment="1" applyProtection="1">
      <alignment horizontal="right"/>
      <protection locked="0" hidden="1"/>
    </xf>
    <xf numFmtId="0" fontId="34" fillId="0" borderId="17" xfId="352" applyFont="1" applyBorder="1" applyAlignment="1" applyProtection="1">
      <alignment horizontal="center" vertical="center"/>
      <protection locked="0" hidden="1"/>
    </xf>
    <xf numFmtId="0" fontId="4" fillId="0" borderId="15" xfId="352" applyBorder="1" applyProtection="1">
      <protection locked="0" hidden="1"/>
    </xf>
    <xf numFmtId="49" fontId="34" fillId="0" borderId="15" xfId="352" applyNumberFormat="1" applyFont="1" applyBorder="1" applyAlignment="1" applyProtection="1">
      <alignment horizontal="center" vertical="center" wrapText="1"/>
      <protection locked="0" hidden="1"/>
    </xf>
    <xf numFmtId="0" fontId="4" fillId="0" borderId="33" xfId="352" applyBorder="1" applyAlignment="1" applyProtection="1">
      <alignment horizontal="center" vertical="center"/>
      <protection locked="0" hidden="1"/>
    </xf>
    <xf numFmtId="0" fontId="4" fillId="0" borderId="33" xfId="352" applyBorder="1" applyAlignment="1" applyProtection="1">
      <alignment horizontal="center" vertical="center"/>
      <protection hidden="1"/>
    </xf>
    <xf numFmtId="0" fontId="4" fillId="0" borderId="16" xfId="352" applyBorder="1" applyAlignment="1" applyProtection="1">
      <alignment horizontal="center" vertical="center"/>
      <protection hidden="1"/>
    </xf>
    <xf numFmtId="0" fontId="4" fillId="0" borderId="16" xfId="352" applyBorder="1" applyAlignment="1" applyProtection="1">
      <alignment horizontal="center"/>
      <protection hidden="1"/>
    </xf>
    <xf numFmtId="0" fontId="4" fillId="0" borderId="0" xfId="378" applyProtection="1">
      <protection locked="0" hidden="1"/>
    </xf>
    <xf numFmtId="44" fontId="30" fillId="0" borderId="20" xfId="378" applyNumberFormat="1" applyFont="1" applyBorder="1" applyAlignment="1" applyProtection="1">
      <alignment horizontal="center"/>
      <protection locked="0" hidden="1"/>
    </xf>
    <xf numFmtId="44" fontId="30" fillId="0" borderId="18" xfId="378" applyNumberFormat="1" applyFont="1" applyBorder="1" applyAlignment="1" applyProtection="1">
      <alignment horizontal="center"/>
      <protection locked="0" hidden="1"/>
    </xf>
    <xf numFmtId="44" fontId="30" fillId="0" borderId="19" xfId="378" applyNumberFormat="1" applyFont="1" applyBorder="1" applyAlignment="1" applyProtection="1">
      <alignment horizontal="center"/>
      <protection locked="0" hidden="1"/>
    </xf>
    <xf numFmtId="0" fontId="4" fillId="0" borderId="33" xfId="352" applyBorder="1" applyAlignment="1" applyProtection="1">
      <alignment horizontal="center"/>
      <protection hidden="1"/>
    </xf>
    <xf numFmtId="0" fontId="25" fillId="24" borderId="16" xfId="347" applyFont="1" applyFill="1" applyBorder="1" applyAlignment="1" applyProtection="1">
      <alignment horizontal="left" wrapText="1"/>
      <protection locked="0" hidden="1"/>
    </xf>
    <xf numFmtId="0" fontId="10" fillId="0" borderId="17" xfId="347" applyBorder="1" applyAlignment="1" applyProtection="1">
      <alignment wrapText="1"/>
      <protection locked="0" hidden="1"/>
    </xf>
    <xf numFmtId="164" fontId="25" fillId="0" borderId="19" xfId="222" applyNumberFormat="1" applyFont="1" applyFill="1" applyBorder="1" applyAlignment="1" applyProtection="1">
      <alignment horizontal="center"/>
      <protection locked="0" hidden="1"/>
    </xf>
    <xf numFmtId="44" fontId="32" fillId="4" borderId="23" xfId="0" applyNumberFormat="1" applyFont="1" applyFill="1" applyBorder="1" applyAlignment="1" applyProtection="1">
      <alignment horizontal="center"/>
      <protection locked="0" hidden="1"/>
    </xf>
    <xf numFmtId="44" fontId="30" fillId="0" borderId="22" xfId="0" applyNumberFormat="1" applyFont="1" applyBorder="1" applyAlignment="1" applyProtection="1">
      <alignment horizontal="center"/>
      <protection locked="0" hidden="1"/>
    </xf>
    <xf numFmtId="166" fontId="26" fillId="0" borderId="27" xfId="0" applyNumberFormat="1" applyFont="1" applyBorder="1" applyAlignment="1" applyProtection="1">
      <alignment horizontal="left" wrapText="1"/>
      <protection locked="0" hidden="1"/>
    </xf>
    <xf numFmtId="166" fontId="26" fillId="0" borderId="28" xfId="0" applyNumberFormat="1" applyFont="1" applyBorder="1" applyAlignment="1" applyProtection="1">
      <alignment horizontal="left" wrapText="1"/>
      <protection locked="0" hidden="1"/>
    </xf>
    <xf numFmtId="0" fontId="25" fillId="58" borderId="24" xfId="0" applyFont="1" applyFill="1" applyBorder="1" applyAlignment="1" applyProtection="1">
      <alignment horizontal="right" wrapText="1"/>
      <protection locked="0" hidden="1"/>
    </xf>
    <xf numFmtId="0" fontId="25" fillId="58" borderId="27" xfId="0" applyFont="1" applyFill="1" applyBorder="1" applyAlignment="1" applyProtection="1">
      <alignment horizontal="right" wrapText="1"/>
      <protection locked="0" hidden="1"/>
    </xf>
    <xf numFmtId="0" fontId="5" fillId="58" borderId="27" xfId="0" applyFont="1" applyFill="1" applyBorder="1" applyProtection="1">
      <protection locked="0" hidden="1"/>
    </xf>
    <xf numFmtId="0" fontId="5" fillId="58" borderId="28" xfId="0" applyFont="1" applyFill="1" applyBorder="1" applyProtection="1">
      <protection locked="0" hidden="1"/>
    </xf>
    <xf numFmtId="0" fontId="25" fillId="58" borderId="21" xfId="0" applyFont="1" applyFill="1" applyBorder="1" applyAlignment="1" applyProtection="1">
      <alignment horizontal="right" wrapText="1"/>
      <protection locked="0" hidden="1"/>
    </xf>
    <xf numFmtId="0" fontId="0" fillId="58" borderId="0" xfId="0" applyFill="1" applyProtection="1">
      <protection locked="0" hidden="1"/>
    </xf>
    <xf numFmtId="0" fontId="5" fillId="58" borderId="0" xfId="0" applyFont="1" applyFill="1" applyProtection="1">
      <protection locked="0" hidden="1"/>
    </xf>
    <xf numFmtId="0" fontId="5" fillId="58" borderId="22" xfId="0" applyFont="1" applyFill="1" applyBorder="1" applyProtection="1">
      <protection locked="0" hidden="1"/>
    </xf>
    <xf numFmtId="0" fontId="0" fillId="58" borderId="22" xfId="0" applyFill="1" applyBorder="1" applyProtection="1">
      <protection locked="0" hidden="1"/>
    </xf>
    <xf numFmtId="44" fontId="32" fillId="4" borderId="20" xfId="0" applyNumberFormat="1" applyFont="1" applyFill="1" applyBorder="1" applyAlignment="1" applyProtection="1">
      <alignment horizontal="center"/>
      <protection locked="0" hidden="1"/>
    </xf>
    <xf numFmtId="0" fontId="25" fillId="58" borderId="0" xfId="0" applyFont="1" applyFill="1" applyAlignment="1" applyProtection="1">
      <alignment horizontal="right" wrapText="1"/>
      <protection locked="0" hidden="1"/>
    </xf>
    <xf numFmtId="0" fontId="26" fillId="58" borderId="0" xfId="0" applyFont="1" applyFill="1" applyAlignment="1" applyProtection="1">
      <alignment wrapText="1"/>
      <protection locked="0" hidden="1"/>
    </xf>
    <xf numFmtId="0" fontId="26" fillId="58" borderId="22" xfId="0" applyFont="1" applyFill="1" applyBorder="1" applyAlignment="1" applyProtection="1">
      <alignment wrapText="1"/>
      <protection locked="0" hidden="1"/>
    </xf>
    <xf numFmtId="0" fontId="26" fillId="58" borderId="27" xfId="0" applyFont="1" applyFill="1" applyBorder="1" applyAlignment="1" applyProtection="1">
      <alignment wrapText="1"/>
      <protection locked="0" hidden="1"/>
    </xf>
    <xf numFmtId="0" fontId="26" fillId="58" borderId="28" xfId="0" applyFont="1" applyFill="1" applyBorder="1" applyAlignment="1" applyProtection="1">
      <alignment wrapText="1"/>
      <protection locked="0" hidden="1"/>
    </xf>
    <xf numFmtId="0" fontId="26" fillId="0" borderId="0" xfId="0" applyFont="1" applyAlignment="1" applyProtection="1">
      <alignment wrapText="1"/>
      <protection locked="0" hidden="1"/>
    </xf>
    <xf numFmtId="0" fontId="26" fillId="0" borderId="22" xfId="0" applyFont="1" applyBorder="1" applyAlignment="1" applyProtection="1">
      <alignment wrapText="1"/>
      <protection locked="0" hidden="1"/>
    </xf>
    <xf numFmtId="0" fontId="0" fillId="58" borderId="27" xfId="0" applyFill="1" applyBorder="1" applyProtection="1">
      <protection locked="0" hidden="1"/>
    </xf>
    <xf numFmtId="0" fontId="0" fillId="58" borderId="28" xfId="0" applyFill="1" applyBorder="1" applyProtection="1">
      <protection locked="0" hidden="1"/>
    </xf>
    <xf numFmtId="0" fontId="26" fillId="58" borderId="0" xfId="0" applyFont="1" applyFill="1" applyProtection="1">
      <protection locked="0" hidden="1"/>
    </xf>
    <xf numFmtId="0" fontId="26" fillId="58" borderId="22" xfId="0" applyFont="1" applyFill="1" applyBorder="1" applyProtection="1">
      <protection locked="0" hidden="1"/>
    </xf>
    <xf numFmtId="0" fontId="26" fillId="58" borderId="27" xfId="0" applyFont="1" applyFill="1" applyBorder="1" applyProtection="1">
      <protection locked="0" hidden="1"/>
    </xf>
    <xf numFmtId="0" fontId="26" fillId="58" borderId="28" xfId="0" applyFont="1" applyFill="1" applyBorder="1" applyProtection="1">
      <protection locked="0" hidden="1"/>
    </xf>
    <xf numFmtId="0" fontId="26" fillId="58" borderId="0" xfId="0" applyFont="1" applyFill="1" applyAlignment="1" applyProtection="1">
      <alignment horizontal="left" wrapText="1"/>
      <protection locked="0" hidden="1"/>
    </xf>
    <xf numFmtId="0" fontId="0" fillId="58" borderId="22" xfId="0" applyFill="1" applyBorder="1" applyAlignment="1" applyProtection="1">
      <alignment horizontal="left"/>
      <protection locked="0" hidden="1"/>
    </xf>
    <xf numFmtId="0" fontId="70" fillId="0" borderId="0" xfId="0" applyFont="1" applyAlignment="1">
      <alignment horizontal="center" vertical="center" wrapText="1"/>
    </xf>
    <xf numFmtId="0" fontId="100" fillId="25" borderId="30" xfId="0" applyFont="1" applyFill="1" applyBorder="1" applyAlignment="1">
      <alignment vertical="top"/>
    </xf>
    <xf numFmtId="0" fontId="0" fillId="0" borderId="0" xfId="0"/>
    <xf numFmtId="0" fontId="99" fillId="0" borderId="0" xfId="0" applyFont="1" applyAlignment="1">
      <alignment horizontal="center" vertical="top" wrapText="1"/>
    </xf>
    <xf numFmtId="0" fontId="36" fillId="0" borderId="0" xfId="0" applyFont="1" applyAlignment="1">
      <alignment horizontal="center" vertical="top" wrapText="1"/>
    </xf>
    <xf numFmtId="0" fontId="100" fillId="25" borderId="45" xfId="0" applyFont="1" applyFill="1" applyBorder="1" applyAlignment="1">
      <alignment vertical="top"/>
    </xf>
    <xf numFmtId="0" fontId="100" fillId="25" borderId="46" xfId="0" applyFont="1" applyFill="1" applyBorder="1" applyAlignment="1">
      <alignment vertical="top"/>
    </xf>
    <xf numFmtId="5" fontId="0" fillId="0" borderId="0" xfId="0" applyNumberFormat="1" applyAlignment="1">
      <alignment vertical="top" wrapText="1"/>
    </xf>
    <xf numFmtId="0" fontId="100" fillId="25" borderId="47" xfId="0" applyFont="1" applyFill="1" applyBorder="1" applyAlignment="1">
      <alignment vertical="top"/>
    </xf>
    <xf numFmtId="0" fontId="100" fillId="25" borderId="48" xfId="0" applyFont="1" applyFill="1" applyBorder="1" applyAlignment="1">
      <alignment vertical="top"/>
    </xf>
    <xf numFmtId="0" fontId="122" fillId="0" borderId="0" xfId="274" applyAlignment="1" applyProtection="1">
      <alignment horizontal="center" vertical="top" wrapText="1"/>
    </xf>
    <xf numFmtId="0" fontId="105" fillId="0" borderId="0" xfId="0" applyFont="1" applyAlignment="1">
      <alignment horizontal="center" vertical="top" wrapText="1"/>
    </xf>
    <xf numFmtId="0" fontId="106" fillId="0" borderId="0" xfId="0" applyFont="1"/>
    <xf numFmtId="0" fontId="100" fillId="25" borderId="49" xfId="0" applyFont="1" applyFill="1" applyBorder="1" applyAlignment="1">
      <alignment vertical="top"/>
    </xf>
    <xf numFmtId="0" fontId="104" fillId="0" borderId="0" xfId="0" applyFont="1"/>
    <xf numFmtId="0" fontId="75" fillId="0" borderId="0" xfId="0" applyFont="1" applyAlignment="1">
      <alignment horizontal="center" vertical="top" wrapText="1"/>
    </xf>
    <xf numFmtId="0" fontId="103" fillId="0" borderId="0" xfId="0" applyFont="1"/>
    <xf numFmtId="0" fontId="107" fillId="0" borderId="0" xfId="0" applyFont="1" applyAlignment="1">
      <alignment horizontal="center" vertical="top" wrapText="1"/>
    </xf>
    <xf numFmtId="0" fontId="108" fillId="0" borderId="0" xfId="0" applyFont="1"/>
    <xf numFmtId="0" fontId="101" fillId="0" borderId="0" xfId="0" applyFont="1" applyAlignment="1">
      <alignment horizontal="center" vertical="top" wrapText="1"/>
    </xf>
    <xf numFmtId="0" fontId="102" fillId="0" borderId="0" xfId="0" applyFont="1"/>
  </cellXfs>
  <cellStyles count="405">
    <cellStyle name=" 1" xfId="1" xr:uid="{00000000-0005-0000-0000-000000000000}"/>
    <cellStyle name="_SAP_BYD_INFO" xfId="2" xr:uid="{00000000-0005-0000-0000-000001000000}"/>
    <cellStyle name="_SAP_BYD_INFO_DATETIME" xfId="3" xr:uid="{00000000-0005-0000-0000-000002000000}"/>
    <cellStyle name="_SAP_BYD_SHEET" xfId="4" xr:uid="{00000000-0005-0000-0000-000003000000}"/>
    <cellStyle name="_SAP_BYD_TABLE_CELL_TEXT" xfId="5" xr:uid="{00000000-0005-0000-0000-000004000000}"/>
    <cellStyle name="_SAP_BYD_TABLE_HEADER_CELL" xfId="6" xr:uid="{00000000-0005-0000-0000-000005000000}"/>
    <cellStyle name="_SAP_BYD_TITLE" xfId="7" xr:uid="{00000000-0005-0000-0000-000006000000}"/>
    <cellStyle name="=C:\WINDOWS\SYSTEM32\COMMAND.COM" xfId="8" xr:uid="{00000000-0005-0000-0000-000007000000}"/>
    <cellStyle name="20% - Accent1" xfId="9" builtinId="30" customBuiltin="1"/>
    <cellStyle name="20% - Accent1 2" xfId="10" xr:uid="{00000000-0005-0000-0000-000009000000}"/>
    <cellStyle name="20% - Accent1 2 2" xfId="11" xr:uid="{00000000-0005-0000-0000-00000A000000}"/>
    <cellStyle name="20% - Accent1 3" xfId="12" xr:uid="{00000000-0005-0000-0000-00000B000000}"/>
    <cellStyle name="20% - Accent1 4" xfId="13" xr:uid="{00000000-0005-0000-0000-00000C000000}"/>
    <cellStyle name="20% - Accent1 5" xfId="14" xr:uid="{00000000-0005-0000-0000-00000D000000}"/>
    <cellStyle name="20% - Accent1 6" xfId="15" xr:uid="{00000000-0005-0000-0000-00000E000000}"/>
    <cellStyle name="20% - Accent1 7" xfId="16" xr:uid="{00000000-0005-0000-0000-00000F000000}"/>
    <cellStyle name="20% - Accent1 8" xfId="17" xr:uid="{00000000-0005-0000-0000-000010000000}"/>
    <cellStyle name="20% - Accent2" xfId="18" builtinId="34" customBuiltin="1"/>
    <cellStyle name="20% - Accent2 2" xfId="19" xr:uid="{00000000-0005-0000-0000-000012000000}"/>
    <cellStyle name="20% - Accent2 2 2" xfId="20" xr:uid="{00000000-0005-0000-0000-000013000000}"/>
    <cellStyle name="20% - Accent2 3" xfId="21" xr:uid="{00000000-0005-0000-0000-000014000000}"/>
    <cellStyle name="20% - Accent2 4" xfId="22" xr:uid="{00000000-0005-0000-0000-000015000000}"/>
    <cellStyle name="20% - Accent2 5" xfId="23" xr:uid="{00000000-0005-0000-0000-000016000000}"/>
    <cellStyle name="20% - Accent2 6" xfId="24" xr:uid="{00000000-0005-0000-0000-000017000000}"/>
    <cellStyle name="20% - Accent2 7" xfId="25" xr:uid="{00000000-0005-0000-0000-000018000000}"/>
    <cellStyle name="20% - Accent2 8" xfId="26" xr:uid="{00000000-0005-0000-0000-000019000000}"/>
    <cellStyle name="20% - Accent3" xfId="27" builtinId="38" customBuiltin="1"/>
    <cellStyle name="20% - Accent3 2" xfId="28" xr:uid="{00000000-0005-0000-0000-00001B000000}"/>
    <cellStyle name="20% - Accent3 2 2" xfId="29" xr:uid="{00000000-0005-0000-0000-00001C000000}"/>
    <cellStyle name="20% - Accent3 3" xfId="30" xr:uid="{00000000-0005-0000-0000-00001D000000}"/>
    <cellStyle name="20% - Accent3 4" xfId="31" xr:uid="{00000000-0005-0000-0000-00001E000000}"/>
    <cellStyle name="20% - Accent3 5" xfId="32" xr:uid="{00000000-0005-0000-0000-00001F000000}"/>
    <cellStyle name="20% - Accent3 6" xfId="33" xr:uid="{00000000-0005-0000-0000-000020000000}"/>
    <cellStyle name="20% - Accent4" xfId="34" builtinId="42" customBuiltin="1"/>
    <cellStyle name="20% - Accent4 2" xfId="35" xr:uid="{00000000-0005-0000-0000-000022000000}"/>
    <cellStyle name="20% - Accent4 2 2" xfId="36" xr:uid="{00000000-0005-0000-0000-000023000000}"/>
    <cellStyle name="20% - Accent4 3" xfId="37" xr:uid="{00000000-0005-0000-0000-000024000000}"/>
    <cellStyle name="20% - Accent4 4" xfId="38" xr:uid="{00000000-0005-0000-0000-000025000000}"/>
    <cellStyle name="20% - Accent4 5" xfId="39" xr:uid="{00000000-0005-0000-0000-000026000000}"/>
    <cellStyle name="20% - Accent4 6" xfId="40" xr:uid="{00000000-0005-0000-0000-000027000000}"/>
    <cellStyle name="20% - Accent4 7" xfId="41" xr:uid="{00000000-0005-0000-0000-000028000000}"/>
    <cellStyle name="20% - Accent4 8" xfId="42" xr:uid="{00000000-0005-0000-0000-000029000000}"/>
    <cellStyle name="20% - Accent5" xfId="43" builtinId="46" customBuiltin="1"/>
    <cellStyle name="20% - Accent5 2" xfId="44" xr:uid="{00000000-0005-0000-0000-00002B000000}"/>
    <cellStyle name="20% - Accent5 2 2" xfId="45" xr:uid="{00000000-0005-0000-0000-00002C000000}"/>
    <cellStyle name="20% - Accent5 3" xfId="46" xr:uid="{00000000-0005-0000-0000-00002D000000}"/>
    <cellStyle name="20% - Accent5 4" xfId="47" xr:uid="{00000000-0005-0000-0000-00002E000000}"/>
    <cellStyle name="20% - Accent5 5" xfId="48" xr:uid="{00000000-0005-0000-0000-00002F000000}"/>
    <cellStyle name="20% - Accent5 6" xfId="49" xr:uid="{00000000-0005-0000-0000-000030000000}"/>
    <cellStyle name="20% - Accent6" xfId="50" builtinId="50" customBuiltin="1"/>
    <cellStyle name="20% - Accent6 2" xfId="51" xr:uid="{00000000-0005-0000-0000-000032000000}"/>
    <cellStyle name="20% - Accent6 2 2" xfId="52" xr:uid="{00000000-0005-0000-0000-000033000000}"/>
    <cellStyle name="20% - Accent6 3" xfId="53" xr:uid="{00000000-0005-0000-0000-000034000000}"/>
    <cellStyle name="20% - Accent6 4" xfId="54" xr:uid="{00000000-0005-0000-0000-000035000000}"/>
    <cellStyle name="20% - Accent6 5" xfId="55" xr:uid="{00000000-0005-0000-0000-000036000000}"/>
    <cellStyle name="20% - Accent6 6" xfId="56" xr:uid="{00000000-0005-0000-0000-000037000000}"/>
    <cellStyle name="20% - Accent6 7" xfId="57" xr:uid="{00000000-0005-0000-0000-000038000000}"/>
    <cellStyle name="20% - Accent6 8" xfId="58" xr:uid="{00000000-0005-0000-0000-000039000000}"/>
    <cellStyle name="40% - Accent1" xfId="59" builtinId="31" customBuiltin="1"/>
    <cellStyle name="40% - Accent1 2" xfId="60" xr:uid="{00000000-0005-0000-0000-00003B000000}"/>
    <cellStyle name="40% - Accent1 2 2" xfId="61" xr:uid="{00000000-0005-0000-0000-00003C000000}"/>
    <cellStyle name="40% - Accent1 3" xfId="62" xr:uid="{00000000-0005-0000-0000-00003D000000}"/>
    <cellStyle name="40% - Accent1 4" xfId="63" xr:uid="{00000000-0005-0000-0000-00003E000000}"/>
    <cellStyle name="40% - Accent1 5" xfId="64" xr:uid="{00000000-0005-0000-0000-00003F000000}"/>
    <cellStyle name="40% - Accent1 6" xfId="65" xr:uid="{00000000-0005-0000-0000-000040000000}"/>
    <cellStyle name="40% - Accent1 7" xfId="66" xr:uid="{00000000-0005-0000-0000-000041000000}"/>
    <cellStyle name="40% - Accent1 8" xfId="67" xr:uid="{00000000-0005-0000-0000-000042000000}"/>
    <cellStyle name="40% - Accent2" xfId="68" builtinId="35" customBuiltin="1"/>
    <cellStyle name="40% - Accent2 2" xfId="69" xr:uid="{00000000-0005-0000-0000-000044000000}"/>
    <cellStyle name="40% - Accent2 2 2" xfId="70" xr:uid="{00000000-0005-0000-0000-000045000000}"/>
    <cellStyle name="40% - Accent2 3" xfId="71" xr:uid="{00000000-0005-0000-0000-000046000000}"/>
    <cellStyle name="40% - Accent2 4" xfId="72" xr:uid="{00000000-0005-0000-0000-000047000000}"/>
    <cellStyle name="40% - Accent2 5" xfId="73" xr:uid="{00000000-0005-0000-0000-000048000000}"/>
    <cellStyle name="40% - Accent2 6" xfId="74" xr:uid="{00000000-0005-0000-0000-000049000000}"/>
    <cellStyle name="40% - Accent3" xfId="75" builtinId="39" customBuiltin="1"/>
    <cellStyle name="40% - Accent3 2" xfId="76" xr:uid="{00000000-0005-0000-0000-00004B000000}"/>
    <cellStyle name="40% - Accent3 2 2" xfId="77" xr:uid="{00000000-0005-0000-0000-00004C000000}"/>
    <cellStyle name="40% - Accent3 3" xfId="78" xr:uid="{00000000-0005-0000-0000-00004D000000}"/>
    <cellStyle name="40% - Accent3 4" xfId="79" xr:uid="{00000000-0005-0000-0000-00004E000000}"/>
    <cellStyle name="40% - Accent3 5" xfId="80" xr:uid="{00000000-0005-0000-0000-00004F000000}"/>
    <cellStyle name="40% - Accent3 6" xfId="81" xr:uid="{00000000-0005-0000-0000-000050000000}"/>
    <cellStyle name="40% - Accent3 7" xfId="82" xr:uid="{00000000-0005-0000-0000-000051000000}"/>
    <cellStyle name="40% - Accent3 8" xfId="83" xr:uid="{00000000-0005-0000-0000-000052000000}"/>
    <cellStyle name="40% - Accent4" xfId="84" builtinId="43" customBuiltin="1"/>
    <cellStyle name="40% - Accent4 2" xfId="85" xr:uid="{00000000-0005-0000-0000-000054000000}"/>
    <cellStyle name="40% - Accent4 2 2" xfId="86" xr:uid="{00000000-0005-0000-0000-000055000000}"/>
    <cellStyle name="40% - Accent4 3" xfId="87" xr:uid="{00000000-0005-0000-0000-000056000000}"/>
    <cellStyle name="40% - Accent4 4" xfId="88" xr:uid="{00000000-0005-0000-0000-000057000000}"/>
    <cellStyle name="40% - Accent4 5" xfId="89" xr:uid="{00000000-0005-0000-0000-000058000000}"/>
    <cellStyle name="40% - Accent4 6" xfId="90" xr:uid="{00000000-0005-0000-0000-000059000000}"/>
    <cellStyle name="40% - Accent5" xfId="91" builtinId="47" customBuiltin="1"/>
    <cellStyle name="40% - Accent5 2" xfId="92" xr:uid="{00000000-0005-0000-0000-00005B000000}"/>
    <cellStyle name="40% - Accent5 2 2" xfId="93" xr:uid="{00000000-0005-0000-0000-00005C000000}"/>
    <cellStyle name="40% - Accent5 3" xfId="94" xr:uid="{00000000-0005-0000-0000-00005D000000}"/>
    <cellStyle name="40% - Accent5 4" xfId="95" xr:uid="{00000000-0005-0000-0000-00005E000000}"/>
    <cellStyle name="40% - Accent5 5" xfId="96" xr:uid="{00000000-0005-0000-0000-00005F000000}"/>
    <cellStyle name="40% - Accent5 6" xfId="97" xr:uid="{00000000-0005-0000-0000-000060000000}"/>
    <cellStyle name="40% - Accent5 7" xfId="98" xr:uid="{00000000-0005-0000-0000-000061000000}"/>
    <cellStyle name="40% - Accent5 8" xfId="99" xr:uid="{00000000-0005-0000-0000-000062000000}"/>
    <cellStyle name="40% - Accent6" xfId="100" builtinId="51" customBuiltin="1"/>
    <cellStyle name="40% - Accent6 2" xfId="101" xr:uid="{00000000-0005-0000-0000-000064000000}"/>
    <cellStyle name="40% - Accent6 2 2" xfId="102" xr:uid="{00000000-0005-0000-0000-000065000000}"/>
    <cellStyle name="40% - Accent6 3" xfId="103" xr:uid="{00000000-0005-0000-0000-000066000000}"/>
    <cellStyle name="40% - Accent6 4" xfId="104" xr:uid="{00000000-0005-0000-0000-000067000000}"/>
    <cellStyle name="40% - Accent6 5" xfId="105" xr:uid="{00000000-0005-0000-0000-000068000000}"/>
    <cellStyle name="40% - Accent6 6" xfId="106" xr:uid="{00000000-0005-0000-0000-000069000000}"/>
    <cellStyle name="40% - Accent6 7" xfId="107" xr:uid="{00000000-0005-0000-0000-00006A000000}"/>
    <cellStyle name="40% - Accent6 8" xfId="108" xr:uid="{00000000-0005-0000-0000-00006B000000}"/>
    <cellStyle name="60% - Accent1" xfId="109" builtinId="32" customBuiltin="1"/>
    <cellStyle name="60% - Accent1 2" xfId="110" xr:uid="{00000000-0005-0000-0000-00006D000000}"/>
    <cellStyle name="60% - Accent1 3" xfId="111" xr:uid="{00000000-0005-0000-0000-00006E000000}"/>
    <cellStyle name="60% - Accent1 4" xfId="112" xr:uid="{00000000-0005-0000-0000-00006F000000}"/>
    <cellStyle name="60% - Accent1 5" xfId="113" xr:uid="{00000000-0005-0000-0000-000070000000}"/>
    <cellStyle name="60% - Accent1 6" xfId="114" xr:uid="{00000000-0005-0000-0000-000071000000}"/>
    <cellStyle name="60% - Accent1 7" xfId="115" xr:uid="{00000000-0005-0000-0000-000072000000}"/>
    <cellStyle name="60% - Accent1 8" xfId="116" xr:uid="{00000000-0005-0000-0000-000073000000}"/>
    <cellStyle name="60% - Accent2" xfId="117" builtinId="36" customBuiltin="1"/>
    <cellStyle name="60% - Accent2 2" xfId="118" xr:uid="{00000000-0005-0000-0000-000075000000}"/>
    <cellStyle name="60% - Accent2 3" xfId="119" xr:uid="{00000000-0005-0000-0000-000076000000}"/>
    <cellStyle name="60% - Accent2 4" xfId="120" xr:uid="{00000000-0005-0000-0000-000077000000}"/>
    <cellStyle name="60% - Accent2 5" xfId="121" xr:uid="{00000000-0005-0000-0000-000078000000}"/>
    <cellStyle name="60% - Accent2 6" xfId="122" xr:uid="{00000000-0005-0000-0000-000079000000}"/>
    <cellStyle name="60% - Accent3" xfId="123" builtinId="40" customBuiltin="1"/>
    <cellStyle name="60% - Accent3 2" xfId="124" xr:uid="{00000000-0005-0000-0000-00007B000000}"/>
    <cellStyle name="60% - Accent3 3" xfId="125" xr:uid="{00000000-0005-0000-0000-00007C000000}"/>
    <cellStyle name="60% - Accent3 4" xfId="126" xr:uid="{00000000-0005-0000-0000-00007D000000}"/>
    <cellStyle name="60% - Accent3 5" xfId="127" xr:uid="{00000000-0005-0000-0000-00007E000000}"/>
    <cellStyle name="60% - Accent3 6" xfId="128" xr:uid="{00000000-0005-0000-0000-00007F000000}"/>
    <cellStyle name="60% - Accent3 7" xfId="129" xr:uid="{00000000-0005-0000-0000-000080000000}"/>
    <cellStyle name="60% - Accent3 8" xfId="130" xr:uid="{00000000-0005-0000-0000-000081000000}"/>
    <cellStyle name="60% - Accent4" xfId="131" builtinId="44" customBuiltin="1"/>
    <cellStyle name="60% - Accent4 2" xfId="132" xr:uid="{00000000-0005-0000-0000-000083000000}"/>
    <cellStyle name="60% - Accent4 3" xfId="133" xr:uid="{00000000-0005-0000-0000-000084000000}"/>
    <cellStyle name="60% - Accent4 4" xfId="134" xr:uid="{00000000-0005-0000-0000-000085000000}"/>
    <cellStyle name="60% - Accent4 5" xfId="135" xr:uid="{00000000-0005-0000-0000-000086000000}"/>
    <cellStyle name="60% - Accent4 6" xfId="136" xr:uid="{00000000-0005-0000-0000-000087000000}"/>
    <cellStyle name="60% - Accent5" xfId="137" builtinId="48" customBuiltin="1"/>
    <cellStyle name="60% - Accent5 2" xfId="138" xr:uid="{00000000-0005-0000-0000-000089000000}"/>
    <cellStyle name="60% - Accent5 3" xfId="139" xr:uid="{00000000-0005-0000-0000-00008A000000}"/>
    <cellStyle name="60% - Accent5 4" xfId="140" xr:uid="{00000000-0005-0000-0000-00008B000000}"/>
    <cellStyle name="60% - Accent5 5" xfId="141" xr:uid="{00000000-0005-0000-0000-00008C000000}"/>
    <cellStyle name="60% - Accent5 6" xfId="142" xr:uid="{00000000-0005-0000-0000-00008D000000}"/>
    <cellStyle name="60% - Accent5 7" xfId="143" xr:uid="{00000000-0005-0000-0000-00008E000000}"/>
    <cellStyle name="60% - Accent5 8" xfId="144" xr:uid="{00000000-0005-0000-0000-00008F000000}"/>
    <cellStyle name="60% - Accent6" xfId="145" builtinId="52" customBuiltin="1"/>
    <cellStyle name="60% - Accent6 2" xfId="146" xr:uid="{00000000-0005-0000-0000-000091000000}"/>
    <cellStyle name="60% - Accent6 3" xfId="147" xr:uid="{00000000-0005-0000-0000-000092000000}"/>
    <cellStyle name="60% - Accent6 4" xfId="148" xr:uid="{00000000-0005-0000-0000-000093000000}"/>
    <cellStyle name="60% - Accent6 5" xfId="149" xr:uid="{00000000-0005-0000-0000-000094000000}"/>
    <cellStyle name="60% - Accent6 6" xfId="150" xr:uid="{00000000-0005-0000-0000-000095000000}"/>
    <cellStyle name="60% - Accent6 7" xfId="151" xr:uid="{00000000-0005-0000-0000-000096000000}"/>
    <cellStyle name="60% - Accent6 8" xfId="152" xr:uid="{00000000-0005-0000-0000-000097000000}"/>
    <cellStyle name="Accent1" xfId="153" builtinId="29" customBuiltin="1"/>
    <cellStyle name="Accent1 2" xfId="154" xr:uid="{00000000-0005-0000-0000-000099000000}"/>
    <cellStyle name="Accent1 3" xfId="155" xr:uid="{00000000-0005-0000-0000-00009A000000}"/>
    <cellStyle name="Accent1 4" xfId="156" xr:uid="{00000000-0005-0000-0000-00009B000000}"/>
    <cellStyle name="Accent1 5" xfId="157" xr:uid="{00000000-0005-0000-0000-00009C000000}"/>
    <cellStyle name="Accent1 6" xfId="158" xr:uid="{00000000-0005-0000-0000-00009D000000}"/>
    <cellStyle name="Accent2" xfId="159" builtinId="33" customBuiltin="1"/>
    <cellStyle name="Accent2 2" xfId="160" xr:uid="{00000000-0005-0000-0000-00009F000000}"/>
    <cellStyle name="Accent2 3" xfId="161" xr:uid="{00000000-0005-0000-0000-0000A0000000}"/>
    <cellStyle name="Accent2 4" xfId="162" xr:uid="{00000000-0005-0000-0000-0000A1000000}"/>
    <cellStyle name="Accent2 5" xfId="163" xr:uid="{00000000-0005-0000-0000-0000A2000000}"/>
    <cellStyle name="Accent2 6" xfId="164" xr:uid="{00000000-0005-0000-0000-0000A3000000}"/>
    <cellStyle name="Accent2 7" xfId="165" xr:uid="{00000000-0005-0000-0000-0000A4000000}"/>
    <cellStyle name="Accent2 8" xfId="166" xr:uid="{00000000-0005-0000-0000-0000A5000000}"/>
    <cellStyle name="Accent3" xfId="167" builtinId="37" customBuiltin="1"/>
    <cellStyle name="Accent3 2" xfId="168" xr:uid="{00000000-0005-0000-0000-0000A7000000}"/>
    <cellStyle name="Accent3 3" xfId="169" xr:uid="{00000000-0005-0000-0000-0000A8000000}"/>
    <cellStyle name="Accent3 4" xfId="170" xr:uid="{00000000-0005-0000-0000-0000A9000000}"/>
    <cellStyle name="Accent3 5" xfId="171" xr:uid="{00000000-0005-0000-0000-0000AA000000}"/>
    <cellStyle name="Accent3 6" xfId="172" xr:uid="{00000000-0005-0000-0000-0000AB000000}"/>
    <cellStyle name="Accent3 7" xfId="173" xr:uid="{00000000-0005-0000-0000-0000AC000000}"/>
    <cellStyle name="Accent3 8" xfId="174" xr:uid="{00000000-0005-0000-0000-0000AD000000}"/>
    <cellStyle name="Accent4" xfId="175" builtinId="41" customBuiltin="1"/>
    <cellStyle name="Accent4 2" xfId="176" xr:uid="{00000000-0005-0000-0000-0000AF000000}"/>
    <cellStyle name="Accent4 3" xfId="177" xr:uid="{00000000-0005-0000-0000-0000B0000000}"/>
    <cellStyle name="Accent4 4" xfId="178" xr:uid="{00000000-0005-0000-0000-0000B1000000}"/>
    <cellStyle name="Accent4 5" xfId="179" xr:uid="{00000000-0005-0000-0000-0000B2000000}"/>
    <cellStyle name="Accent4 6" xfId="180" xr:uid="{00000000-0005-0000-0000-0000B3000000}"/>
    <cellStyle name="Accent5" xfId="181" builtinId="45" customBuiltin="1"/>
    <cellStyle name="Accent5 2" xfId="182" xr:uid="{00000000-0005-0000-0000-0000B5000000}"/>
    <cellStyle name="Accent5 3" xfId="183" xr:uid="{00000000-0005-0000-0000-0000B6000000}"/>
    <cellStyle name="Accent5 4" xfId="184" xr:uid="{00000000-0005-0000-0000-0000B7000000}"/>
    <cellStyle name="Accent5 5" xfId="185" xr:uid="{00000000-0005-0000-0000-0000B8000000}"/>
    <cellStyle name="Accent5 6" xfId="186" xr:uid="{00000000-0005-0000-0000-0000B9000000}"/>
    <cellStyle name="Accent6" xfId="187" builtinId="49" customBuiltin="1"/>
    <cellStyle name="Accent6 2" xfId="188" xr:uid="{00000000-0005-0000-0000-0000BB000000}"/>
    <cellStyle name="Accent6 3" xfId="189" xr:uid="{00000000-0005-0000-0000-0000BC000000}"/>
    <cellStyle name="Accent6 4" xfId="190" xr:uid="{00000000-0005-0000-0000-0000BD000000}"/>
    <cellStyle name="Accent6 5" xfId="191" xr:uid="{00000000-0005-0000-0000-0000BE000000}"/>
    <cellStyle name="Accent6 6" xfId="192" xr:uid="{00000000-0005-0000-0000-0000BF000000}"/>
    <cellStyle name="Accent6 7" xfId="193" xr:uid="{00000000-0005-0000-0000-0000C0000000}"/>
    <cellStyle name="Accent6 8" xfId="194" xr:uid="{00000000-0005-0000-0000-0000C1000000}"/>
    <cellStyle name="Bad" xfId="195" builtinId="27" customBuiltin="1"/>
    <cellStyle name="Bad 2" xfId="196" xr:uid="{00000000-0005-0000-0000-0000C3000000}"/>
    <cellStyle name="Bad 3" xfId="197" xr:uid="{00000000-0005-0000-0000-0000C4000000}"/>
    <cellStyle name="Bad 4" xfId="198" xr:uid="{00000000-0005-0000-0000-0000C5000000}"/>
    <cellStyle name="Bad 5" xfId="199" xr:uid="{00000000-0005-0000-0000-0000C6000000}"/>
    <cellStyle name="Bad 6" xfId="200" xr:uid="{00000000-0005-0000-0000-0000C7000000}"/>
    <cellStyle name="Bad 7" xfId="201" xr:uid="{00000000-0005-0000-0000-0000C8000000}"/>
    <cellStyle name="Bad 8" xfId="202" xr:uid="{00000000-0005-0000-0000-0000C9000000}"/>
    <cellStyle name="Calculation" xfId="203" builtinId="22" customBuiltin="1"/>
    <cellStyle name="Calculation 2" xfId="204" xr:uid="{00000000-0005-0000-0000-0000CB000000}"/>
    <cellStyle name="Calculation 3" xfId="205" xr:uid="{00000000-0005-0000-0000-0000CC000000}"/>
    <cellStyle name="Calculation 4" xfId="206" xr:uid="{00000000-0005-0000-0000-0000CD000000}"/>
    <cellStyle name="Calculation 5" xfId="207" xr:uid="{00000000-0005-0000-0000-0000CE000000}"/>
    <cellStyle name="Calculation 6" xfId="208" xr:uid="{00000000-0005-0000-0000-0000CF000000}"/>
    <cellStyle name="Calculation 7" xfId="209" xr:uid="{00000000-0005-0000-0000-0000D0000000}"/>
    <cellStyle name="Calculation 8" xfId="210" xr:uid="{00000000-0005-0000-0000-0000D1000000}"/>
    <cellStyle name="Check Cell" xfId="211" builtinId="23" customBuiltin="1"/>
    <cellStyle name="Check Cell 2" xfId="212" xr:uid="{00000000-0005-0000-0000-0000D3000000}"/>
    <cellStyle name="Check Cell 3" xfId="213" xr:uid="{00000000-0005-0000-0000-0000D4000000}"/>
    <cellStyle name="Check Cell 4" xfId="214" xr:uid="{00000000-0005-0000-0000-0000D5000000}"/>
    <cellStyle name="Check Cell 5" xfId="215" xr:uid="{00000000-0005-0000-0000-0000D6000000}"/>
    <cellStyle name="Check Cell 6" xfId="216" xr:uid="{00000000-0005-0000-0000-0000D7000000}"/>
    <cellStyle name="Comma [0] 2" xfId="217" xr:uid="{00000000-0005-0000-0000-0000D8000000}"/>
    <cellStyle name="Comma 2" xfId="218" xr:uid="{00000000-0005-0000-0000-0000D9000000}"/>
    <cellStyle name="Comma 2 2" xfId="219" xr:uid="{00000000-0005-0000-0000-0000DA000000}"/>
    <cellStyle name="Comma 4" xfId="220" xr:uid="{00000000-0005-0000-0000-0000DB000000}"/>
    <cellStyle name="Comma 4 2" xfId="221" xr:uid="{00000000-0005-0000-0000-0000DC000000}"/>
    <cellStyle name="Currency" xfId="222" builtinId="4"/>
    <cellStyle name="Currency 2" xfId="223" xr:uid="{00000000-0005-0000-0000-0000DE000000}"/>
    <cellStyle name="Currency 3" xfId="224" xr:uid="{00000000-0005-0000-0000-0000DF000000}"/>
    <cellStyle name="Currency 4" xfId="225" xr:uid="{00000000-0005-0000-0000-0000E0000000}"/>
    <cellStyle name="Currency 5" xfId="226" xr:uid="{00000000-0005-0000-0000-0000E1000000}"/>
    <cellStyle name="Currency 6" xfId="227" xr:uid="{00000000-0005-0000-0000-0000E2000000}"/>
    <cellStyle name="Explanatory Text" xfId="228" builtinId="53" customBuiltin="1"/>
    <cellStyle name="Explanatory Text 2" xfId="229" xr:uid="{00000000-0005-0000-0000-0000E4000000}"/>
    <cellStyle name="Explanatory Text 3" xfId="230" xr:uid="{00000000-0005-0000-0000-0000E5000000}"/>
    <cellStyle name="Explanatory Text 4" xfId="231" xr:uid="{00000000-0005-0000-0000-0000E6000000}"/>
    <cellStyle name="Explanatory Text 5" xfId="232" xr:uid="{00000000-0005-0000-0000-0000E7000000}"/>
    <cellStyle name="Explanatory Text 6" xfId="233" xr:uid="{00000000-0005-0000-0000-0000E8000000}"/>
    <cellStyle name="Good" xfId="234" builtinId="26" customBuiltin="1"/>
    <cellStyle name="Good 2" xfId="235" xr:uid="{00000000-0005-0000-0000-0000EA000000}"/>
    <cellStyle name="Good 3" xfId="236" xr:uid="{00000000-0005-0000-0000-0000EB000000}"/>
    <cellStyle name="Good 4" xfId="237" xr:uid="{00000000-0005-0000-0000-0000EC000000}"/>
    <cellStyle name="Good 5" xfId="238" xr:uid="{00000000-0005-0000-0000-0000ED000000}"/>
    <cellStyle name="Good 6" xfId="239" xr:uid="{00000000-0005-0000-0000-0000EE000000}"/>
    <cellStyle name="Good 7" xfId="240" xr:uid="{00000000-0005-0000-0000-0000EF000000}"/>
    <cellStyle name="Good 8" xfId="241" xr:uid="{00000000-0005-0000-0000-0000F0000000}"/>
    <cellStyle name="Heading 1" xfId="242" builtinId="16" customBuiltin="1"/>
    <cellStyle name="Heading 1 2" xfId="243" xr:uid="{00000000-0005-0000-0000-0000F2000000}"/>
    <cellStyle name="Heading 1 3" xfId="244" xr:uid="{00000000-0005-0000-0000-0000F3000000}"/>
    <cellStyle name="Heading 1 4" xfId="245" xr:uid="{00000000-0005-0000-0000-0000F4000000}"/>
    <cellStyle name="Heading 1 5" xfId="246" xr:uid="{00000000-0005-0000-0000-0000F5000000}"/>
    <cellStyle name="Heading 1 6" xfId="247" xr:uid="{00000000-0005-0000-0000-0000F6000000}"/>
    <cellStyle name="Heading 1 7" xfId="248" xr:uid="{00000000-0005-0000-0000-0000F7000000}"/>
    <cellStyle name="Heading 1 8" xfId="249" xr:uid="{00000000-0005-0000-0000-0000F8000000}"/>
    <cellStyle name="Heading 2" xfId="250" builtinId="17" customBuiltin="1"/>
    <cellStyle name="Heading 2 2" xfId="251" xr:uid="{00000000-0005-0000-0000-0000FA000000}"/>
    <cellStyle name="Heading 2 3" xfId="252" xr:uid="{00000000-0005-0000-0000-0000FB000000}"/>
    <cellStyle name="Heading 2 4" xfId="253" xr:uid="{00000000-0005-0000-0000-0000FC000000}"/>
    <cellStyle name="Heading 2 5" xfId="254" xr:uid="{00000000-0005-0000-0000-0000FD000000}"/>
    <cellStyle name="Heading 2 6" xfId="255" xr:uid="{00000000-0005-0000-0000-0000FE000000}"/>
    <cellStyle name="Heading 2 7" xfId="256" xr:uid="{00000000-0005-0000-0000-0000FF000000}"/>
    <cellStyle name="Heading 2 8" xfId="257" xr:uid="{00000000-0005-0000-0000-000000010000}"/>
    <cellStyle name="Heading 3" xfId="258" builtinId="18" customBuiltin="1"/>
    <cellStyle name="Heading 3 2" xfId="259" xr:uid="{00000000-0005-0000-0000-000002010000}"/>
    <cellStyle name="Heading 3 3" xfId="260" xr:uid="{00000000-0005-0000-0000-000003010000}"/>
    <cellStyle name="Heading 3 4" xfId="261" xr:uid="{00000000-0005-0000-0000-000004010000}"/>
    <cellStyle name="Heading 3 5" xfId="262" xr:uid="{00000000-0005-0000-0000-000005010000}"/>
    <cellStyle name="Heading 3 6" xfId="263" xr:uid="{00000000-0005-0000-0000-000006010000}"/>
    <cellStyle name="Heading 3 7" xfId="264" xr:uid="{00000000-0005-0000-0000-000007010000}"/>
    <cellStyle name="Heading 3 8" xfId="265" xr:uid="{00000000-0005-0000-0000-000008010000}"/>
    <cellStyle name="Heading 4" xfId="266" builtinId="19" customBuiltin="1"/>
    <cellStyle name="Heading 4 2" xfId="267" xr:uid="{00000000-0005-0000-0000-00000A010000}"/>
    <cellStyle name="Heading 4 3" xfId="268" xr:uid="{00000000-0005-0000-0000-00000B010000}"/>
    <cellStyle name="Heading 4 4" xfId="269" xr:uid="{00000000-0005-0000-0000-00000C010000}"/>
    <cellStyle name="Heading 4 5" xfId="270" xr:uid="{00000000-0005-0000-0000-00000D010000}"/>
    <cellStyle name="Heading 4 6" xfId="271" xr:uid="{00000000-0005-0000-0000-00000E010000}"/>
    <cellStyle name="Heading 4 7" xfId="272" xr:uid="{00000000-0005-0000-0000-00000F010000}"/>
    <cellStyle name="Heading 4 8" xfId="273" xr:uid="{00000000-0005-0000-0000-000010010000}"/>
    <cellStyle name="Hyperlink" xfId="274" builtinId="8"/>
    <cellStyle name="Hyperlink 2" xfId="275" xr:uid="{00000000-0005-0000-0000-000012010000}"/>
    <cellStyle name="Hyperlink 3" xfId="276" xr:uid="{00000000-0005-0000-0000-000013010000}"/>
    <cellStyle name="Hyperlink 4" xfId="277" xr:uid="{00000000-0005-0000-0000-000014010000}"/>
    <cellStyle name="Input" xfId="278" builtinId="20" customBuiltin="1"/>
    <cellStyle name="Input 2" xfId="279" xr:uid="{00000000-0005-0000-0000-000016010000}"/>
    <cellStyle name="Input 3" xfId="280" xr:uid="{00000000-0005-0000-0000-000017010000}"/>
    <cellStyle name="Input 4" xfId="281" xr:uid="{00000000-0005-0000-0000-000018010000}"/>
    <cellStyle name="Input 5" xfId="282" xr:uid="{00000000-0005-0000-0000-000019010000}"/>
    <cellStyle name="Input 6" xfId="283" xr:uid="{00000000-0005-0000-0000-00001A010000}"/>
    <cellStyle name="Input 7" xfId="284" xr:uid="{00000000-0005-0000-0000-00001B010000}"/>
    <cellStyle name="Input 8" xfId="285" xr:uid="{00000000-0005-0000-0000-00001C010000}"/>
    <cellStyle name="Linked Cell" xfId="286" builtinId="24" customBuiltin="1"/>
    <cellStyle name="Linked Cell 2" xfId="287" xr:uid="{00000000-0005-0000-0000-00001E010000}"/>
    <cellStyle name="Linked Cell 3" xfId="288" xr:uid="{00000000-0005-0000-0000-00001F010000}"/>
    <cellStyle name="Linked Cell 4" xfId="289" xr:uid="{00000000-0005-0000-0000-000020010000}"/>
    <cellStyle name="Linked Cell 5" xfId="290" xr:uid="{00000000-0005-0000-0000-000021010000}"/>
    <cellStyle name="Linked Cell 6" xfId="291" xr:uid="{00000000-0005-0000-0000-000022010000}"/>
    <cellStyle name="Linked Cell 7" xfId="292" xr:uid="{00000000-0005-0000-0000-000023010000}"/>
    <cellStyle name="Linked Cell 8" xfId="293" xr:uid="{00000000-0005-0000-0000-000024010000}"/>
    <cellStyle name="Neutral" xfId="294" builtinId="28" customBuiltin="1"/>
    <cellStyle name="Neutral 2" xfId="295" xr:uid="{00000000-0005-0000-0000-000026010000}"/>
    <cellStyle name="Neutral 3" xfId="296" xr:uid="{00000000-0005-0000-0000-000027010000}"/>
    <cellStyle name="Neutral 4" xfId="297" xr:uid="{00000000-0005-0000-0000-000028010000}"/>
    <cellStyle name="Neutral 5" xfId="298" xr:uid="{00000000-0005-0000-0000-000029010000}"/>
    <cellStyle name="Neutral 6" xfId="299" xr:uid="{00000000-0005-0000-0000-00002A010000}"/>
    <cellStyle name="Neutral 7" xfId="300" xr:uid="{00000000-0005-0000-0000-00002B010000}"/>
    <cellStyle name="Neutral 8" xfId="301" xr:uid="{00000000-0005-0000-0000-00002C010000}"/>
    <cellStyle name="Normal" xfId="0" builtinId="0"/>
    <cellStyle name="Normal 10" xfId="302" xr:uid="{00000000-0005-0000-0000-00002E010000}"/>
    <cellStyle name="Normal 10 10 2" xfId="303" xr:uid="{00000000-0005-0000-0000-00002F010000}"/>
    <cellStyle name="Normal 10 2" xfId="304" xr:uid="{00000000-0005-0000-0000-000030010000}"/>
    <cellStyle name="Normal 11" xfId="305" xr:uid="{00000000-0005-0000-0000-000031010000}"/>
    <cellStyle name="Normal 11 2" xfId="306" xr:uid="{00000000-0005-0000-0000-000032010000}"/>
    <cellStyle name="Normal 12" xfId="307" xr:uid="{00000000-0005-0000-0000-000033010000}"/>
    <cellStyle name="Normal 12 2" xfId="308" xr:uid="{00000000-0005-0000-0000-000034010000}"/>
    <cellStyle name="Normal 13" xfId="309" xr:uid="{00000000-0005-0000-0000-000035010000}"/>
    <cellStyle name="Normal 14" xfId="310" xr:uid="{00000000-0005-0000-0000-000036010000}"/>
    <cellStyle name="Normal 15" xfId="311" xr:uid="{00000000-0005-0000-0000-000037010000}"/>
    <cellStyle name="Normal 2" xfId="312" xr:uid="{00000000-0005-0000-0000-000038010000}"/>
    <cellStyle name="Normal 2 2" xfId="313" xr:uid="{00000000-0005-0000-0000-000039010000}"/>
    <cellStyle name="Normal 2 2 2" xfId="314" xr:uid="{00000000-0005-0000-0000-00003A010000}"/>
    <cellStyle name="Normal 2 3" xfId="315" xr:uid="{00000000-0005-0000-0000-00003B010000}"/>
    <cellStyle name="Normal 2 3 2" xfId="316" xr:uid="{00000000-0005-0000-0000-00003C010000}"/>
    <cellStyle name="Normal 2 4" xfId="317" xr:uid="{00000000-0005-0000-0000-00003D010000}"/>
    <cellStyle name="Normal 3" xfId="318" xr:uid="{00000000-0005-0000-0000-00003E010000}"/>
    <cellStyle name="Normal 3 2" xfId="319" xr:uid="{00000000-0005-0000-0000-00003F010000}"/>
    <cellStyle name="Normal 3 2 2" xfId="320" xr:uid="{00000000-0005-0000-0000-000040010000}"/>
    <cellStyle name="Normal 3 3" xfId="321" xr:uid="{00000000-0005-0000-0000-000041010000}"/>
    <cellStyle name="Normal 4" xfId="322" xr:uid="{00000000-0005-0000-0000-000042010000}"/>
    <cellStyle name="Normal 4 2" xfId="323" xr:uid="{00000000-0005-0000-0000-000043010000}"/>
    <cellStyle name="Normal 4 3" xfId="324" xr:uid="{00000000-0005-0000-0000-000044010000}"/>
    <cellStyle name="Normal 5" xfId="325" xr:uid="{00000000-0005-0000-0000-000045010000}"/>
    <cellStyle name="Normal 5 2" xfId="326" xr:uid="{00000000-0005-0000-0000-000046010000}"/>
    <cellStyle name="Normal 5 2 2" xfId="327" xr:uid="{00000000-0005-0000-0000-000047010000}"/>
    <cellStyle name="Normal 5 3" xfId="328" xr:uid="{00000000-0005-0000-0000-000048010000}"/>
    <cellStyle name="Normal 5_VITA VBS Catalog 7.13" xfId="329" xr:uid="{00000000-0005-0000-0000-000049010000}"/>
    <cellStyle name="Normal 6" xfId="330" xr:uid="{00000000-0005-0000-0000-00004A010000}"/>
    <cellStyle name="Normal 6 2" xfId="331" xr:uid="{00000000-0005-0000-0000-00004B010000}"/>
    <cellStyle name="Normal 7" xfId="332" xr:uid="{00000000-0005-0000-0000-00004C010000}"/>
    <cellStyle name="Normal 7 2" xfId="333" xr:uid="{00000000-0005-0000-0000-00004D010000}"/>
    <cellStyle name="Normal 8" xfId="334" xr:uid="{00000000-0005-0000-0000-00004E010000}"/>
    <cellStyle name="Normal 8 2" xfId="335" xr:uid="{00000000-0005-0000-0000-00004F010000}"/>
    <cellStyle name="Normal 9" xfId="336" xr:uid="{00000000-0005-0000-0000-000050010000}"/>
    <cellStyle name="Normal 9 2" xfId="337" xr:uid="{00000000-0005-0000-0000-000051010000}"/>
    <cellStyle name="Normal_C554e" xfId="338" xr:uid="{00000000-0005-0000-0000-000052010000}"/>
    <cellStyle name="Normal_KIP 7100 (WF) Segment #40" xfId="339" xr:uid="{00000000-0005-0000-0000-000053010000}"/>
    <cellStyle name="Normal_KIP 7700 (WF) Segment #41" xfId="340" xr:uid="{00000000-0005-0000-0000-000054010000}"/>
    <cellStyle name="Normal_KIP 7700 (WF) Segment #41 2" xfId="341" xr:uid="{00000000-0005-0000-0000-000055010000}"/>
    <cellStyle name="Normal_Konica 20 Segment #7" xfId="342" xr:uid="{00000000-0005-0000-0000-000056010000}"/>
    <cellStyle name="Normal_Konica 36-Segment #9  2" xfId="403" xr:uid="{A2E8F635-6446-438D-9C88-4D870D2289A7}"/>
    <cellStyle name="Normal_Konica 654-Segment #16" xfId="343" xr:uid="{00000000-0005-0000-0000-000058010000}"/>
    <cellStyle name="Normal_Konica C35P Segment #29" xfId="344" xr:uid="{00000000-0005-0000-0000-000059010000}"/>
    <cellStyle name="Normal_Konica C364-Segment #13 2" xfId="404" xr:uid="{7DC7F438-AFCD-451C-971B-FDE04E0D0577}"/>
    <cellStyle name="Normal_Konica C554-Segment #15 2" xfId="345" xr:uid="{00000000-0005-0000-0000-00005B010000}"/>
    <cellStyle name="Normal_Konica C7000-Production Pri (2)" xfId="346" xr:uid="{00000000-0005-0000-0000-00005C010000}"/>
    <cellStyle name="Normal_Konica C7000-Segment #15" xfId="347" xr:uid="{00000000-0005-0000-0000-00005D010000}"/>
    <cellStyle name="Normal_Konica C7000-Segment #15 2" xfId="348" xr:uid="{00000000-0005-0000-0000-00005E010000}"/>
    <cellStyle name="Normal_Konica C8000-Production Print" xfId="349" xr:uid="{00000000-0005-0000-0000-00005F010000}"/>
    <cellStyle name="Normal_Sheet1" xfId="350" xr:uid="{00000000-0005-0000-0000-000060010000}"/>
    <cellStyle name="Normal_Sheet3 2" xfId="351" xr:uid="{00000000-0005-0000-0000-000061010000}"/>
    <cellStyle name="Normal_VITA VBS Catalog-Konica &amp; Ricoh Update 4.13" xfId="352" xr:uid="{00000000-0005-0000-0000-000062010000}"/>
    <cellStyle name="Note" xfId="353" builtinId="10" customBuiltin="1"/>
    <cellStyle name="Note 2" xfId="354" xr:uid="{00000000-0005-0000-0000-000064010000}"/>
    <cellStyle name="Note 2 2" xfId="355" xr:uid="{00000000-0005-0000-0000-000065010000}"/>
    <cellStyle name="Note 2 3" xfId="356" xr:uid="{00000000-0005-0000-0000-000066010000}"/>
    <cellStyle name="Note 3" xfId="357" xr:uid="{00000000-0005-0000-0000-000067010000}"/>
    <cellStyle name="Note 3 2" xfId="358" xr:uid="{00000000-0005-0000-0000-000068010000}"/>
    <cellStyle name="Note 4" xfId="359" xr:uid="{00000000-0005-0000-0000-000069010000}"/>
    <cellStyle name="Note 4 2" xfId="360" xr:uid="{00000000-0005-0000-0000-00006A010000}"/>
    <cellStyle name="Note 5" xfId="361" xr:uid="{00000000-0005-0000-0000-00006B010000}"/>
    <cellStyle name="Note 5 2" xfId="362" xr:uid="{00000000-0005-0000-0000-00006C010000}"/>
    <cellStyle name="Note 6" xfId="363" xr:uid="{00000000-0005-0000-0000-00006D010000}"/>
    <cellStyle name="Note 7" xfId="364" xr:uid="{00000000-0005-0000-0000-00006E010000}"/>
    <cellStyle name="Note 8" xfId="365" xr:uid="{00000000-0005-0000-0000-00006F010000}"/>
    <cellStyle name="Note 9" xfId="366" xr:uid="{00000000-0005-0000-0000-000070010000}"/>
    <cellStyle name="Output" xfId="367" builtinId="21" customBuiltin="1"/>
    <cellStyle name="Output 2" xfId="368" xr:uid="{00000000-0005-0000-0000-000072010000}"/>
    <cellStyle name="Output 3" xfId="369" xr:uid="{00000000-0005-0000-0000-000073010000}"/>
    <cellStyle name="Output 4" xfId="370" xr:uid="{00000000-0005-0000-0000-000074010000}"/>
    <cellStyle name="Output 5" xfId="371" xr:uid="{00000000-0005-0000-0000-000075010000}"/>
    <cellStyle name="Output 6" xfId="372" xr:uid="{00000000-0005-0000-0000-000076010000}"/>
    <cellStyle name="Percent 2" xfId="373" xr:uid="{00000000-0005-0000-0000-000077010000}"/>
    <cellStyle name="Percent 3" xfId="374" xr:uid="{00000000-0005-0000-0000-000078010000}"/>
    <cellStyle name="Percent 4" xfId="375" xr:uid="{00000000-0005-0000-0000-000079010000}"/>
    <cellStyle name="Percent 5" xfId="376" xr:uid="{00000000-0005-0000-0000-00007A010000}"/>
    <cellStyle name="Product Code" xfId="377" xr:uid="{00000000-0005-0000-0000-00007B010000}"/>
    <cellStyle name="Style 1" xfId="378" xr:uid="{00000000-0005-0000-0000-00007C010000}"/>
    <cellStyle name="Style 1 2 2 2" xfId="379" xr:uid="{00000000-0005-0000-0000-00007D010000}"/>
    <cellStyle name="Title" xfId="380" builtinId="15" customBuiltin="1"/>
    <cellStyle name="Title 2" xfId="381" xr:uid="{00000000-0005-0000-0000-00007F010000}"/>
    <cellStyle name="Title 3" xfId="382" xr:uid="{00000000-0005-0000-0000-000080010000}"/>
    <cellStyle name="Title 4" xfId="383" xr:uid="{00000000-0005-0000-0000-000081010000}"/>
    <cellStyle name="Title 5" xfId="384" xr:uid="{00000000-0005-0000-0000-000082010000}"/>
    <cellStyle name="Title 6" xfId="385" xr:uid="{00000000-0005-0000-0000-000083010000}"/>
    <cellStyle name="Title 7" xfId="386" xr:uid="{00000000-0005-0000-0000-000084010000}"/>
    <cellStyle name="Title 8" xfId="387" xr:uid="{00000000-0005-0000-0000-000085010000}"/>
    <cellStyle name="Total" xfId="388" builtinId="25" customBuiltin="1"/>
    <cellStyle name="Total 2" xfId="389" xr:uid="{00000000-0005-0000-0000-000087010000}"/>
    <cellStyle name="Total 3" xfId="390" xr:uid="{00000000-0005-0000-0000-000088010000}"/>
    <cellStyle name="Total 4" xfId="391" xr:uid="{00000000-0005-0000-0000-000089010000}"/>
    <cellStyle name="Total 5" xfId="392" xr:uid="{00000000-0005-0000-0000-00008A010000}"/>
    <cellStyle name="Total 6" xfId="393" xr:uid="{00000000-0005-0000-0000-00008B010000}"/>
    <cellStyle name="Warning Text" xfId="394" builtinId="11" customBuiltin="1"/>
    <cellStyle name="Warning Text 2" xfId="395" xr:uid="{00000000-0005-0000-0000-00008D010000}"/>
    <cellStyle name="Warning Text 3" xfId="396" xr:uid="{00000000-0005-0000-0000-00008E010000}"/>
    <cellStyle name="Warning Text 4" xfId="397" xr:uid="{00000000-0005-0000-0000-00008F010000}"/>
    <cellStyle name="Warning Text 5" xfId="398" xr:uid="{00000000-0005-0000-0000-000090010000}"/>
    <cellStyle name="Warning Text 6" xfId="399" xr:uid="{00000000-0005-0000-0000-000091010000}"/>
    <cellStyle name="Warning Text 7" xfId="400" xr:uid="{00000000-0005-0000-0000-000092010000}"/>
    <cellStyle name="쉼표 [0] 2" xfId="401" xr:uid="{00000000-0005-0000-0000-000093010000}"/>
    <cellStyle name="標準_PriceList(MSG)D.New" xfId="402" xr:uid="{00000000-0005-0000-0000-000094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-76200</xdr:colOff>
      <xdr:row>4</xdr:row>
      <xdr:rowOff>0</xdr:rowOff>
    </xdr:to>
    <xdr:pic>
      <xdr:nvPicPr>
        <xdr:cNvPr id="749755" name="Picture 1" descr="KIP Logo">
          <a:extLst>
            <a:ext uri="{FF2B5EF4-FFF2-40B4-BE49-F238E27FC236}">
              <a16:creationId xmlns:a16="http://schemas.microsoft.com/office/drawing/2014/main" id="{00000000-0008-0000-2400-0000BB70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95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xdr:row>
          <xdr:rowOff>0</xdr:rowOff>
        </xdr:from>
        <xdr:to>
          <xdr:col>9</xdr:col>
          <xdr:colOff>0</xdr:colOff>
          <xdr:row>15</xdr:row>
          <xdr:rowOff>0</xdr:rowOff>
        </xdr:to>
        <xdr:sp macro="" textlink="">
          <xdr:nvSpPr>
            <xdr:cNvPr id="640002" name="Object 1026" hidden="1">
              <a:extLst>
                <a:ext uri="{63B3BB69-23CF-44E3-9099-C40C66FF867C}">
                  <a14:compatExt spid="_x0000_s640002"/>
                </a:ext>
                <a:ext uri="{FF2B5EF4-FFF2-40B4-BE49-F238E27FC236}">
                  <a16:creationId xmlns:a16="http://schemas.microsoft.com/office/drawing/2014/main" id="{00000000-0008-0000-4600-000002C40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1</xdr:row>
      <xdr:rowOff>1196340</xdr:rowOff>
    </xdr:from>
    <xdr:to>
      <xdr:col>1</xdr:col>
      <xdr:colOff>76200</xdr:colOff>
      <xdr:row>6</xdr:row>
      <xdr:rowOff>38100</xdr:rowOff>
    </xdr:to>
    <xdr:pic>
      <xdr:nvPicPr>
        <xdr:cNvPr id="742816" name="Picture 4">
          <a:extLst>
            <a:ext uri="{FF2B5EF4-FFF2-40B4-BE49-F238E27FC236}">
              <a16:creationId xmlns:a16="http://schemas.microsoft.com/office/drawing/2014/main" id="{00000000-0008-0000-4700-0000A055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1240" y="1592580"/>
          <a:ext cx="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-1478280</xdr:colOff>
      <xdr:row>7</xdr:row>
      <xdr:rowOff>1592580</xdr:rowOff>
    </xdr:from>
    <xdr:to>
      <xdr:col>2</xdr:col>
      <xdr:colOff>38100</xdr:colOff>
      <xdr:row>143</xdr:row>
      <xdr:rowOff>38100</xdr:rowOff>
    </xdr:to>
    <xdr:pic>
      <xdr:nvPicPr>
        <xdr:cNvPr id="743840" name="Picture 2">
          <a:extLst>
            <a:ext uri="{FF2B5EF4-FFF2-40B4-BE49-F238E27FC236}">
              <a16:creationId xmlns:a16="http://schemas.microsoft.com/office/drawing/2014/main" id="{00000000-0008-0000-4800-0000A059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8" t="1532" r="-230" b="-1532"/>
        <a:stretch>
          <a:fillRect/>
        </a:stretch>
      </xdr:blipFill>
      <xdr:spPr bwMode="auto">
        <a:xfrm>
          <a:off x="-1478280" y="2979420"/>
          <a:ext cx="12412980" cy="2341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-1760220</xdr:colOff>
      <xdr:row>1</xdr:row>
      <xdr:rowOff>822960</xdr:rowOff>
    </xdr:from>
    <xdr:to>
      <xdr:col>3</xdr:col>
      <xdr:colOff>38100</xdr:colOff>
      <xdr:row>2</xdr:row>
      <xdr:rowOff>38100</xdr:rowOff>
    </xdr:to>
    <xdr:pic>
      <xdr:nvPicPr>
        <xdr:cNvPr id="641957" name="Picture 9">
          <a:extLst>
            <a:ext uri="{FF2B5EF4-FFF2-40B4-BE49-F238E27FC236}">
              <a16:creationId xmlns:a16="http://schemas.microsoft.com/office/drawing/2014/main" id="{00000000-0008-0000-4900-0000A5CB0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 y="1203960"/>
          <a:ext cx="130225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1729740</xdr:colOff>
      <xdr:row>1</xdr:row>
      <xdr:rowOff>1744980</xdr:rowOff>
    </xdr:from>
    <xdr:to>
      <xdr:col>2</xdr:col>
      <xdr:colOff>0</xdr:colOff>
      <xdr:row>155</xdr:row>
      <xdr:rowOff>38100</xdr:rowOff>
    </xdr:to>
    <xdr:pic>
      <xdr:nvPicPr>
        <xdr:cNvPr id="642981" name="Picture 11">
          <a:extLst>
            <a:ext uri="{FF2B5EF4-FFF2-40B4-BE49-F238E27FC236}">
              <a16:creationId xmlns:a16="http://schemas.microsoft.com/office/drawing/2014/main" id="{00000000-0008-0000-4A00-0000A5CF0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2125980"/>
          <a:ext cx="11597640" cy="264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-1607820</xdr:colOff>
      <xdr:row>1</xdr:row>
      <xdr:rowOff>899160</xdr:rowOff>
    </xdr:from>
    <xdr:to>
      <xdr:col>0</xdr:col>
      <xdr:colOff>-1455420</xdr:colOff>
      <xdr:row>173</xdr:row>
      <xdr:rowOff>38100</xdr:rowOff>
    </xdr:to>
    <xdr:pic>
      <xdr:nvPicPr>
        <xdr:cNvPr id="644005" name="Picture 14">
          <a:extLst>
            <a:ext uri="{FF2B5EF4-FFF2-40B4-BE49-F238E27FC236}">
              <a16:creationId xmlns:a16="http://schemas.microsoft.com/office/drawing/2014/main" id="{00000000-0008-0000-4B00-0000A5D30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7820" y="1280160"/>
          <a:ext cx="152400" cy="30045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198120</xdr:colOff>
      <xdr:row>1</xdr:row>
      <xdr:rowOff>38100</xdr:rowOff>
    </xdr:from>
    <xdr:to>
      <xdr:col>2</xdr:col>
      <xdr:colOff>0</xdr:colOff>
      <xdr:row>11</xdr:row>
      <xdr:rowOff>38100</xdr:rowOff>
    </xdr:to>
    <xdr:pic>
      <xdr:nvPicPr>
        <xdr:cNvPr id="744864" name="Picture 1">
          <a:extLst>
            <a:ext uri="{FF2B5EF4-FFF2-40B4-BE49-F238E27FC236}">
              <a16:creationId xmlns:a16="http://schemas.microsoft.com/office/drawing/2014/main" id="{00000000-0008-0000-4C00-0000A05D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3940" y="449580"/>
          <a:ext cx="4732020" cy="277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1</xdr:row>
      <xdr:rowOff>38100</xdr:rowOff>
    </xdr:from>
    <xdr:to>
      <xdr:col>1</xdr:col>
      <xdr:colOff>-579120</xdr:colOff>
      <xdr:row>39</xdr:row>
      <xdr:rowOff>38100</xdr:rowOff>
    </xdr:to>
    <xdr:pic>
      <xdr:nvPicPr>
        <xdr:cNvPr id="646052" name="Picture 2">
          <a:extLst>
            <a:ext uri="{FF2B5EF4-FFF2-40B4-BE49-F238E27FC236}">
              <a16:creationId xmlns:a16="http://schemas.microsoft.com/office/drawing/2014/main" id="{00000000-0008-0000-4E00-0000A4DB0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419100"/>
          <a:ext cx="0" cy="7002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2926080</xdr:colOff>
      <xdr:row>0</xdr:row>
      <xdr:rowOff>647700</xdr:rowOff>
    </xdr:from>
    <xdr:to>
      <xdr:col>1</xdr:col>
      <xdr:colOff>1082040</xdr:colOff>
      <xdr:row>0</xdr:row>
      <xdr:rowOff>1219200</xdr:rowOff>
    </xdr:to>
    <xdr:pic>
      <xdr:nvPicPr>
        <xdr:cNvPr id="745888" name="Picture 3">
          <a:extLst>
            <a:ext uri="{FF2B5EF4-FFF2-40B4-BE49-F238E27FC236}">
              <a16:creationId xmlns:a16="http://schemas.microsoft.com/office/drawing/2014/main" id="{00000000-0008-0000-5200-0000A06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6080" y="647700"/>
          <a:ext cx="13106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-76200</xdr:colOff>
      <xdr:row>4</xdr:row>
      <xdr:rowOff>0</xdr:rowOff>
    </xdr:to>
    <xdr:pic>
      <xdr:nvPicPr>
        <xdr:cNvPr id="751634" name="Picture 1" descr="KIP Logo">
          <a:extLst>
            <a:ext uri="{FF2B5EF4-FFF2-40B4-BE49-F238E27FC236}">
              <a16:creationId xmlns:a16="http://schemas.microsoft.com/office/drawing/2014/main" id="{00000000-0008-0000-2500-0000127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95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40768" name="Picture 7" descr="KIP Logo">
          <a:extLst>
            <a:ext uri="{FF2B5EF4-FFF2-40B4-BE49-F238E27FC236}">
              <a16:creationId xmlns:a16="http://schemas.microsoft.com/office/drawing/2014/main" id="{00000000-0008-0000-2600-0000A04D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474106" name="Picture 7" descr="KIP Logo">
          <a:extLst>
            <a:ext uri="{FF2B5EF4-FFF2-40B4-BE49-F238E27FC236}">
              <a16:creationId xmlns:a16="http://schemas.microsoft.com/office/drawing/2014/main" id="{00000000-0008-0000-2800-0000FA3B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475130" name="Picture 7" descr="KIP Logo">
          <a:extLst>
            <a:ext uri="{FF2B5EF4-FFF2-40B4-BE49-F238E27FC236}">
              <a16:creationId xmlns:a16="http://schemas.microsoft.com/office/drawing/2014/main" id="{00000000-0008-0000-2A00-0000FA3F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60960</xdr:colOff>
      <xdr:row>2</xdr:row>
      <xdr:rowOff>45720</xdr:rowOff>
    </xdr:from>
    <xdr:to>
      <xdr:col>0</xdr:col>
      <xdr:colOff>76200</xdr:colOff>
      <xdr:row>4</xdr:row>
      <xdr:rowOff>7620</xdr:rowOff>
    </xdr:to>
    <xdr:pic>
      <xdr:nvPicPr>
        <xdr:cNvPr id="748733" name="Picture 4">
          <a:extLst>
            <a:ext uri="{FF2B5EF4-FFF2-40B4-BE49-F238E27FC236}">
              <a16:creationId xmlns:a16="http://schemas.microsoft.com/office/drawing/2014/main" id="{00000000-0008-0000-2C00-0000BD6C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335280"/>
          <a:ext cx="15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476154" name="Picture 7" descr="KIP Logo">
          <a:extLst>
            <a:ext uri="{FF2B5EF4-FFF2-40B4-BE49-F238E27FC236}">
              <a16:creationId xmlns:a16="http://schemas.microsoft.com/office/drawing/2014/main" id="{00000000-0008-0000-3100-0000FA4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29830" name="Picture 7" descr="KIP Logo">
          <a:extLst>
            <a:ext uri="{FF2B5EF4-FFF2-40B4-BE49-F238E27FC236}">
              <a16:creationId xmlns:a16="http://schemas.microsoft.com/office/drawing/2014/main" id="{00000000-0008-0000-3200-0000E622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30854" name="Picture 7" descr="KIP Logo">
          <a:extLst>
            <a:ext uri="{FF2B5EF4-FFF2-40B4-BE49-F238E27FC236}">
              <a16:creationId xmlns:a16="http://schemas.microsoft.com/office/drawing/2014/main" id="{00000000-0008-0000-3300-0000E62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py%20of%20EBSVBSWork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work Survey"/>
      <sheetName val="PickupEMF "/>
      <sheetName val="Movement Form"/>
      <sheetName val="SOP INFO"/>
      <sheetName val="PASalesOrder"/>
      <sheetName val="VASalesOrder"/>
      <sheetName val="Commission Worksheet"/>
      <sheetName val="Document Non Disclosure"/>
      <sheetName val="Pricing Exception"/>
      <sheetName val="Installation Verification"/>
      <sheetName val="220 VAC 20amp"/>
      <sheetName val="115 VAC 15amp"/>
      <sheetName val="115 VAC 20amp"/>
    </sheetNames>
    <sheetDataSet>
      <sheetData sheetId="0"/>
      <sheetData sheetId="1"/>
      <sheetData sheetId="2"/>
      <sheetData sheetId="3"/>
      <sheetData sheetId="4"/>
      <sheetData sheetId="5"/>
      <sheetData sheetId="6" refreshError="1">
        <row r="41">
          <cell r="C41">
            <v>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71.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2.bin"/><Relationship Id="rId1" Type="http://schemas.openxmlformats.org/officeDocument/2006/relationships/hyperlink" Target="https://www.papercut.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3.bin"/><Relationship Id="rId1" Type="http://schemas.openxmlformats.org/officeDocument/2006/relationships/hyperlink" Target="http://www.prismsoftware.com/products/scanpath/"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74.bin"/><Relationship Id="rId1" Type="http://schemas.openxmlformats.org/officeDocument/2006/relationships/hyperlink" Target="https://tinyurl.com/yxr8aruj"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75.bin"/><Relationship Id="rId1" Type="http://schemas.openxmlformats.org/officeDocument/2006/relationships/hyperlink" Target="https://us.konicaminoltamarketplace.com/"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76.bin"/><Relationship Id="rId1" Type="http://schemas.openxmlformats.org/officeDocument/2006/relationships/hyperlink" Target="http://www.square-9.com/"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62"/>
  </sheetPr>
  <dimension ref="A1:Q63"/>
  <sheetViews>
    <sheetView topLeftCell="E25" zoomScale="90" zoomScaleNormal="90" workbookViewId="0">
      <selection activeCell="F39" sqref="F39"/>
    </sheetView>
  </sheetViews>
  <sheetFormatPr defaultColWidth="8.85546875" defaultRowHeight="12.75"/>
  <cols>
    <col min="1" max="1" width="15.28515625" style="104" customWidth="1"/>
    <col min="2" max="2" width="9.140625" style="104" customWidth="1"/>
    <col min="3" max="3" width="14" style="104" customWidth="1"/>
    <col min="4" max="4" width="33.140625" style="104" customWidth="1"/>
    <col min="5" max="5" width="15.7109375" style="104" customWidth="1"/>
    <col min="6" max="6" width="18.28515625" style="165" customWidth="1"/>
    <col min="7" max="7" width="23.140625" style="165" customWidth="1"/>
    <col min="8" max="8" width="24" style="104" customWidth="1"/>
    <col min="9" max="9" width="20.85546875" style="104" customWidth="1"/>
    <col min="10" max="10" width="23" style="104" customWidth="1"/>
    <col min="11" max="11" width="20.42578125" style="104" customWidth="1"/>
    <col min="12" max="12" width="23.28515625" style="104" customWidth="1"/>
    <col min="13" max="13" width="20.85546875" style="104" customWidth="1"/>
    <col min="14" max="14" width="23.5703125" style="104" customWidth="1"/>
    <col min="15" max="15" width="20.85546875" style="104" customWidth="1"/>
    <col min="16" max="16384" width="8.85546875" style="104"/>
  </cols>
  <sheetData>
    <row r="1" spans="1:17" ht="13.5" thickBot="1">
      <c r="B1" s="105"/>
      <c r="C1" s="105"/>
      <c r="D1" s="106"/>
      <c r="E1" s="106"/>
      <c r="F1" s="107"/>
      <c r="G1" s="107"/>
      <c r="H1" s="107"/>
      <c r="I1" s="107"/>
      <c r="J1" s="107"/>
      <c r="K1" s="107"/>
      <c r="L1" s="107"/>
    </row>
    <row r="2" spans="1:17" ht="9" customHeight="1">
      <c r="A2" s="108"/>
      <c r="B2" s="109"/>
      <c r="C2" s="109"/>
      <c r="D2" s="110"/>
      <c r="E2" s="110"/>
      <c r="F2" s="111"/>
      <c r="G2" s="111"/>
      <c r="H2" s="111"/>
      <c r="I2" s="112"/>
      <c r="J2" s="112"/>
      <c r="K2" s="112"/>
      <c r="L2" s="112"/>
      <c r="M2" s="108"/>
      <c r="N2" s="108"/>
      <c r="O2" s="108"/>
    </row>
    <row r="3" spans="1:17" ht="10.5" customHeight="1">
      <c r="B3" s="105"/>
      <c r="C3" s="105"/>
      <c r="D3" s="106"/>
      <c r="E3" s="106"/>
      <c r="F3" s="107"/>
      <c r="G3" s="107"/>
      <c r="H3" s="107"/>
      <c r="I3" s="113"/>
      <c r="J3" s="113"/>
      <c r="K3" s="113"/>
      <c r="L3" s="113"/>
    </row>
    <row r="4" spans="1:17" ht="30">
      <c r="A4" s="981" t="s">
        <v>4000</v>
      </c>
      <c r="B4" s="979"/>
      <c r="C4" s="979"/>
      <c r="D4" s="979"/>
      <c r="E4" s="979"/>
      <c r="F4" s="979"/>
      <c r="G4" s="979"/>
      <c r="H4" s="979"/>
      <c r="I4" s="979"/>
      <c r="J4" s="979"/>
      <c r="K4" s="979"/>
      <c r="L4" s="979"/>
      <c r="M4" s="979"/>
      <c r="N4" s="979"/>
      <c r="O4" s="979"/>
    </row>
    <row r="5" spans="1:17" s="114" customFormat="1" ht="38.25" customHeight="1">
      <c r="A5" s="982" t="s">
        <v>4005</v>
      </c>
      <c r="B5" s="983"/>
      <c r="C5" s="983"/>
      <c r="D5" s="983"/>
      <c r="E5" s="983"/>
      <c r="F5" s="983"/>
      <c r="G5" s="983"/>
      <c r="H5" s="983"/>
      <c r="I5" s="983"/>
      <c r="J5" s="983"/>
      <c r="K5" s="983"/>
      <c r="L5" s="983"/>
      <c r="M5" s="983"/>
      <c r="N5" s="983"/>
      <c r="O5" s="983"/>
    </row>
    <row r="6" spans="1:17" ht="9" customHeight="1" thickBot="1">
      <c r="A6" s="115"/>
      <c r="B6" s="116"/>
      <c r="C6" s="116"/>
      <c r="D6" s="117"/>
      <c r="E6" s="117"/>
      <c r="F6" s="118"/>
      <c r="G6" s="118"/>
      <c r="H6" s="118"/>
      <c r="I6" s="119"/>
      <c r="J6" s="119"/>
      <c r="K6" s="119"/>
      <c r="L6" s="119"/>
      <c r="M6" s="115"/>
      <c r="N6" s="115"/>
      <c r="O6" s="115"/>
    </row>
    <row r="9" spans="1:17" s="113" customFormat="1" ht="14.25">
      <c r="B9" s="120"/>
      <c r="C9" s="120"/>
      <c r="D9" s="121"/>
      <c r="E9" s="121"/>
      <c r="F9" s="121"/>
      <c r="G9" s="121"/>
      <c r="H9" s="121"/>
      <c r="I9" s="121"/>
      <c r="J9" s="121"/>
      <c r="K9" s="121"/>
      <c r="L9" s="121"/>
    </row>
    <row r="10" spans="1:17" s="113" customFormat="1" ht="14.25">
      <c r="F10" s="980" t="s">
        <v>3</v>
      </c>
      <c r="G10" s="980"/>
      <c r="H10" s="980"/>
      <c r="I10" s="980"/>
    </row>
    <row r="11" spans="1:17" s="113" customFormat="1" ht="14.25">
      <c r="G11" s="122" t="s">
        <v>4</v>
      </c>
      <c r="H11" s="113" t="s">
        <v>4006</v>
      </c>
    </row>
    <row r="12" spans="1:17" s="113" customFormat="1">
      <c r="G12" s="123" t="s">
        <v>5</v>
      </c>
      <c r="H12" s="124" t="s">
        <v>668</v>
      </c>
      <c r="I12" s="124"/>
      <c r="K12" s="124"/>
    </row>
    <row r="13" spans="1:17" s="113" customFormat="1" ht="14.25">
      <c r="F13" s="125"/>
      <c r="G13" s="126" t="s">
        <v>6</v>
      </c>
      <c r="H13" s="127" t="s">
        <v>7</v>
      </c>
      <c r="I13" s="127"/>
      <c r="K13" s="127"/>
      <c r="L13" s="128"/>
      <c r="M13" s="104"/>
      <c r="N13" s="104"/>
      <c r="O13" s="104"/>
      <c r="P13" s="104"/>
      <c r="Q13" s="104"/>
    </row>
    <row r="14" spans="1:17" s="113" customFormat="1">
      <c r="F14" s="125"/>
      <c r="G14" s="123" t="s">
        <v>8</v>
      </c>
      <c r="H14" s="129">
        <v>100000</v>
      </c>
      <c r="I14" s="129"/>
      <c r="K14" s="129"/>
      <c r="L14" s="130"/>
      <c r="M14" s="104"/>
      <c r="N14" s="104"/>
      <c r="O14" s="104"/>
      <c r="Q14" s="104"/>
    </row>
    <row r="15" spans="1:17" s="113" customFormat="1">
      <c r="F15" s="125"/>
      <c r="G15" s="123" t="s">
        <v>9</v>
      </c>
      <c r="H15" s="113" t="s">
        <v>262</v>
      </c>
      <c r="L15" s="130"/>
      <c r="M15" s="104"/>
      <c r="N15" s="104"/>
      <c r="O15" s="104"/>
      <c r="P15" s="131"/>
      <c r="Q15" s="104"/>
    </row>
    <row r="16" spans="1:17" s="113" customFormat="1" ht="14.25">
      <c r="A16" s="128"/>
      <c r="B16" s="104"/>
      <c r="C16" s="104"/>
      <c r="D16" s="104"/>
      <c r="E16" s="104"/>
      <c r="F16" s="104"/>
      <c r="G16" s="123" t="s">
        <v>10</v>
      </c>
      <c r="H16" s="113" t="s">
        <v>128</v>
      </c>
      <c r="L16" s="130"/>
      <c r="M16" s="104"/>
      <c r="N16" s="104"/>
      <c r="O16" s="104"/>
    </row>
    <row r="17" spans="1:15" s="113" customFormat="1">
      <c r="A17" s="130"/>
      <c r="B17" s="104"/>
      <c r="C17" s="104"/>
      <c r="E17" s="104"/>
      <c r="F17" s="104"/>
      <c r="G17" s="123" t="s">
        <v>188</v>
      </c>
      <c r="H17" s="113" t="s">
        <v>4007</v>
      </c>
      <c r="L17" s="130"/>
      <c r="M17" s="104"/>
      <c r="N17" s="104"/>
      <c r="O17" s="104"/>
    </row>
    <row r="18" spans="1:15" s="113" customFormat="1">
      <c r="A18" s="130"/>
      <c r="B18" s="104"/>
      <c r="C18" s="104"/>
      <c r="D18" s="132"/>
      <c r="E18" s="133"/>
      <c r="F18" s="133"/>
      <c r="G18" s="123" t="s">
        <v>13</v>
      </c>
      <c r="H18" s="113" t="s">
        <v>14</v>
      </c>
    </row>
    <row r="19" spans="1:15" s="113" customFormat="1">
      <c r="F19" s="125"/>
      <c r="G19" s="123" t="s">
        <v>15</v>
      </c>
      <c r="H19" s="113" t="s">
        <v>4008</v>
      </c>
    </row>
    <row r="20" spans="1:15" s="113" customFormat="1">
      <c r="F20" s="125"/>
      <c r="G20" s="123" t="s">
        <v>16</v>
      </c>
      <c r="H20" s="113" t="s">
        <v>17</v>
      </c>
    </row>
    <row r="21" spans="1:15" s="113" customFormat="1">
      <c r="F21" s="125"/>
      <c r="G21" s="123" t="s">
        <v>18</v>
      </c>
      <c r="H21" s="124" t="s">
        <v>4009</v>
      </c>
      <c r="I21" s="124"/>
    </row>
    <row r="22" spans="1:15" s="113" customFormat="1" ht="14.25">
      <c r="C22" s="134"/>
      <c r="F22" s="135"/>
      <c r="G22" s="123" t="s">
        <v>19</v>
      </c>
      <c r="H22" s="113" t="s">
        <v>934</v>
      </c>
      <c r="K22" s="124"/>
    </row>
    <row r="23" spans="1:15" s="113" customFormat="1" ht="15.75" customHeight="1">
      <c r="D23" s="136"/>
      <c r="E23" s="136"/>
      <c r="F23" s="135"/>
      <c r="G23" s="123" t="s">
        <v>20</v>
      </c>
      <c r="H23" s="113" t="s">
        <v>4010</v>
      </c>
    </row>
    <row r="24" spans="1:15" s="113" customFormat="1" ht="12.75" customHeight="1">
      <c r="D24" s="136"/>
      <c r="E24" s="136"/>
      <c r="F24" s="135"/>
      <c r="G24" s="123" t="s">
        <v>21</v>
      </c>
      <c r="H24" s="113" t="s">
        <v>4011</v>
      </c>
    </row>
    <row r="25" spans="1:15" s="113" customFormat="1" ht="12.75" customHeight="1">
      <c r="D25" s="136"/>
      <c r="E25" s="136"/>
      <c r="F25" s="135"/>
      <c r="G25" s="123" t="s">
        <v>22</v>
      </c>
      <c r="H25" s="113" t="s">
        <v>4012</v>
      </c>
    </row>
    <row r="26" spans="1:15" s="113" customFormat="1" ht="12.75" customHeight="1">
      <c r="D26" s="136"/>
      <c r="E26" s="136"/>
      <c r="F26" s="978"/>
      <c r="G26" s="979"/>
    </row>
    <row r="27" spans="1:15" s="113" customFormat="1" ht="14.25">
      <c r="A27" s="990" t="s">
        <v>23</v>
      </c>
      <c r="B27" s="979"/>
      <c r="C27" s="979"/>
      <c r="D27" s="979"/>
      <c r="E27" s="979"/>
      <c r="F27" s="979"/>
      <c r="G27" s="979"/>
      <c r="H27" s="979"/>
      <c r="I27" s="979"/>
      <c r="J27" s="979"/>
      <c r="K27" s="979"/>
      <c r="L27" s="979"/>
      <c r="M27" s="979"/>
      <c r="N27" s="979"/>
      <c r="O27" s="991"/>
    </row>
    <row r="28" spans="1:15" s="113" customFormat="1" ht="14.25">
      <c r="A28" s="992" t="s">
        <v>24</v>
      </c>
      <c r="B28" s="979"/>
      <c r="C28" s="979"/>
      <c r="D28" s="979"/>
      <c r="E28" s="979"/>
      <c r="F28" s="979"/>
      <c r="G28" s="979"/>
      <c r="H28" s="991"/>
      <c r="I28" s="993" t="s">
        <v>25</v>
      </c>
      <c r="J28" s="979"/>
      <c r="K28" s="979"/>
      <c r="L28" s="979"/>
      <c r="M28" s="979"/>
      <c r="N28" s="979"/>
      <c r="O28" s="991"/>
    </row>
    <row r="29" spans="1:15" s="113" customFormat="1" ht="12.75" customHeight="1">
      <c r="A29" s="994" t="s">
        <v>160</v>
      </c>
      <c r="B29" s="979"/>
      <c r="C29" s="979"/>
      <c r="D29" s="979"/>
      <c r="E29" s="979" t="s">
        <v>161</v>
      </c>
      <c r="F29" s="979"/>
      <c r="G29" s="979"/>
      <c r="H29" s="137"/>
      <c r="I29" s="994" t="s">
        <v>160</v>
      </c>
      <c r="J29" s="979"/>
      <c r="K29" s="979"/>
      <c r="L29" s="979"/>
      <c r="M29" s="979" t="s">
        <v>162</v>
      </c>
      <c r="N29" s="979"/>
      <c r="O29" s="991"/>
    </row>
    <row r="30" spans="1:15" s="113" customFormat="1" ht="12.75" customHeight="1">
      <c r="A30" s="994" t="s">
        <v>163</v>
      </c>
      <c r="B30" s="979"/>
      <c r="C30" s="979"/>
      <c r="D30" s="979"/>
      <c r="E30" s="989">
        <v>0</v>
      </c>
      <c r="F30" s="989"/>
      <c r="G30" s="989"/>
      <c r="H30" s="137"/>
      <c r="I30" s="994" t="s">
        <v>163</v>
      </c>
      <c r="J30" s="979"/>
      <c r="K30" s="979"/>
      <c r="L30" s="979"/>
      <c r="M30" s="989">
        <v>120</v>
      </c>
      <c r="N30" s="989"/>
      <c r="O30" s="1011"/>
    </row>
    <row r="31" spans="1:15" s="113" customFormat="1" ht="12.75" customHeight="1">
      <c r="A31" s="994" t="s">
        <v>164</v>
      </c>
      <c r="B31" s="979"/>
      <c r="C31" s="979"/>
      <c r="D31" s="979"/>
      <c r="E31" s="979" t="s">
        <v>165</v>
      </c>
      <c r="F31" s="979"/>
      <c r="G31" s="979"/>
      <c r="H31" s="137"/>
      <c r="I31" s="994" t="s">
        <v>164</v>
      </c>
      <c r="J31" s="979"/>
      <c r="K31" s="979"/>
      <c r="L31" s="979"/>
      <c r="M31" s="1014" t="s">
        <v>258</v>
      </c>
      <c r="N31" s="979"/>
      <c r="O31" s="991"/>
    </row>
    <row r="32" spans="1:15" s="113" customFormat="1" ht="12.75" customHeight="1" thickBot="1">
      <c r="A32" s="1012" t="s">
        <v>166</v>
      </c>
      <c r="B32" s="996"/>
      <c r="C32" s="996"/>
      <c r="D32" s="996"/>
      <c r="E32" s="995" t="s">
        <v>196</v>
      </c>
      <c r="F32" s="996"/>
      <c r="G32" s="996"/>
      <c r="H32" s="139"/>
      <c r="I32" s="1012" t="s">
        <v>166</v>
      </c>
      <c r="J32" s="996"/>
      <c r="K32" s="996"/>
      <c r="L32" s="996"/>
      <c r="M32" s="995" t="s">
        <v>197</v>
      </c>
      <c r="N32" s="996"/>
      <c r="O32" s="1015"/>
    </row>
    <row r="33" spans="1:16" s="113" customFormat="1" ht="12.75" customHeight="1">
      <c r="B33" s="140"/>
      <c r="C33" s="140"/>
      <c r="D33" s="136"/>
      <c r="E33" s="136"/>
      <c r="F33" s="136"/>
      <c r="G33" s="136"/>
      <c r="H33" s="136"/>
      <c r="I33" s="136"/>
      <c r="J33" s="135"/>
      <c r="K33" s="135"/>
      <c r="L33" s="141"/>
      <c r="M33" s="142"/>
      <c r="N33" s="142"/>
    </row>
    <row r="34" spans="1:16" s="113" customFormat="1" ht="12.75" customHeight="1">
      <c r="D34" s="136"/>
      <c r="E34" s="136"/>
      <c r="F34" s="143"/>
      <c r="G34" s="104"/>
      <c r="H34" s="104"/>
      <c r="I34" s="104"/>
      <c r="J34" s="104"/>
      <c r="K34" s="144"/>
      <c r="L34" s="144"/>
      <c r="M34" s="123"/>
    </row>
    <row r="35" spans="1:16" s="113" customFormat="1" ht="12.75" customHeight="1">
      <c r="D35" s="136"/>
      <c r="E35" s="136"/>
      <c r="F35" s="143"/>
      <c r="G35" s="104"/>
      <c r="H35" s="104"/>
      <c r="I35" s="104"/>
      <c r="J35" s="104"/>
      <c r="K35" s="145"/>
      <c r="L35" s="145"/>
      <c r="M35" s="123"/>
    </row>
    <row r="36" spans="1:16" s="113" customFormat="1" ht="18" customHeight="1" thickBot="1">
      <c r="C36" s="136"/>
      <c r="D36" s="135"/>
      <c r="E36" s="146"/>
      <c r="F36" s="104"/>
      <c r="G36" s="1013"/>
      <c r="H36" s="998"/>
      <c r="I36" s="149"/>
      <c r="J36" s="150"/>
    </row>
    <row r="37" spans="1:16" s="113" customFormat="1" ht="15.75" customHeight="1" thickBot="1">
      <c r="F37" s="1007" t="s">
        <v>167</v>
      </c>
      <c r="G37" s="1008"/>
      <c r="H37" s="1009" t="s">
        <v>168</v>
      </c>
      <c r="I37" s="1010"/>
      <c r="J37" s="1010"/>
      <c r="K37" s="1002"/>
      <c r="L37" s="1002"/>
      <c r="M37" s="1002"/>
      <c r="N37" s="1002"/>
      <c r="O37" s="1003"/>
    </row>
    <row r="38" spans="1:16" s="151" customFormat="1" ht="54" customHeight="1" thickBot="1">
      <c r="A38" s="82" t="s">
        <v>122</v>
      </c>
      <c r="B38" s="82" t="s">
        <v>169</v>
      </c>
      <c r="C38" s="83" t="s">
        <v>170</v>
      </c>
      <c r="D38" s="83" t="s">
        <v>171</v>
      </c>
      <c r="E38" s="83" t="s">
        <v>172</v>
      </c>
      <c r="F38" s="83" t="s">
        <v>173</v>
      </c>
      <c r="G38" s="82" t="s">
        <v>174</v>
      </c>
      <c r="H38" s="84" t="s">
        <v>175</v>
      </c>
      <c r="I38" s="85" t="s">
        <v>174</v>
      </c>
      <c r="J38" s="84" t="s">
        <v>176</v>
      </c>
      <c r="K38" s="85" t="s">
        <v>174</v>
      </c>
      <c r="L38" s="84" t="s">
        <v>177</v>
      </c>
      <c r="M38" s="85" t="s">
        <v>174</v>
      </c>
      <c r="N38" s="84" t="s">
        <v>178</v>
      </c>
      <c r="O38" s="85" t="s">
        <v>174</v>
      </c>
    </row>
    <row r="39" spans="1:16" s="155" customFormat="1" ht="30.75" customHeight="1" thickBot="1">
      <c r="A39" s="984">
        <v>7</v>
      </c>
      <c r="B39" s="984"/>
      <c r="C39" s="86" t="s">
        <v>3998</v>
      </c>
      <c r="D39" s="152" t="s">
        <v>3999</v>
      </c>
      <c r="E39" s="153">
        <v>836</v>
      </c>
      <c r="F39" s="1">
        <f>SUM(E39:E40)*(1-20%)</f>
        <v>728.80000000000007</v>
      </c>
      <c r="G39" s="987">
        <f>F39*B39</f>
        <v>0</v>
      </c>
      <c r="H39" s="987">
        <f>F39*0.0832</f>
        <v>60.636160000000004</v>
      </c>
      <c r="I39" s="987">
        <f>H39*B39</f>
        <v>0</v>
      </c>
      <c r="J39" s="987">
        <f>F39*0.0313</f>
        <v>22.811440000000005</v>
      </c>
      <c r="K39" s="987">
        <f>J39*B39</f>
        <v>0</v>
      </c>
      <c r="L39" s="987">
        <f>F39*0.0256</f>
        <v>18.657280000000004</v>
      </c>
      <c r="M39" s="987">
        <f>L39*B39</f>
        <v>0</v>
      </c>
      <c r="N39" s="987">
        <f>F39*0.0213</f>
        <v>15.523440000000001</v>
      </c>
      <c r="O39" s="987">
        <f>N39*B39</f>
        <v>0</v>
      </c>
      <c r="P39" s="154"/>
    </row>
    <row r="40" spans="1:16" s="151" customFormat="1" ht="13.5" thickBot="1">
      <c r="A40" s="985"/>
      <c r="B40" s="986"/>
      <c r="C40" s="90" t="s">
        <v>179</v>
      </c>
      <c r="D40" s="91" t="s">
        <v>180</v>
      </c>
      <c r="E40" s="92">
        <v>75</v>
      </c>
      <c r="F40" s="93" t="s">
        <v>162</v>
      </c>
      <c r="G40" s="988"/>
      <c r="H40" s="1000"/>
      <c r="I40" s="988"/>
      <c r="J40" s="1000"/>
      <c r="K40" s="988"/>
      <c r="L40" s="1000"/>
      <c r="M40" s="988"/>
      <c r="N40" s="1000"/>
      <c r="O40" s="988"/>
    </row>
    <row r="41" spans="1:16" s="156" customFormat="1" ht="13.5" thickBot="1">
      <c r="A41" s="94"/>
      <c r="B41" s="95"/>
      <c r="C41" s="96"/>
      <c r="D41" s="97"/>
      <c r="E41" s="98"/>
      <c r="F41" s="99"/>
      <c r="G41" s="95"/>
      <c r="H41" s="100"/>
      <c r="I41" s="95"/>
      <c r="J41" s="100"/>
      <c r="K41" s="101"/>
      <c r="L41" s="100"/>
      <c r="M41" s="95"/>
      <c r="N41" s="100"/>
      <c r="O41" s="101"/>
    </row>
    <row r="42" spans="1:16" s="155" customFormat="1" ht="30.75" customHeight="1" thickBot="1">
      <c r="A42" s="984" t="s">
        <v>181</v>
      </c>
      <c r="B42" s="984"/>
      <c r="C42" s="86" t="s">
        <v>3998</v>
      </c>
      <c r="D42" s="152" t="s">
        <v>3999</v>
      </c>
      <c r="E42" s="153">
        <v>836</v>
      </c>
      <c r="F42" s="1">
        <f>SUM(E42:E43)*(1-20%)</f>
        <v>728.80000000000007</v>
      </c>
      <c r="G42" s="987">
        <f>F42*B42</f>
        <v>0</v>
      </c>
      <c r="H42" s="987">
        <f>F42*0.0832+M30/12</f>
        <v>70.636160000000004</v>
      </c>
      <c r="I42" s="987">
        <f>H42*B42</f>
        <v>0</v>
      </c>
      <c r="J42" s="987">
        <f>F42*0.0313+M30/12</f>
        <v>32.811440000000005</v>
      </c>
      <c r="K42" s="987">
        <f>J42*B42</f>
        <v>0</v>
      </c>
      <c r="L42" s="987">
        <f>F42*0.0256+M30/12</f>
        <v>28.657280000000004</v>
      </c>
      <c r="M42" s="987">
        <f>L42*B42</f>
        <v>0</v>
      </c>
      <c r="N42" s="987">
        <f>F42*0.0213+M30/12</f>
        <v>25.523440000000001</v>
      </c>
      <c r="O42" s="987">
        <f>N42*B42</f>
        <v>0</v>
      </c>
      <c r="P42" s="154"/>
    </row>
    <row r="43" spans="1:16" s="151" customFormat="1" ht="13.5" thickBot="1">
      <c r="A43" s="985"/>
      <c r="B43" s="986"/>
      <c r="C43" s="90" t="s">
        <v>179</v>
      </c>
      <c r="D43" s="91" t="s">
        <v>180</v>
      </c>
      <c r="E43" s="92">
        <v>75</v>
      </c>
      <c r="F43" s="93" t="s">
        <v>162</v>
      </c>
      <c r="G43" s="988"/>
      <c r="H43" s="1000"/>
      <c r="I43" s="988"/>
      <c r="J43" s="1000"/>
      <c r="K43" s="988"/>
      <c r="L43" s="1000"/>
      <c r="M43" s="988"/>
      <c r="N43" s="1000"/>
      <c r="O43" s="988"/>
    </row>
    <row r="44" spans="1:16" s="156" customFormat="1" ht="13.5" customHeight="1" thickBot="1">
      <c r="A44" s="1001" t="s">
        <v>182</v>
      </c>
      <c r="B44" s="1002"/>
      <c r="C44" s="1002"/>
      <c r="D44" s="1002"/>
      <c r="E44" s="1002"/>
      <c r="F44" s="1002"/>
      <c r="G44" s="1002"/>
      <c r="H44" s="1002"/>
      <c r="I44" s="1002"/>
      <c r="J44" s="1002"/>
      <c r="K44" s="1002"/>
      <c r="L44" s="1002"/>
      <c r="M44" s="1002"/>
      <c r="N44" s="1002"/>
      <c r="O44" s="1003"/>
    </row>
    <row r="45" spans="1:16" s="151" customFormat="1" ht="15.75" customHeight="1" thickBot="1">
      <c r="A45" s="1004"/>
      <c r="B45" s="157"/>
      <c r="C45" s="90" t="s">
        <v>666</v>
      </c>
      <c r="D45" s="491" t="s">
        <v>667</v>
      </c>
      <c r="E45" s="160">
        <v>51.536082474226809</v>
      </c>
      <c r="F45" s="2">
        <f>E45*(1-20%)</f>
        <v>41.228865979381453</v>
      </c>
      <c r="G45" s="2">
        <f>F45*B45</f>
        <v>0</v>
      </c>
      <c r="H45" s="4">
        <f>F45*0.0832</f>
        <v>3.4302416494845369</v>
      </c>
      <c r="I45" s="4">
        <f>H45*B45</f>
        <v>0</v>
      </c>
      <c r="J45" s="4">
        <f>F45*0.0313</f>
        <v>1.2904635051546396</v>
      </c>
      <c r="K45" s="4">
        <f>J45*B45</f>
        <v>0</v>
      </c>
      <c r="L45" s="4">
        <f>F45*0.0256</f>
        <v>1.0554589690721652</v>
      </c>
      <c r="M45" s="4">
        <f>L45*B45</f>
        <v>0</v>
      </c>
      <c r="N45" s="4">
        <f>F45*0.0213</f>
        <v>0.87817484536082491</v>
      </c>
      <c r="O45" s="4">
        <f>N45*B45</f>
        <v>0</v>
      </c>
      <c r="P45" s="715"/>
    </row>
    <row r="46" spans="1:16" s="151" customFormat="1" ht="13.5" thickBot="1">
      <c r="A46" s="1005"/>
      <c r="B46" s="161"/>
      <c r="C46" s="158">
        <v>7640013463</v>
      </c>
      <c r="D46" s="159" t="s">
        <v>199</v>
      </c>
      <c r="E46" s="160">
        <v>339.17525773195877</v>
      </c>
      <c r="F46" s="3">
        <f>E46*(1-20%)</f>
        <v>271.34020618556701</v>
      </c>
      <c r="G46" s="3">
        <f>F46*B46</f>
        <v>0</v>
      </c>
      <c r="H46" s="4">
        <f>F46*0.0832</f>
        <v>22.575505154639174</v>
      </c>
      <c r="I46" s="6">
        <f>H46*B46</f>
        <v>0</v>
      </c>
      <c r="J46" s="4">
        <f>F46*0.0313</f>
        <v>8.492948453608248</v>
      </c>
      <c r="K46" s="6">
        <f>J46*B46</f>
        <v>0</v>
      </c>
      <c r="L46" s="4">
        <f>F46*0.0256</f>
        <v>6.9463092783505163</v>
      </c>
      <c r="M46" s="4">
        <f>L46*B46</f>
        <v>0</v>
      </c>
      <c r="N46" s="4">
        <f>F46*0.0213</f>
        <v>5.7795463917525769</v>
      </c>
      <c r="O46" s="4">
        <f>N46*B46</f>
        <v>0</v>
      </c>
      <c r="P46" s="715"/>
    </row>
    <row r="47" spans="1:16" s="151" customFormat="1" ht="13.5" thickBot="1">
      <c r="A47" s="1005"/>
      <c r="B47" s="161"/>
      <c r="C47" s="90" t="s">
        <v>4002</v>
      </c>
      <c r="D47" s="491" t="s">
        <v>4001</v>
      </c>
      <c r="E47" s="160">
        <v>178.35051546391753</v>
      </c>
      <c r="F47" s="3">
        <f>E47*(1-20%)</f>
        <v>142.68041237113403</v>
      </c>
      <c r="G47" s="3">
        <f>F47*B47</f>
        <v>0</v>
      </c>
      <c r="H47" s="4">
        <f>F47*0.0832</f>
        <v>11.871010309278351</v>
      </c>
      <c r="I47" s="6">
        <f>H47*B47</f>
        <v>0</v>
      </c>
      <c r="J47" s="4">
        <f>F47*0.0313</f>
        <v>4.4658969072164956</v>
      </c>
      <c r="K47" s="6">
        <f>J47*B47</f>
        <v>0</v>
      </c>
      <c r="L47" s="4">
        <f>F47*0.0256</f>
        <v>3.6526185567010314</v>
      </c>
      <c r="M47" s="4">
        <f>L47*B47</f>
        <v>0</v>
      </c>
      <c r="N47" s="4">
        <f>F47*0.0213</f>
        <v>3.0390927835051547</v>
      </c>
      <c r="O47" s="4">
        <f>N47*B47</f>
        <v>0</v>
      </c>
      <c r="P47" s="715"/>
    </row>
    <row r="48" spans="1:16" s="151" customFormat="1" ht="13.5" thickBot="1">
      <c r="A48" s="1006"/>
      <c r="B48" s="161"/>
      <c r="C48" s="90" t="s">
        <v>4004</v>
      </c>
      <c r="D48" s="491" t="s">
        <v>4003</v>
      </c>
      <c r="E48" s="160">
        <v>271.13402061855669</v>
      </c>
      <c r="F48" s="3">
        <f>E48*(1-20%)</f>
        <v>216.90721649484536</v>
      </c>
      <c r="G48" s="3">
        <f>F48*B48</f>
        <v>0</v>
      </c>
      <c r="H48" s="4">
        <f>F48*0.0832</f>
        <v>18.046680412371131</v>
      </c>
      <c r="I48" s="6">
        <f>H48*B48</f>
        <v>0</v>
      </c>
      <c r="J48" s="4">
        <f>F48*0.0313</f>
        <v>6.7891958762886597</v>
      </c>
      <c r="K48" s="6">
        <f>J48*B48</f>
        <v>0</v>
      </c>
      <c r="L48" s="4">
        <f>F48*0.0256</f>
        <v>5.552824742268041</v>
      </c>
      <c r="M48" s="4">
        <f>L48*B48</f>
        <v>0</v>
      </c>
      <c r="N48" s="4">
        <f>F48*0.0213</f>
        <v>4.6201237113402058</v>
      </c>
      <c r="O48" s="4">
        <f>N48*B48</f>
        <v>0</v>
      </c>
      <c r="P48" s="715"/>
    </row>
    <row r="49" spans="2:15" s="162" customFormat="1" ht="15">
      <c r="B49" s="163"/>
      <c r="C49" s="163"/>
      <c r="D49" s="997" t="s">
        <v>183</v>
      </c>
      <c r="E49" s="998"/>
      <c r="F49" s="999"/>
      <c r="G49" s="5">
        <f t="array" ref="G49">SUM(G45:G48)+G39:G45:G48+G42</f>
        <v>0</v>
      </c>
      <c r="H49" s="164" t="s">
        <v>184</v>
      </c>
      <c r="I49" s="5">
        <f t="array" ref="I49">SUM(I45:I48)+I39:I45:I48+I42</f>
        <v>0</v>
      </c>
      <c r="J49" s="164" t="s">
        <v>185</v>
      </c>
      <c r="K49" s="5">
        <f t="array" ref="K49">SUM(K45:K48)+K39:K45:K48+K42</f>
        <v>0</v>
      </c>
      <c r="L49" s="164" t="s">
        <v>186</v>
      </c>
      <c r="M49" s="5">
        <f t="array" ref="M49">SUM(M45:M48)+M39:M45:M48+M42</f>
        <v>0</v>
      </c>
      <c r="N49" s="164" t="s">
        <v>187</v>
      </c>
      <c r="O49" s="5">
        <f t="array" ref="O49">SUM(O45:O48)+O39:O45:O48+O42</f>
        <v>0</v>
      </c>
    </row>
    <row r="54" spans="2:15" ht="15.75">
      <c r="C54" s="166"/>
      <c r="D54" s="167"/>
      <c r="E54" s="168"/>
      <c r="F54" s="168"/>
    </row>
    <row r="55" spans="2:15" ht="15.75">
      <c r="C55" s="166"/>
      <c r="D55" s="167"/>
      <c r="E55" s="168"/>
      <c r="F55" s="168"/>
    </row>
    <row r="56" spans="2:15" ht="15.75">
      <c r="C56" s="166"/>
      <c r="D56" s="167"/>
      <c r="E56" s="168"/>
      <c r="F56" s="168"/>
    </row>
    <row r="57" spans="2:15" ht="15.75">
      <c r="C57" s="166"/>
      <c r="D57" s="167"/>
      <c r="E57" s="168"/>
      <c r="F57" s="168"/>
    </row>
    <row r="58" spans="2:15" ht="15.75">
      <c r="C58" s="166"/>
      <c r="D58" s="167"/>
      <c r="E58" s="168"/>
      <c r="F58" s="168"/>
    </row>
    <row r="59" spans="2:15" ht="15.75">
      <c r="C59" s="166"/>
      <c r="D59" s="167"/>
      <c r="E59" s="168"/>
      <c r="F59" s="168"/>
    </row>
    <row r="63" spans="2:15">
      <c r="B63" s="106"/>
      <c r="C63" s="106"/>
    </row>
  </sheetData>
  <mergeCells count="51">
    <mergeCell ref="M29:O29"/>
    <mergeCell ref="M30:O30"/>
    <mergeCell ref="A32:D32"/>
    <mergeCell ref="A31:D31"/>
    <mergeCell ref="G36:H36"/>
    <mergeCell ref="I31:L31"/>
    <mergeCell ref="I32:L32"/>
    <mergeCell ref="M31:O31"/>
    <mergeCell ref="M32:O32"/>
    <mergeCell ref="I39:I40"/>
    <mergeCell ref="J39:J40"/>
    <mergeCell ref="K39:K40"/>
    <mergeCell ref="I29:L29"/>
    <mergeCell ref="I30:L30"/>
    <mergeCell ref="K42:K43"/>
    <mergeCell ref="N39:N40"/>
    <mergeCell ref="O39:O40"/>
    <mergeCell ref="N42:N43"/>
    <mergeCell ref="O42:O43"/>
    <mergeCell ref="D49:F49"/>
    <mergeCell ref="L42:L43"/>
    <mergeCell ref="A44:O44"/>
    <mergeCell ref="A45:A48"/>
    <mergeCell ref="F37:G37"/>
    <mergeCell ref="M42:M43"/>
    <mergeCell ref="H39:H40"/>
    <mergeCell ref="M39:M40"/>
    <mergeCell ref="A42:A43"/>
    <mergeCell ref="B42:B43"/>
    <mergeCell ref="H37:O37"/>
    <mergeCell ref="G42:G43"/>
    <mergeCell ref="H42:H43"/>
    <mergeCell ref="L39:L40"/>
    <mergeCell ref="I42:I43"/>
    <mergeCell ref="J42:J43"/>
    <mergeCell ref="F26:G26"/>
    <mergeCell ref="F10:I10"/>
    <mergeCell ref="A4:O4"/>
    <mergeCell ref="A5:O5"/>
    <mergeCell ref="A39:A40"/>
    <mergeCell ref="B39:B40"/>
    <mergeCell ref="G39:G40"/>
    <mergeCell ref="E29:G29"/>
    <mergeCell ref="E30:G30"/>
    <mergeCell ref="E31:G31"/>
    <mergeCell ref="A27:O27"/>
    <mergeCell ref="A28:H28"/>
    <mergeCell ref="I28:O28"/>
    <mergeCell ref="A29:D29"/>
    <mergeCell ref="A30:D30"/>
    <mergeCell ref="E32:G32"/>
  </mergeCells>
  <phoneticPr fontId="0" type="noConversion"/>
  <pageMargins left="0.52" right="0.19" top="0.47" bottom="0.43" header="0.3" footer="0.22"/>
  <pageSetup scale="43" firstPageNumber="6" orientation="landscape" useFirstPageNumber="1" r:id="rId1"/>
  <headerFooter alignWithMargins="0">
    <oddHeader>&amp;L&amp;"Arial,Bold"VITA CONTRACT #: VA-191121-VBS</oddHeader>
  </headerFooter>
  <ignoredErrors>
    <ignoredError sqref="F46:G46 G40:O41 F40:F41 F48:G48 F43 G39 I39 G43:O43 G42 I42 K39 K42 M39 M42 O39 O42 F45:G45 I45 I46 F47:G47 I47 I48 K45 K46 K47 K48 M45 M46 M47 M48 O45 O46 O47 O48"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DAF7F-63BB-4730-A2F7-F59BCB9948BF}">
  <sheetPr>
    <tabColor indexed="62"/>
  </sheetPr>
  <dimension ref="A1:P121"/>
  <sheetViews>
    <sheetView zoomScale="90" zoomScaleNormal="90" workbookViewId="0">
      <selection activeCell="A5" sqref="A5:O5"/>
    </sheetView>
  </sheetViews>
  <sheetFormatPr defaultColWidth="8.85546875" defaultRowHeight="12.75"/>
  <cols>
    <col min="1" max="1" width="14.140625" style="378" customWidth="1"/>
    <col min="2" max="2" width="10.5703125" style="378" customWidth="1"/>
    <col min="3" max="3" width="18" style="378" customWidth="1"/>
    <col min="4" max="4" width="44.42578125" style="378" customWidth="1"/>
    <col min="5" max="5" width="15.7109375" style="378" customWidth="1"/>
    <col min="6" max="6" width="13.85546875" style="455" customWidth="1"/>
    <col min="7" max="7" width="15.7109375" style="378" customWidth="1"/>
    <col min="8" max="8" width="22.85546875" style="378" customWidth="1"/>
    <col min="9" max="10" width="23" style="378" customWidth="1"/>
    <col min="11" max="11" width="22.28515625" style="378" customWidth="1"/>
    <col min="12" max="12" width="25.28515625" style="378" customWidth="1"/>
    <col min="13" max="13" width="23" style="378" customWidth="1"/>
    <col min="14" max="14" width="23.5703125" style="378" customWidth="1"/>
    <col min="15" max="15" width="21" style="378" customWidth="1"/>
    <col min="16" max="16" width="12.42578125" style="378" customWidth="1"/>
    <col min="17" max="16384" width="8.85546875" style="378"/>
  </cols>
  <sheetData>
    <row r="1" spans="1:16" ht="13.5" thickBot="1">
      <c r="C1" s="379"/>
      <c r="D1" s="380"/>
      <c r="E1" s="380"/>
      <c r="F1" s="381"/>
      <c r="G1" s="381"/>
      <c r="H1" s="381"/>
      <c r="I1" s="381"/>
      <c r="J1" s="381"/>
      <c r="K1" s="381"/>
      <c r="L1" s="381"/>
    </row>
    <row r="2" spans="1:16" ht="9" customHeight="1">
      <c r="A2" s="382"/>
      <c r="B2" s="382"/>
      <c r="C2" s="383"/>
      <c r="D2" s="384"/>
      <c r="E2" s="384"/>
      <c r="F2" s="385"/>
      <c r="G2" s="386"/>
      <c r="H2" s="385"/>
      <c r="I2" s="386"/>
      <c r="J2" s="386"/>
      <c r="K2" s="386"/>
      <c r="L2" s="386"/>
      <c r="M2" s="382"/>
      <c r="N2" s="382"/>
      <c r="O2" s="382"/>
    </row>
    <row r="3" spans="1:16" ht="10.5" customHeight="1">
      <c r="C3" s="379"/>
      <c r="D3" s="380"/>
      <c r="E3" s="380"/>
      <c r="F3" s="381"/>
      <c r="G3" s="387"/>
      <c r="H3" s="381"/>
      <c r="I3" s="387"/>
      <c r="J3" s="387"/>
      <c r="K3" s="387"/>
      <c r="L3" s="387"/>
    </row>
    <row r="4" spans="1:16" ht="30">
      <c r="A4" s="1022" t="s">
        <v>4462</v>
      </c>
      <c r="B4" s="1023"/>
      <c r="C4" s="1023"/>
      <c r="D4" s="1023"/>
      <c r="E4" s="1023"/>
      <c r="F4" s="1023"/>
      <c r="G4" s="1023"/>
      <c r="H4" s="1023"/>
      <c r="I4" s="1023"/>
      <c r="J4" s="1023"/>
      <c r="K4" s="1023"/>
      <c r="L4" s="1023"/>
      <c r="M4" s="1023"/>
      <c r="N4" s="1023"/>
      <c r="O4" s="1023"/>
    </row>
    <row r="5" spans="1:16" s="388" customFormat="1" ht="38.25" customHeight="1">
      <c r="A5" s="1024" t="s">
        <v>702</v>
      </c>
      <c r="B5" s="1103"/>
      <c r="C5" s="1103"/>
      <c r="D5" s="1103"/>
      <c r="E5" s="1103"/>
      <c r="F5" s="1103"/>
      <c r="G5" s="1103"/>
      <c r="H5" s="1103"/>
      <c r="I5" s="1103"/>
      <c r="J5" s="1103"/>
      <c r="K5" s="1103"/>
      <c r="L5" s="1103"/>
      <c r="M5" s="1103"/>
      <c r="N5" s="1103"/>
      <c r="O5" s="1103"/>
      <c r="P5" s="378"/>
    </row>
    <row r="6" spans="1:16" ht="9" customHeight="1" thickBot="1">
      <c r="A6" s="762"/>
      <c r="B6" s="762"/>
      <c r="C6" s="762"/>
      <c r="D6" s="762"/>
      <c r="E6" s="762"/>
      <c r="F6" s="762"/>
      <c r="G6" s="762"/>
      <c r="H6" s="762"/>
      <c r="I6" s="762"/>
      <c r="J6" s="762"/>
      <c r="K6" s="762"/>
      <c r="L6" s="762"/>
      <c r="M6" s="762"/>
      <c r="N6" s="762"/>
      <c r="O6" s="762"/>
    </row>
    <row r="8" spans="1:16" s="387" customFormat="1" ht="14.25">
      <c r="C8" s="390"/>
      <c r="D8" s="391"/>
      <c r="E8" s="391"/>
      <c r="F8" s="391"/>
      <c r="G8" s="391"/>
      <c r="H8" s="391"/>
      <c r="I8" s="391"/>
      <c r="J8" s="391"/>
      <c r="K8" s="391"/>
      <c r="L8" s="391"/>
      <c r="M8" s="391"/>
      <c r="N8" s="391"/>
    </row>
    <row r="9" spans="1:16" s="387" customFormat="1" ht="14.25">
      <c r="F9" s="616"/>
      <c r="G9" s="616"/>
      <c r="H9" s="1026" t="s">
        <v>3</v>
      </c>
      <c r="I9" s="1026"/>
      <c r="J9" s="1026"/>
      <c r="K9" s="717"/>
      <c r="L9" s="717"/>
    </row>
    <row r="10" spans="1:16" s="387" customFormat="1" ht="14.25">
      <c r="H10" s="397" t="s">
        <v>4</v>
      </c>
      <c r="I10" s="387" t="s">
        <v>133</v>
      </c>
    </row>
    <row r="11" spans="1:16" s="387" customFormat="1">
      <c r="G11" s="404"/>
      <c r="H11" s="392" t="s">
        <v>5</v>
      </c>
      <c r="I11" s="404" t="s">
        <v>3579</v>
      </c>
      <c r="J11" s="404"/>
      <c r="L11" s="404"/>
    </row>
    <row r="12" spans="1:16" s="387" customFormat="1">
      <c r="F12" s="616"/>
      <c r="G12" s="404"/>
      <c r="H12" s="392" t="s">
        <v>8</v>
      </c>
      <c r="I12" s="776">
        <v>175000</v>
      </c>
      <c r="J12" s="404"/>
      <c r="L12" s="404"/>
    </row>
    <row r="13" spans="1:16" s="387" customFormat="1">
      <c r="F13" s="616"/>
      <c r="H13" s="392" t="s">
        <v>9</v>
      </c>
      <c r="I13" s="387" t="s">
        <v>72</v>
      </c>
    </row>
    <row r="14" spans="1:16" s="387" customFormat="1">
      <c r="F14" s="616"/>
      <c r="H14" s="392" t="s">
        <v>10</v>
      </c>
      <c r="I14" s="387" t="s">
        <v>255</v>
      </c>
    </row>
    <row r="15" spans="1:16" s="387" customFormat="1">
      <c r="C15" s="718"/>
      <c r="F15" s="424"/>
      <c r="H15" s="392" t="s">
        <v>11</v>
      </c>
      <c r="I15" s="387" t="s">
        <v>3586</v>
      </c>
    </row>
    <row r="16" spans="1:16" s="387" customFormat="1">
      <c r="F16" s="616"/>
      <c r="H16" s="392" t="s">
        <v>12</v>
      </c>
      <c r="I16" s="387" t="s">
        <v>3587</v>
      </c>
    </row>
    <row r="17" spans="1:16" s="387" customFormat="1">
      <c r="H17" s="392" t="s">
        <v>13</v>
      </c>
      <c r="I17" s="387" t="s">
        <v>14</v>
      </c>
    </row>
    <row r="18" spans="1:16" s="387" customFormat="1">
      <c r="F18" s="616"/>
      <c r="I18" s="387" t="s">
        <v>36</v>
      </c>
    </row>
    <row r="19" spans="1:16" s="387" customFormat="1">
      <c r="F19" s="616"/>
      <c r="I19" s="387" t="s">
        <v>37</v>
      </c>
    </row>
    <row r="20" spans="1:16" s="387" customFormat="1">
      <c r="F20" s="616"/>
      <c r="H20" s="392" t="s">
        <v>15</v>
      </c>
      <c r="I20" s="387" t="s">
        <v>38</v>
      </c>
    </row>
    <row r="21" spans="1:16" s="387" customFormat="1">
      <c r="F21" s="616"/>
      <c r="H21" s="392" t="s">
        <v>16</v>
      </c>
      <c r="I21" s="387" t="s">
        <v>39</v>
      </c>
    </row>
    <row r="22" spans="1:16" s="387" customFormat="1">
      <c r="F22" s="616"/>
      <c r="G22" s="404"/>
      <c r="H22" s="392" t="s">
        <v>18</v>
      </c>
      <c r="I22" s="404" t="s">
        <v>111</v>
      </c>
      <c r="J22" s="404"/>
      <c r="L22" s="404"/>
    </row>
    <row r="23" spans="1:16" s="387" customFormat="1" ht="15.75" customHeight="1">
      <c r="D23" s="1027"/>
      <c r="E23" s="399"/>
      <c r="F23" s="405"/>
      <c r="H23" s="392" t="s">
        <v>19</v>
      </c>
      <c r="I23" s="387" t="s">
        <v>3581</v>
      </c>
    </row>
    <row r="24" spans="1:16" s="387" customFormat="1" ht="12.75" customHeight="1">
      <c r="D24" s="1027"/>
      <c r="E24" s="399"/>
      <c r="F24" s="405"/>
      <c r="H24" s="392" t="s">
        <v>20</v>
      </c>
      <c r="I24" s="387" t="s">
        <v>3582</v>
      </c>
    </row>
    <row r="25" spans="1:16" s="387" customFormat="1" ht="12.75" customHeight="1">
      <c r="D25" s="399"/>
      <c r="E25" s="399"/>
      <c r="F25" s="405"/>
      <c r="H25" s="392" t="s">
        <v>21</v>
      </c>
      <c r="I25" s="387" t="s">
        <v>3583</v>
      </c>
    </row>
    <row r="26" spans="1:16" s="387" customFormat="1" ht="12.75" customHeight="1">
      <c r="D26" s="399"/>
      <c r="E26" s="399"/>
      <c r="F26" s="405"/>
      <c r="H26" s="392" t="s">
        <v>22</v>
      </c>
      <c r="I26" s="387" t="s">
        <v>3584</v>
      </c>
    </row>
    <row r="27" spans="1:16" s="387" customFormat="1" ht="15" thickBot="1">
      <c r="A27" s="1104" t="s">
        <v>23</v>
      </c>
      <c r="B27" s="1187"/>
      <c r="C27" s="1187"/>
      <c r="D27" s="1187"/>
      <c r="E27" s="1187"/>
      <c r="F27" s="1187"/>
      <c r="G27" s="1187"/>
      <c r="H27" s="1187"/>
      <c r="I27" s="1187"/>
      <c r="J27" s="1187"/>
      <c r="K27" s="1187"/>
      <c r="L27" s="1187"/>
      <c r="M27" s="1187"/>
      <c r="N27" s="1187"/>
      <c r="O27" s="1187"/>
      <c r="P27" s="378"/>
    </row>
    <row r="28" spans="1:16" s="387" customFormat="1" ht="14.25">
      <c r="A28" s="1098" t="s">
        <v>73</v>
      </c>
      <c r="B28" s="1099"/>
      <c r="C28" s="1099"/>
      <c r="D28" s="1100"/>
      <c r="E28" s="1101" t="s">
        <v>74</v>
      </c>
      <c r="F28" s="1184"/>
      <c r="G28" s="1184"/>
      <c r="H28" s="1184"/>
      <c r="I28" s="1184"/>
      <c r="J28" s="1185"/>
      <c r="K28" s="1098" t="s">
        <v>75</v>
      </c>
      <c r="L28" s="1099"/>
      <c r="M28" s="1099"/>
      <c r="N28" s="1099"/>
      <c r="O28" s="1100"/>
      <c r="P28" s="378"/>
    </row>
    <row r="29" spans="1:16" s="387" customFormat="1" ht="12.75" customHeight="1">
      <c r="A29" s="1030" t="s">
        <v>160</v>
      </c>
      <c r="B29" s="1031"/>
      <c r="C29" s="1031"/>
      <c r="D29" s="401" t="s">
        <v>161</v>
      </c>
      <c r="E29" s="1030" t="s">
        <v>160</v>
      </c>
      <c r="F29" s="1031"/>
      <c r="G29" s="1031"/>
      <c r="H29" s="1031"/>
      <c r="I29" s="1109" t="s">
        <v>162</v>
      </c>
      <c r="J29" s="1140"/>
      <c r="K29" s="1030" t="s">
        <v>160</v>
      </c>
      <c r="L29" s="1031"/>
      <c r="M29" s="1031"/>
      <c r="N29" s="1110" t="s">
        <v>162</v>
      </c>
      <c r="O29" s="1111"/>
    </row>
    <row r="30" spans="1:16" s="387" customFormat="1" ht="12.75" customHeight="1">
      <c r="A30" s="1030" t="s">
        <v>43</v>
      </c>
      <c r="B30" s="1031"/>
      <c r="C30" s="1031"/>
      <c r="D30" s="402">
        <v>0</v>
      </c>
      <c r="E30" s="1030" t="s">
        <v>43</v>
      </c>
      <c r="F30" s="1031"/>
      <c r="G30" s="1031"/>
      <c r="H30" s="1031"/>
      <c r="I30" s="1105">
        <v>655</v>
      </c>
      <c r="J30" s="1186"/>
      <c r="K30" s="1030" t="s">
        <v>43</v>
      </c>
      <c r="L30" s="1031"/>
      <c r="M30" s="1031"/>
      <c r="N30" s="1107">
        <v>786</v>
      </c>
      <c r="O30" s="1108"/>
      <c r="P30" s="395"/>
    </row>
    <row r="31" spans="1:16" s="387" customFormat="1" ht="12.75" customHeight="1">
      <c r="A31" s="1030" t="s">
        <v>164</v>
      </c>
      <c r="B31" s="1031"/>
      <c r="C31" s="1031"/>
      <c r="D31" s="401" t="s">
        <v>165</v>
      </c>
      <c r="E31" s="1030" t="s">
        <v>164</v>
      </c>
      <c r="F31" s="1031"/>
      <c r="G31" s="1031"/>
      <c r="H31" s="1031"/>
      <c r="I31" s="1109" t="s">
        <v>76</v>
      </c>
      <c r="J31" s="1140"/>
      <c r="K31" s="1030" t="s">
        <v>164</v>
      </c>
      <c r="L31" s="1031"/>
      <c r="M31" s="1031"/>
      <c r="N31" s="1110" t="s">
        <v>77</v>
      </c>
      <c r="O31" s="1111"/>
    </row>
    <row r="32" spans="1:16" s="387" customFormat="1" ht="12.75" customHeight="1" thickBot="1">
      <c r="A32" s="1035" t="s">
        <v>46</v>
      </c>
      <c r="B32" s="1036"/>
      <c r="C32" s="1036"/>
      <c r="D32" s="403" t="s">
        <v>3549</v>
      </c>
      <c r="E32" s="1035" t="s">
        <v>47</v>
      </c>
      <c r="F32" s="1036"/>
      <c r="G32" s="1036"/>
      <c r="H32" s="1036"/>
      <c r="I32" s="1112" t="s">
        <v>140</v>
      </c>
      <c r="J32" s="1138"/>
      <c r="K32" s="1035" t="s">
        <v>166</v>
      </c>
      <c r="L32" s="1036"/>
      <c r="M32" s="1036"/>
      <c r="N32" s="1114" t="s">
        <v>140</v>
      </c>
      <c r="O32" s="1115"/>
    </row>
    <row r="33" spans="1:16" s="387" customFormat="1" ht="12.75" customHeight="1">
      <c r="D33" s="399"/>
      <c r="E33" s="399"/>
      <c r="F33" s="405"/>
      <c r="H33" s="392"/>
    </row>
    <row r="34" spans="1:16" s="387" customFormat="1" ht="12.75" customHeight="1">
      <c r="C34" s="797"/>
      <c r="D34" s="399"/>
      <c r="E34" s="399"/>
      <c r="F34" s="405"/>
      <c r="G34" s="405"/>
      <c r="H34" s="405"/>
      <c r="I34" s="1086"/>
      <c r="J34" s="1086"/>
      <c r="K34" s="1086"/>
      <c r="L34" s="617"/>
    </row>
    <row r="35" spans="1:16" s="387" customFormat="1" ht="12.75" customHeight="1">
      <c r="A35" s="1017"/>
      <c r="B35" s="1023"/>
      <c r="C35" s="1023"/>
      <c r="D35" s="1023"/>
      <c r="E35" s="399"/>
      <c r="F35" s="405"/>
      <c r="G35" s="405"/>
      <c r="H35" s="405"/>
      <c r="I35" s="1086"/>
      <c r="J35" s="1086"/>
      <c r="K35" s="1086"/>
      <c r="L35" s="617"/>
    </row>
    <row r="36" spans="1:16" s="387" customFormat="1" ht="12.75" customHeight="1">
      <c r="A36" s="1031"/>
      <c r="B36" s="1023"/>
      <c r="C36" s="1023"/>
      <c r="E36" s="399"/>
      <c r="F36" s="405"/>
      <c r="G36" s="405"/>
      <c r="H36" s="405"/>
      <c r="I36" s="1086"/>
      <c r="J36" s="1086"/>
      <c r="K36" s="1086"/>
      <c r="L36" s="617"/>
    </row>
    <row r="37" spans="1:16" s="387" customFormat="1" ht="12.75" customHeight="1" thickBot="1">
      <c r="A37" s="1031"/>
      <c r="B37" s="1023"/>
      <c r="C37" s="1023"/>
      <c r="E37" s="399"/>
      <c r="F37" s="405"/>
      <c r="G37" s="410"/>
      <c r="I37" s="410"/>
      <c r="J37" s="410"/>
      <c r="K37" s="410"/>
      <c r="L37" s="410"/>
    </row>
    <row r="38" spans="1:16" s="387" customFormat="1" ht="15.75" customHeight="1" thickBot="1">
      <c r="A38" s="1036"/>
      <c r="B38" s="1037"/>
      <c r="C38" s="1037"/>
      <c r="D38" s="796"/>
      <c r="F38" s="1088" t="s">
        <v>167</v>
      </c>
      <c r="G38" s="1116"/>
      <c r="H38" s="1041"/>
      <c r="I38" s="1042" t="s">
        <v>168</v>
      </c>
      <c r="J38" s="1044"/>
      <c r="K38" s="1044"/>
      <c r="L38" s="1044"/>
      <c r="M38" s="1044"/>
      <c r="N38" s="1044"/>
      <c r="O38" s="1045"/>
      <c r="P38" s="378"/>
    </row>
    <row r="39" spans="1:16" s="413" customFormat="1" ht="58.5" customHeight="1" thickBot="1">
      <c r="A39" s="411" t="s">
        <v>122</v>
      </c>
      <c r="B39" s="411" t="s">
        <v>169</v>
      </c>
      <c r="C39" s="799" t="s">
        <v>170</v>
      </c>
      <c r="D39" s="412" t="s">
        <v>171</v>
      </c>
      <c r="E39" s="412" t="s">
        <v>172</v>
      </c>
      <c r="F39" s="412" t="s">
        <v>173</v>
      </c>
      <c r="G39" s="411" t="s">
        <v>174</v>
      </c>
      <c r="H39" s="412" t="s">
        <v>175</v>
      </c>
      <c r="I39" s="411" t="s">
        <v>174</v>
      </c>
      <c r="J39" s="412" t="s">
        <v>176</v>
      </c>
      <c r="K39" s="411" t="s">
        <v>174</v>
      </c>
      <c r="L39" s="412" t="s">
        <v>177</v>
      </c>
      <c r="M39" s="411" t="s">
        <v>174</v>
      </c>
      <c r="N39" s="412" t="s">
        <v>178</v>
      </c>
      <c r="O39" s="411" t="s">
        <v>174</v>
      </c>
    </row>
    <row r="40" spans="1:16" s="777" customFormat="1" ht="29.25" customHeight="1" thickBot="1">
      <c r="A40" s="1119">
        <v>12</v>
      </c>
      <c r="B40" s="1119"/>
      <c r="C40" s="800" t="s">
        <v>4460</v>
      </c>
      <c r="D40" s="801" t="s">
        <v>4461</v>
      </c>
      <c r="E40" s="802">
        <v>13435</v>
      </c>
      <c r="F40" s="51">
        <f>SUM(E40:E42)*(1-74%)</f>
        <v>3585.92</v>
      </c>
      <c r="G40" s="1062">
        <f>F40*B40</f>
        <v>0</v>
      </c>
      <c r="H40" s="51">
        <f>F40*0.0832</f>
        <v>298.348544</v>
      </c>
      <c r="I40" s="1062">
        <f>H40*B40</f>
        <v>0</v>
      </c>
      <c r="J40" s="51">
        <f>F40*0.0313</f>
        <v>112.23929600000001</v>
      </c>
      <c r="K40" s="1062">
        <f>J40*B40</f>
        <v>0</v>
      </c>
      <c r="L40" s="51">
        <f>F40*0.0256</f>
        <v>91.799552000000006</v>
      </c>
      <c r="M40" s="1062">
        <f>L40*B40</f>
        <v>0</v>
      </c>
      <c r="N40" s="51">
        <f>F40*0.0213</f>
        <v>76.380095999999995</v>
      </c>
      <c r="O40" s="1062">
        <f>N40*B40</f>
        <v>0</v>
      </c>
      <c r="P40" s="781"/>
    </row>
    <row r="41" spans="1:16" s="729" customFormat="1" ht="13.5" thickBot="1">
      <c r="A41" s="1120"/>
      <c r="B41" s="1120"/>
      <c r="C41" s="764" t="s">
        <v>714</v>
      </c>
      <c r="D41" s="795" t="s">
        <v>670</v>
      </c>
      <c r="E41" s="693">
        <v>282</v>
      </c>
      <c r="F41" s="422" t="s">
        <v>162</v>
      </c>
      <c r="G41" s="1117"/>
      <c r="H41" s="53" t="s">
        <v>162</v>
      </c>
      <c r="I41" s="1117"/>
      <c r="J41" s="53" t="s">
        <v>162</v>
      </c>
      <c r="K41" s="1117"/>
      <c r="L41" s="53" t="s">
        <v>162</v>
      </c>
      <c r="M41" s="1117"/>
      <c r="N41" s="53" t="s">
        <v>162</v>
      </c>
      <c r="O41" s="1117"/>
    </row>
    <row r="42" spans="1:16" s="729" customFormat="1" ht="13.5" thickBot="1">
      <c r="A42" s="1120"/>
      <c r="B42" s="1120"/>
      <c r="C42" s="764" t="s">
        <v>179</v>
      </c>
      <c r="D42" s="795" t="s">
        <v>180</v>
      </c>
      <c r="E42" s="693">
        <v>75</v>
      </c>
      <c r="F42" s="422" t="s">
        <v>162</v>
      </c>
      <c r="G42" s="1118"/>
      <c r="H42" s="423" t="s">
        <v>162</v>
      </c>
      <c r="I42" s="1118"/>
      <c r="J42" s="423" t="s">
        <v>162</v>
      </c>
      <c r="K42" s="1118"/>
      <c r="L42" s="423" t="s">
        <v>162</v>
      </c>
      <c r="M42" s="1118"/>
      <c r="N42" s="423" t="s">
        <v>162</v>
      </c>
      <c r="O42" s="1118"/>
    </row>
    <row r="43" spans="1:16" s="729" customFormat="1" ht="13.5" thickBot="1">
      <c r="A43" s="783"/>
      <c r="B43" s="430"/>
      <c r="C43" s="765"/>
      <c r="D43" s="757"/>
      <c r="E43" s="784"/>
      <c r="F43" s="54"/>
      <c r="G43" s="55"/>
      <c r="H43" s="57"/>
      <c r="I43" s="55"/>
      <c r="J43" s="57"/>
      <c r="K43" s="56"/>
      <c r="L43" s="57"/>
      <c r="M43" s="55"/>
      <c r="N43" s="57"/>
      <c r="O43" s="56"/>
    </row>
    <row r="44" spans="1:16" s="777" customFormat="1" ht="29.25" customHeight="1" thickBot="1">
      <c r="A44" s="1119" t="s">
        <v>79</v>
      </c>
      <c r="B44" s="1119"/>
      <c r="C44" s="800" t="s">
        <v>4460</v>
      </c>
      <c r="D44" s="801" t="s">
        <v>4461</v>
      </c>
      <c r="E44" s="802">
        <v>13435</v>
      </c>
      <c r="F44" s="51">
        <f>SUM(E44:E46)*(1-74%)</f>
        <v>3585.92</v>
      </c>
      <c r="G44" s="1062">
        <f>F44*B44</f>
        <v>0</v>
      </c>
      <c r="H44" s="51">
        <f>F44*0.0832+I30/12</f>
        <v>352.93187733333332</v>
      </c>
      <c r="I44" s="1062">
        <f>H44*B44</f>
        <v>0</v>
      </c>
      <c r="J44" s="51">
        <f>F44*0.0313+I30/12</f>
        <v>166.82262933333334</v>
      </c>
      <c r="K44" s="1062">
        <f>J44*B44</f>
        <v>0</v>
      </c>
      <c r="L44" s="51">
        <f>F44*0.0256+I30/12</f>
        <v>146.38288533333335</v>
      </c>
      <c r="M44" s="1062">
        <f>L44*B44</f>
        <v>0</v>
      </c>
      <c r="N44" s="51">
        <f>F44*0.0213+I30/12</f>
        <v>130.96342933333332</v>
      </c>
      <c r="O44" s="1062">
        <f>N44*B44</f>
        <v>0</v>
      </c>
      <c r="P44" s="781"/>
    </row>
    <row r="45" spans="1:16" s="729" customFormat="1" ht="13.5" thickBot="1">
      <c r="A45" s="1120"/>
      <c r="B45" s="1120"/>
      <c r="C45" s="764" t="s">
        <v>714</v>
      </c>
      <c r="D45" s="795" t="s">
        <v>670</v>
      </c>
      <c r="E45" s="693">
        <v>282</v>
      </c>
      <c r="F45" s="52" t="s">
        <v>162</v>
      </c>
      <c r="G45" s="1117"/>
      <c r="H45" s="53" t="s">
        <v>162</v>
      </c>
      <c r="I45" s="1117"/>
      <c r="J45" s="53" t="s">
        <v>162</v>
      </c>
      <c r="K45" s="1117"/>
      <c r="L45" s="53" t="s">
        <v>162</v>
      </c>
      <c r="M45" s="1117"/>
      <c r="N45" s="53" t="s">
        <v>162</v>
      </c>
      <c r="O45" s="1117"/>
    </row>
    <row r="46" spans="1:16" s="729" customFormat="1" ht="13.5" thickBot="1">
      <c r="A46" s="1120"/>
      <c r="B46" s="1120"/>
      <c r="C46" s="764" t="s">
        <v>179</v>
      </c>
      <c r="D46" s="795" t="s">
        <v>180</v>
      </c>
      <c r="E46" s="693">
        <v>75</v>
      </c>
      <c r="F46" s="52" t="s">
        <v>162</v>
      </c>
      <c r="G46" s="1118"/>
      <c r="H46" s="53" t="s">
        <v>162</v>
      </c>
      <c r="I46" s="1118"/>
      <c r="J46" s="53" t="s">
        <v>162</v>
      </c>
      <c r="K46" s="1118"/>
      <c r="L46" s="53" t="s">
        <v>162</v>
      </c>
      <c r="M46" s="1118"/>
      <c r="N46" s="53" t="s">
        <v>162</v>
      </c>
      <c r="O46" s="1118"/>
    </row>
    <row r="47" spans="1:16" s="729" customFormat="1" ht="13.5" thickBot="1">
      <c r="A47" s="783"/>
      <c r="B47" s="430"/>
      <c r="C47" s="765"/>
      <c r="D47" s="757"/>
      <c r="E47" s="784"/>
      <c r="F47" s="54"/>
      <c r="G47" s="55"/>
      <c r="H47" s="57"/>
      <c r="I47" s="55"/>
      <c r="J47" s="57"/>
      <c r="K47" s="56"/>
      <c r="L47" s="57"/>
      <c r="M47" s="55"/>
      <c r="N47" s="57"/>
      <c r="O47" s="56"/>
    </row>
    <row r="48" spans="1:16" s="777" customFormat="1" ht="29.25" customHeight="1" thickBot="1">
      <c r="A48" s="1119" t="s">
        <v>80</v>
      </c>
      <c r="B48" s="1119"/>
      <c r="C48" s="800" t="s">
        <v>4460</v>
      </c>
      <c r="D48" s="801" t="s">
        <v>4461</v>
      </c>
      <c r="E48" s="802">
        <v>13435</v>
      </c>
      <c r="F48" s="51">
        <f>SUM(E48:E50)*(1-74%)</f>
        <v>3585.92</v>
      </c>
      <c r="G48" s="1062">
        <f>F48*B48</f>
        <v>0</v>
      </c>
      <c r="H48" s="51">
        <f>F48*0.0832+N30/12</f>
        <v>363.848544</v>
      </c>
      <c r="I48" s="1062">
        <f>H48*B48</f>
        <v>0</v>
      </c>
      <c r="J48" s="51">
        <f>F48*0.0313+N30/12</f>
        <v>177.73929600000002</v>
      </c>
      <c r="K48" s="1062">
        <f>J48*B48</f>
        <v>0</v>
      </c>
      <c r="L48" s="51">
        <f>F48*0.0256+N30/12</f>
        <v>157.29955200000001</v>
      </c>
      <c r="M48" s="1062">
        <f>L48*B48</f>
        <v>0</v>
      </c>
      <c r="N48" s="51">
        <f>F48*0.0213+N30/12</f>
        <v>141.88009599999998</v>
      </c>
      <c r="O48" s="1062">
        <f>N48*B48</f>
        <v>0</v>
      </c>
      <c r="P48" s="781"/>
    </row>
    <row r="49" spans="1:16" s="729" customFormat="1" ht="13.5" thickBot="1">
      <c r="A49" s="1120"/>
      <c r="B49" s="1120"/>
      <c r="C49" s="764" t="s">
        <v>714</v>
      </c>
      <c r="D49" s="795" t="s">
        <v>670</v>
      </c>
      <c r="E49" s="693">
        <v>282</v>
      </c>
      <c r="F49" s="52" t="s">
        <v>162</v>
      </c>
      <c r="G49" s="1117"/>
      <c r="H49" s="53" t="s">
        <v>162</v>
      </c>
      <c r="I49" s="1117"/>
      <c r="J49" s="53" t="s">
        <v>162</v>
      </c>
      <c r="K49" s="1117"/>
      <c r="L49" s="53" t="s">
        <v>162</v>
      </c>
      <c r="M49" s="1117"/>
      <c r="N49" s="53" t="s">
        <v>162</v>
      </c>
      <c r="O49" s="1117"/>
    </row>
    <row r="50" spans="1:16" s="729" customFormat="1" ht="13.5" thickBot="1">
      <c r="A50" s="1125"/>
      <c r="B50" s="1125"/>
      <c r="C50" s="764" t="s">
        <v>179</v>
      </c>
      <c r="D50" s="795" t="s">
        <v>180</v>
      </c>
      <c r="E50" s="693">
        <v>75</v>
      </c>
      <c r="F50" s="422" t="s">
        <v>162</v>
      </c>
      <c r="G50" s="1117"/>
      <c r="H50" s="618" t="s">
        <v>162</v>
      </c>
      <c r="I50" s="1117"/>
      <c r="J50" s="618" t="s">
        <v>162</v>
      </c>
      <c r="K50" s="1117"/>
      <c r="L50" s="618" t="s">
        <v>162</v>
      </c>
      <c r="M50" s="1117"/>
      <c r="N50" s="618" t="s">
        <v>162</v>
      </c>
      <c r="O50" s="1117"/>
    </row>
    <row r="51" spans="1:16" s="729" customFormat="1" ht="13.5" customHeight="1" thickBot="1">
      <c r="A51" s="1054" t="s">
        <v>182</v>
      </c>
      <c r="B51" s="1044"/>
      <c r="C51" s="1044"/>
      <c r="D51" s="1044"/>
      <c r="E51" s="1044"/>
      <c r="F51" s="1044"/>
      <c r="G51" s="1044"/>
      <c r="H51" s="1044"/>
      <c r="I51" s="1044"/>
      <c r="J51" s="1044"/>
      <c r="K51" s="1044"/>
      <c r="L51" s="1044"/>
      <c r="M51" s="1044"/>
      <c r="N51" s="1044"/>
      <c r="O51" s="1045"/>
    </row>
    <row r="52" spans="1:16" s="413" customFormat="1" ht="13.5" thickBot="1">
      <c r="A52" s="1181"/>
      <c r="B52" s="803"/>
      <c r="C52" s="419" t="s">
        <v>209</v>
      </c>
      <c r="D52" s="420" t="s">
        <v>66</v>
      </c>
      <c r="E52" s="448">
        <v>975.85567010309285</v>
      </c>
      <c r="F52" s="59">
        <f t="shared" ref="F52:F99" si="0">E52*(1-40%)</f>
        <v>585.51340206185569</v>
      </c>
      <c r="G52" s="528">
        <f t="shared" ref="G52:G99" si="1">F52*B52</f>
        <v>0</v>
      </c>
      <c r="H52" s="528">
        <f t="shared" ref="H52:H99" si="2">F52*0.0832</f>
        <v>48.714715051546392</v>
      </c>
      <c r="I52" s="528">
        <f t="shared" ref="I52:I99" si="3">H52*B52</f>
        <v>0</v>
      </c>
      <c r="J52" s="528">
        <f t="shared" ref="J52:J99" si="4">F52*0.0313</f>
        <v>18.326569484536083</v>
      </c>
      <c r="K52" s="528">
        <f t="shared" ref="K52:K99" si="5">J52*B52</f>
        <v>0</v>
      </c>
      <c r="L52" s="528">
        <f t="shared" ref="L52:L99" si="6">F52*0.0256</f>
        <v>14.989143092783506</v>
      </c>
      <c r="M52" s="528">
        <f t="shared" ref="M52:M99" si="7">L52*B52</f>
        <v>0</v>
      </c>
      <c r="N52" s="528">
        <f t="shared" ref="N52:N99" si="8">F52*0.0213</f>
        <v>12.471435463917526</v>
      </c>
      <c r="O52" s="528">
        <f t="shared" ref="O52:O99" si="9">N52*B52</f>
        <v>0</v>
      </c>
      <c r="P52" s="804"/>
    </row>
    <row r="53" spans="1:16" s="413" customFormat="1" ht="13.5" thickBot="1">
      <c r="A53" s="1182"/>
      <c r="B53" s="803"/>
      <c r="C53" s="419" t="s">
        <v>486</v>
      </c>
      <c r="D53" s="420" t="s">
        <v>671</v>
      </c>
      <c r="E53" s="448">
        <v>134.01030927835052</v>
      </c>
      <c r="F53" s="59">
        <f t="shared" si="0"/>
        <v>80.406185567010311</v>
      </c>
      <c r="G53" s="527">
        <f t="shared" si="1"/>
        <v>0</v>
      </c>
      <c r="H53" s="528">
        <f t="shared" si="2"/>
        <v>6.6897946391752576</v>
      </c>
      <c r="I53" s="528">
        <f t="shared" si="3"/>
        <v>0</v>
      </c>
      <c r="J53" s="528">
        <f t="shared" si="4"/>
        <v>2.5167136082474229</v>
      </c>
      <c r="K53" s="528">
        <f t="shared" si="5"/>
        <v>0</v>
      </c>
      <c r="L53" s="528">
        <f t="shared" si="6"/>
        <v>2.0583983505154642</v>
      </c>
      <c r="M53" s="528">
        <f t="shared" si="7"/>
        <v>0</v>
      </c>
      <c r="N53" s="528">
        <f t="shared" si="8"/>
        <v>1.7126517525773195</v>
      </c>
      <c r="O53" s="528">
        <f t="shared" si="9"/>
        <v>0</v>
      </c>
      <c r="P53" s="804"/>
    </row>
    <row r="54" spans="1:16" s="413" customFormat="1" ht="26.25" thickBot="1">
      <c r="A54" s="1182"/>
      <c r="B54" s="805"/>
      <c r="C54" s="806" t="s">
        <v>3491</v>
      </c>
      <c r="D54" s="807" t="s">
        <v>3568</v>
      </c>
      <c r="E54" s="621">
        <v>411.34020618556701</v>
      </c>
      <c r="F54" s="59">
        <f t="shared" si="0"/>
        <v>246.8041237113402</v>
      </c>
      <c r="G54" s="527">
        <f t="shared" si="1"/>
        <v>0</v>
      </c>
      <c r="H54" s="528">
        <f t="shared" si="2"/>
        <v>20.534103092783504</v>
      </c>
      <c r="I54" s="528">
        <f t="shared" si="3"/>
        <v>0</v>
      </c>
      <c r="J54" s="528">
        <f t="shared" si="4"/>
        <v>7.7249690721649484</v>
      </c>
      <c r="K54" s="528">
        <f t="shared" si="5"/>
        <v>0</v>
      </c>
      <c r="L54" s="528">
        <f t="shared" si="6"/>
        <v>6.3181855670103095</v>
      </c>
      <c r="M54" s="528">
        <f t="shared" si="7"/>
        <v>0</v>
      </c>
      <c r="N54" s="528">
        <f t="shared" si="8"/>
        <v>5.2569278350515463</v>
      </c>
      <c r="O54" s="528">
        <f t="shared" si="9"/>
        <v>0</v>
      </c>
      <c r="P54" s="804"/>
    </row>
    <row r="55" spans="1:16" s="413" customFormat="1" ht="13.5" thickBot="1">
      <c r="A55" s="1182"/>
      <c r="B55" s="441"/>
      <c r="C55" s="419" t="s">
        <v>3577</v>
      </c>
      <c r="D55" s="420" t="s">
        <v>720</v>
      </c>
      <c r="E55" s="448">
        <v>257.73195876288662</v>
      </c>
      <c r="F55" s="59">
        <f t="shared" si="0"/>
        <v>154.63917525773198</v>
      </c>
      <c r="G55" s="527">
        <f t="shared" si="1"/>
        <v>0</v>
      </c>
      <c r="H55" s="528">
        <f t="shared" si="2"/>
        <v>12.865979381443299</v>
      </c>
      <c r="I55" s="528">
        <f t="shared" si="3"/>
        <v>0</v>
      </c>
      <c r="J55" s="528">
        <f t="shared" si="4"/>
        <v>4.8402061855670109</v>
      </c>
      <c r="K55" s="528">
        <f t="shared" si="5"/>
        <v>0</v>
      </c>
      <c r="L55" s="528">
        <f t="shared" si="6"/>
        <v>3.9587628865979387</v>
      </c>
      <c r="M55" s="528">
        <f t="shared" si="7"/>
        <v>0</v>
      </c>
      <c r="N55" s="528">
        <f t="shared" si="8"/>
        <v>3.293814432989691</v>
      </c>
      <c r="O55" s="528">
        <f t="shared" si="9"/>
        <v>0</v>
      </c>
      <c r="P55" s="804"/>
    </row>
    <row r="56" spans="1:16" s="413" customFormat="1" ht="13.5" thickBot="1">
      <c r="A56" s="1182"/>
      <c r="B56" s="441"/>
      <c r="C56" s="419" t="s">
        <v>3578</v>
      </c>
      <c r="D56" s="420" t="s">
        <v>3593</v>
      </c>
      <c r="E56" s="448">
        <v>412.37113402061857</v>
      </c>
      <c r="F56" s="59">
        <f t="shared" si="0"/>
        <v>247.42268041237114</v>
      </c>
      <c r="G56" s="527">
        <f t="shared" si="1"/>
        <v>0</v>
      </c>
      <c r="H56" s="528">
        <f t="shared" si="2"/>
        <v>20.585567010309276</v>
      </c>
      <c r="I56" s="528">
        <f t="shared" si="3"/>
        <v>0</v>
      </c>
      <c r="J56" s="528">
        <f t="shared" si="4"/>
        <v>7.7443298969072165</v>
      </c>
      <c r="K56" s="528">
        <f t="shared" si="5"/>
        <v>0</v>
      </c>
      <c r="L56" s="528">
        <f t="shared" si="6"/>
        <v>6.3340206185567016</v>
      </c>
      <c r="M56" s="528">
        <f t="shared" si="7"/>
        <v>0</v>
      </c>
      <c r="N56" s="528">
        <f t="shared" si="8"/>
        <v>5.2701030927835051</v>
      </c>
      <c r="O56" s="528">
        <f t="shared" si="9"/>
        <v>0</v>
      </c>
      <c r="P56" s="804"/>
    </row>
    <row r="57" spans="1:16" s="413" customFormat="1" ht="13.5" thickBot="1">
      <c r="A57" s="1182"/>
      <c r="B57" s="441"/>
      <c r="C57" s="419" t="s">
        <v>690</v>
      </c>
      <c r="D57" s="420" t="s">
        <v>721</v>
      </c>
      <c r="E57" s="448">
        <v>514.43298969072168</v>
      </c>
      <c r="F57" s="59">
        <f t="shared" si="0"/>
        <v>308.65979381443299</v>
      </c>
      <c r="G57" s="527">
        <f t="shared" si="1"/>
        <v>0</v>
      </c>
      <c r="H57" s="528">
        <f t="shared" si="2"/>
        <v>25.680494845360823</v>
      </c>
      <c r="I57" s="528">
        <f t="shared" si="3"/>
        <v>0</v>
      </c>
      <c r="J57" s="528">
        <f t="shared" si="4"/>
        <v>9.6610515463917537</v>
      </c>
      <c r="K57" s="528">
        <f t="shared" si="5"/>
        <v>0</v>
      </c>
      <c r="L57" s="528">
        <f t="shared" si="6"/>
        <v>7.9016907216494845</v>
      </c>
      <c r="M57" s="528">
        <f t="shared" si="7"/>
        <v>0</v>
      </c>
      <c r="N57" s="528">
        <f t="shared" si="8"/>
        <v>6.5744536082474223</v>
      </c>
      <c r="O57" s="528">
        <f t="shared" si="9"/>
        <v>0</v>
      </c>
      <c r="P57" s="804"/>
    </row>
    <row r="58" spans="1:16" s="413" customFormat="1" ht="26.25" thickBot="1">
      <c r="A58" s="1182"/>
      <c r="B58" s="803"/>
      <c r="C58" s="806">
        <v>7640013463</v>
      </c>
      <c r="D58" s="420" t="s">
        <v>815</v>
      </c>
      <c r="E58" s="448">
        <v>339.17525773195877</v>
      </c>
      <c r="F58" s="59">
        <f t="shared" si="0"/>
        <v>203.50515463917526</v>
      </c>
      <c r="G58" s="527">
        <f t="shared" si="1"/>
        <v>0</v>
      </c>
      <c r="H58" s="528">
        <f t="shared" si="2"/>
        <v>16.931628865979381</v>
      </c>
      <c r="I58" s="528">
        <f t="shared" si="3"/>
        <v>0</v>
      </c>
      <c r="J58" s="528">
        <f t="shared" si="4"/>
        <v>6.3697113402061856</v>
      </c>
      <c r="K58" s="528">
        <f t="shared" si="5"/>
        <v>0</v>
      </c>
      <c r="L58" s="528">
        <f t="shared" si="6"/>
        <v>5.2097319587628865</v>
      </c>
      <c r="M58" s="528">
        <f t="shared" si="7"/>
        <v>0</v>
      </c>
      <c r="N58" s="528">
        <f t="shared" si="8"/>
        <v>4.3346597938144331</v>
      </c>
      <c r="O58" s="528">
        <f t="shared" si="9"/>
        <v>0</v>
      </c>
      <c r="P58" s="804"/>
    </row>
    <row r="59" spans="1:16" s="413" customFormat="1" ht="13.5" thickBot="1">
      <c r="A59" s="1182"/>
      <c r="B59" s="803"/>
      <c r="C59" s="419" t="s">
        <v>484</v>
      </c>
      <c r="D59" s="420" t="s">
        <v>409</v>
      </c>
      <c r="E59" s="448">
        <v>206.18556701030928</v>
      </c>
      <c r="F59" s="59">
        <f t="shared" si="0"/>
        <v>123.71134020618557</v>
      </c>
      <c r="G59" s="527">
        <f t="shared" si="1"/>
        <v>0</v>
      </c>
      <c r="H59" s="528">
        <f t="shared" si="2"/>
        <v>10.292783505154638</v>
      </c>
      <c r="I59" s="528">
        <f t="shared" si="3"/>
        <v>0</v>
      </c>
      <c r="J59" s="528">
        <f t="shared" si="4"/>
        <v>3.8721649484536083</v>
      </c>
      <c r="K59" s="528">
        <f t="shared" si="5"/>
        <v>0</v>
      </c>
      <c r="L59" s="528">
        <f t="shared" si="6"/>
        <v>3.1670103092783508</v>
      </c>
      <c r="M59" s="528">
        <f t="shared" si="7"/>
        <v>0</v>
      </c>
      <c r="N59" s="528">
        <f t="shared" si="8"/>
        <v>2.6350515463917525</v>
      </c>
      <c r="O59" s="528">
        <f t="shared" si="9"/>
        <v>0</v>
      </c>
      <c r="P59" s="804"/>
    </row>
    <row r="60" spans="1:16" s="413" customFormat="1" ht="26.25" thickBot="1">
      <c r="A60" s="1182"/>
      <c r="B60" s="805"/>
      <c r="C60" s="419" t="s">
        <v>485</v>
      </c>
      <c r="D60" s="420" t="s">
        <v>3511</v>
      </c>
      <c r="E60" s="448">
        <v>287.62886597938143</v>
      </c>
      <c r="F60" s="59">
        <f t="shared" si="0"/>
        <v>172.57731958762886</v>
      </c>
      <c r="G60" s="527">
        <f t="shared" si="1"/>
        <v>0</v>
      </c>
      <c r="H60" s="528">
        <f t="shared" si="2"/>
        <v>14.358432989690721</v>
      </c>
      <c r="I60" s="528">
        <f t="shared" si="3"/>
        <v>0</v>
      </c>
      <c r="J60" s="528">
        <f t="shared" si="4"/>
        <v>5.4016701030927834</v>
      </c>
      <c r="K60" s="528">
        <f t="shared" si="5"/>
        <v>0</v>
      </c>
      <c r="L60" s="528">
        <f t="shared" si="6"/>
        <v>4.417979381443299</v>
      </c>
      <c r="M60" s="528">
        <f t="shared" si="7"/>
        <v>0</v>
      </c>
      <c r="N60" s="528">
        <f t="shared" si="8"/>
        <v>3.6758969072164946</v>
      </c>
      <c r="O60" s="528">
        <f t="shared" si="9"/>
        <v>0</v>
      </c>
      <c r="P60" s="804"/>
    </row>
    <row r="61" spans="1:16" s="413" customFormat="1" ht="13.5" thickBot="1">
      <c r="A61" s="1182"/>
      <c r="B61" s="805"/>
      <c r="C61" s="419" t="s">
        <v>3489</v>
      </c>
      <c r="D61" s="420" t="s">
        <v>3564</v>
      </c>
      <c r="E61" s="448">
        <v>875.25773195876286</v>
      </c>
      <c r="F61" s="59">
        <f t="shared" si="0"/>
        <v>525.15463917525767</v>
      </c>
      <c r="G61" s="527">
        <f t="shared" si="1"/>
        <v>0</v>
      </c>
      <c r="H61" s="528">
        <f t="shared" si="2"/>
        <v>43.692865979381438</v>
      </c>
      <c r="I61" s="528">
        <f t="shared" si="3"/>
        <v>0</v>
      </c>
      <c r="J61" s="528">
        <f t="shared" si="4"/>
        <v>16.437340206185567</v>
      </c>
      <c r="K61" s="528">
        <f t="shared" si="5"/>
        <v>0</v>
      </c>
      <c r="L61" s="528">
        <f t="shared" si="6"/>
        <v>13.443958762886597</v>
      </c>
      <c r="M61" s="528">
        <f t="shared" si="7"/>
        <v>0</v>
      </c>
      <c r="N61" s="528">
        <f t="shared" si="8"/>
        <v>11.185793814432989</v>
      </c>
      <c r="O61" s="528">
        <f t="shared" si="9"/>
        <v>0</v>
      </c>
      <c r="P61" s="804"/>
    </row>
    <row r="62" spans="1:16" s="413" customFormat="1" ht="13.5" thickBot="1">
      <c r="A62" s="1182"/>
      <c r="B62" s="803"/>
      <c r="C62" s="806" t="s">
        <v>3490</v>
      </c>
      <c r="D62" s="807" t="s">
        <v>723</v>
      </c>
      <c r="E62" s="621">
        <v>229.48453608247422</v>
      </c>
      <c r="F62" s="59">
        <f t="shared" si="0"/>
        <v>137.69072164948452</v>
      </c>
      <c r="G62" s="527">
        <f t="shared" si="1"/>
        <v>0</v>
      </c>
      <c r="H62" s="528">
        <f t="shared" si="2"/>
        <v>11.45586804123711</v>
      </c>
      <c r="I62" s="528">
        <f t="shared" si="3"/>
        <v>0</v>
      </c>
      <c r="J62" s="528">
        <f t="shared" si="4"/>
        <v>4.3097195876288659</v>
      </c>
      <c r="K62" s="528">
        <f t="shared" si="5"/>
        <v>0</v>
      </c>
      <c r="L62" s="528">
        <f t="shared" si="6"/>
        <v>3.5248824742268039</v>
      </c>
      <c r="M62" s="528">
        <f t="shared" si="7"/>
        <v>0</v>
      </c>
      <c r="N62" s="528">
        <f t="shared" si="8"/>
        <v>2.9328123711340202</v>
      </c>
      <c r="O62" s="528">
        <f t="shared" si="9"/>
        <v>0</v>
      </c>
      <c r="P62" s="804"/>
    </row>
    <row r="63" spans="1:16" s="413" customFormat="1" ht="26.25" thickBot="1">
      <c r="A63" s="1182"/>
      <c r="B63" s="803"/>
      <c r="C63" s="419" t="s">
        <v>490</v>
      </c>
      <c r="D63" s="420" t="s">
        <v>3505</v>
      </c>
      <c r="E63" s="448">
        <v>1103.0927835051546</v>
      </c>
      <c r="F63" s="59">
        <f t="shared" si="0"/>
        <v>661.85567010309273</v>
      </c>
      <c r="G63" s="527">
        <f t="shared" si="1"/>
        <v>0</v>
      </c>
      <c r="H63" s="528">
        <f t="shared" si="2"/>
        <v>55.06639175257731</v>
      </c>
      <c r="I63" s="528">
        <f t="shared" si="3"/>
        <v>0</v>
      </c>
      <c r="J63" s="528">
        <f t="shared" si="4"/>
        <v>20.716082474226802</v>
      </c>
      <c r="K63" s="528">
        <f t="shared" si="5"/>
        <v>0</v>
      </c>
      <c r="L63" s="528">
        <f t="shared" si="6"/>
        <v>16.943505154639176</v>
      </c>
      <c r="M63" s="528">
        <f t="shared" si="7"/>
        <v>0</v>
      </c>
      <c r="N63" s="528">
        <f t="shared" si="8"/>
        <v>14.097525773195875</v>
      </c>
      <c r="O63" s="528">
        <f t="shared" si="9"/>
        <v>0</v>
      </c>
      <c r="P63" s="804"/>
    </row>
    <row r="64" spans="1:16" s="413" customFormat="1" ht="13.5" thickBot="1">
      <c r="A64" s="1182"/>
      <c r="B64" s="805"/>
      <c r="C64" s="419" t="s">
        <v>455</v>
      </c>
      <c r="D64" s="420" t="s">
        <v>3506</v>
      </c>
      <c r="E64" s="448">
        <v>1101.5257731958764</v>
      </c>
      <c r="F64" s="59">
        <f t="shared" si="0"/>
        <v>660.91546391752581</v>
      </c>
      <c r="G64" s="527">
        <f t="shared" si="1"/>
        <v>0</v>
      </c>
      <c r="H64" s="528">
        <f t="shared" si="2"/>
        <v>54.988166597938147</v>
      </c>
      <c r="I64" s="528">
        <f t="shared" si="3"/>
        <v>0</v>
      </c>
      <c r="J64" s="528">
        <f t="shared" si="4"/>
        <v>20.686654020618558</v>
      </c>
      <c r="K64" s="528">
        <f t="shared" si="5"/>
        <v>0</v>
      </c>
      <c r="L64" s="528">
        <f t="shared" si="6"/>
        <v>16.919435876288663</v>
      </c>
      <c r="M64" s="528">
        <f t="shared" si="7"/>
        <v>0</v>
      </c>
      <c r="N64" s="528">
        <f t="shared" si="8"/>
        <v>14.0774993814433</v>
      </c>
      <c r="O64" s="528">
        <f t="shared" si="9"/>
        <v>0</v>
      </c>
      <c r="P64" s="804"/>
    </row>
    <row r="65" spans="1:16" s="413" customFormat="1" ht="13.5" thickBot="1">
      <c r="A65" s="1182"/>
      <c r="B65" s="805"/>
      <c r="C65" s="806" t="s">
        <v>3575</v>
      </c>
      <c r="D65" s="807" t="s">
        <v>3569</v>
      </c>
      <c r="E65" s="621">
        <v>1601.0309278350517</v>
      </c>
      <c r="F65" s="59">
        <f t="shared" si="0"/>
        <v>960.61855670103091</v>
      </c>
      <c r="G65" s="527">
        <f t="shared" si="1"/>
        <v>0</v>
      </c>
      <c r="H65" s="528">
        <f t="shared" si="2"/>
        <v>79.923463917525766</v>
      </c>
      <c r="I65" s="528">
        <f t="shared" si="3"/>
        <v>0</v>
      </c>
      <c r="J65" s="528">
        <f t="shared" si="4"/>
        <v>30.06736082474227</v>
      </c>
      <c r="K65" s="528">
        <f t="shared" si="5"/>
        <v>0</v>
      </c>
      <c r="L65" s="528">
        <f t="shared" si="6"/>
        <v>24.591835051546393</v>
      </c>
      <c r="M65" s="528">
        <f t="shared" si="7"/>
        <v>0</v>
      </c>
      <c r="N65" s="528">
        <f t="shared" si="8"/>
        <v>20.461175257731959</v>
      </c>
      <c r="O65" s="528">
        <f t="shared" si="9"/>
        <v>0</v>
      </c>
      <c r="P65" s="804"/>
    </row>
    <row r="66" spans="1:16" s="413" customFormat="1" ht="26.25" thickBot="1">
      <c r="A66" s="1182"/>
      <c r="B66" s="805"/>
      <c r="C66" s="808" t="s">
        <v>3794</v>
      </c>
      <c r="D66" s="420" t="s">
        <v>3633</v>
      </c>
      <c r="E66" s="448">
        <v>2020.340206185567</v>
      </c>
      <c r="F66" s="59">
        <f t="shared" si="0"/>
        <v>1212.2041237113401</v>
      </c>
      <c r="G66" s="527">
        <f t="shared" si="1"/>
        <v>0</v>
      </c>
      <c r="H66" s="528">
        <f t="shared" si="2"/>
        <v>100.8553830927835</v>
      </c>
      <c r="I66" s="528">
        <f t="shared" si="3"/>
        <v>0</v>
      </c>
      <c r="J66" s="528">
        <f t="shared" si="4"/>
        <v>37.941989072164951</v>
      </c>
      <c r="K66" s="528">
        <f t="shared" si="5"/>
        <v>0</v>
      </c>
      <c r="L66" s="528">
        <f t="shared" si="6"/>
        <v>31.032425567010307</v>
      </c>
      <c r="M66" s="528">
        <f t="shared" si="7"/>
        <v>0</v>
      </c>
      <c r="N66" s="528">
        <f t="shared" si="8"/>
        <v>25.819947835051543</v>
      </c>
      <c r="O66" s="528">
        <f t="shared" si="9"/>
        <v>0</v>
      </c>
      <c r="P66" s="804"/>
    </row>
    <row r="67" spans="1:16" s="413" customFormat="1" ht="26.25" thickBot="1">
      <c r="A67" s="1182"/>
      <c r="B67" s="803"/>
      <c r="C67" s="808" t="s">
        <v>3496</v>
      </c>
      <c r="D67" s="420" t="s">
        <v>3634</v>
      </c>
      <c r="E67" s="448">
        <v>3510.0309278350514</v>
      </c>
      <c r="F67" s="59">
        <f t="shared" si="0"/>
        <v>2106.0185567010308</v>
      </c>
      <c r="G67" s="527">
        <f t="shared" si="1"/>
        <v>0</v>
      </c>
      <c r="H67" s="528">
        <f t="shared" si="2"/>
        <v>175.22074391752577</v>
      </c>
      <c r="I67" s="528">
        <f t="shared" si="3"/>
        <v>0</v>
      </c>
      <c r="J67" s="528">
        <f t="shared" si="4"/>
        <v>65.918380824742272</v>
      </c>
      <c r="K67" s="528">
        <f t="shared" si="5"/>
        <v>0</v>
      </c>
      <c r="L67" s="528">
        <f t="shared" si="6"/>
        <v>53.914075051546391</v>
      </c>
      <c r="M67" s="528">
        <f t="shared" si="7"/>
        <v>0</v>
      </c>
      <c r="N67" s="528">
        <f t="shared" si="8"/>
        <v>44.858195257731957</v>
      </c>
      <c r="O67" s="528">
        <f t="shared" si="9"/>
        <v>0</v>
      </c>
      <c r="P67" s="804"/>
    </row>
    <row r="68" spans="1:16" s="413" customFormat="1" ht="13.5" thickBot="1">
      <c r="A68" s="1182"/>
      <c r="B68" s="803"/>
      <c r="C68" s="419" t="s">
        <v>3574</v>
      </c>
      <c r="D68" s="420" t="s">
        <v>3795</v>
      </c>
      <c r="E68" s="448">
        <v>308.2474226804124</v>
      </c>
      <c r="F68" s="59">
        <f t="shared" si="0"/>
        <v>184.94845360824743</v>
      </c>
      <c r="G68" s="527">
        <f t="shared" si="1"/>
        <v>0</v>
      </c>
      <c r="H68" s="528">
        <f t="shared" si="2"/>
        <v>15.387711340206186</v>
      </c>
      <c r="I68" s="528">
        <f t="shared" si="3"/>
        <v>0</v>
      </c>
      <c r="J68" s="528">
        <f t="shared" si="4"/>
        <v>5.788886597938145</v>
      </c>
      <c r="K68" s="528">
        <f t="shared" si="5"/>
        <v>0</v>
      </c>
      <c r="L68" s="528">
        <f t="shared" si="6"/>
        <v>4.7346804123711346</v>
      </c>
      <c r="M68" s="528">
        <f t="shared" si="7"/>
        <v>0</v>
      </c>
      <c r="N68" s="528">
        <f t="shared" si="8"/>
        <v>3.9394020618556702</v>
      </c>
      <c r="O68" s="528">
        <f t="shared" si="9"/>
        <v>0</v>
      </c>
      <c r="P68" s="804"/>
    </row>
    <row r="69" spans="1:16" s="413" customFormat="1" ht="13.5" thickBot="1">
      <c r="A69" s="1182"/>
      <c r="B69" s="803"/>
      <c r="C69" s="806" t="s">
        <v>436</v>
      </c>
      <c r="D69" s="420" t="s">
        <v>673</v>
      </c>
      <c r="E69" s="448">
        <v>515.46391752577324</v>
      </c>
      <c r="F69" s="59">
        <f t="shared" si="0"/>
        <v>309.27835051546396</v>
      </c>
      <c r="G69" s="527">
        <f t="shared" si="1"/>
        <v>0</v>
      </c>
      <c r="H69" s="528">
        <f t="shared" si="2"/>
        <v>25.731958762886599</v>
      </c>
      <c r="I69" s="528">
        <f t="shared" si="3"/>
        <v>0</v>
      </c>
      <c r="J69" s="528">
        <f t="shared" si="4"/>
        <v>9.6804123711340218</v>
      </c>
      <c r="K69" s="528">
        <f t="shared" si="5"/>
        <v>0</v>
      </c>
      <c r="L69" s="528">
        <f t="shared" si="6"/>
        <v>7.9175257731958775</v>
      </c>
      <c r="M69" s="528">
        <f t="shared" si="7"/>
        <v>0</v>
      </c>
      <c r="N69" s="528">
        <f t="shared" si="8"/>
        <v>6.587628865979382</v>
      </c>
      <c r="O69" s="528">
        <f t="shared" si="9"/>
        <v>0</v>
      </c>
      <c r="P69" s="804"/>
    </row>
    <row r="70" spans="1:16" s="413" customFormat="1" ht="13.5" thickBot="1">
      <c r="A70" s="1182"/>
      <c r="B70" s="803"/>
      <c r="C70" s="419" t="s">
        <v>3488</v>
      </c>
      <c r="D70" s="420" t="s">
        <v>3585</v>
      </c>
      <c r="E70" s="448">
        <v>88.659793814432987</v>
      </c>
      <c r="F70" s="59">
        <f t="shared" si="0"/>
        <v>53.19587628865979</v>
      </c>
      <c r="G70" s="527">
        <f t="shared" si="1"/>
        <v>0</v>
      </c>
      <c r="H70" s="528">
        <f t="shared" si="2"/>
        <v>4.4258969072164946</v>
      </c>
      <c r="I70" s="528">
        <f t="shared" si="3"/>
        <v>0</v>
      </c>
      <c r="J70" s="528">
        <f t="shared" si="4"/>
        <v>1.6650309278350515</v>
      </c>
      <c r="K70" s="528">
        <f t="shared" si="5"/>
        <v>0</v>
      </c>
      <c r="L70" s="528">
        <f t="shared" si="6"/>
        <v>1.3618144329896906</v>
      </c>
      <c r="M70" s="528">
        <f t="shared" si="7"/>
        <v>0</v>
      </c>
      <c r="N70" s="528">
        <f t="shared" si="8"/>
        <v>1.1330721649484534</v>
      </c>
      <c r="O70" s="528">
        <f t="shared" si="9"/>
        <v>0</v>
      </c>
      <c r="P70" s="804"/>
    </row>
    <row r="71" spans="1:16" s="413" customFormat="1" ht="13.5" thickBot="1">
      <c r="A71" s="1182"/>
      <c r="B71" s="803"/>
      <c r="C71" s="419" t="s">
        <v>692</v>
      </c>
      <c r="D71" s="420" t="s">
        <v>3510</v>
      </c>
      <c r="E71" s="448">
        <v>126.80412371134021</v>
      </c>
      <c r="F71" s="59">
        <f t="shared" si="0"/>
        <v>76.082474226804123</v>
      </c>
      <c r="G71" s="527">
        <f t="shared" si="1"/>
        <v>0</v>
      </c>
      <c r="H71" s="528">
        <f t="shared" si="2"/>
        <v>6.3300618556701025</v>
      </c>
      <c r="I71" s="528">
        <f t="shared" si="3"/>
        <v>0</v>
      </c>
      <c r="J71" s="528">
        <f t="shared" si="4"/>
        <v>2.3813814432989693</v>
      </c>
      <c r="K71" s="528">
        <f t="shared" si="5"/>
        <v>0</v>
      </c>
      <c r="L71" s="528">
        <f t="shared" si="6"/>
        <v>1.9477113402061856</v>
      </c>
      <c r="M71" s="528">
        <f t="shared" si="7"/>
        <v>0</v>
      </c>
      <c r="N71" s="528">
        <f t="shared" si="8"/>
        <v>1.6205567010309279</v>
      </c>
      <c r="O71" s="528">
        <f t="shared" si="9"/>
        <v>0</v>
      </c>
      <c r="P71" s="804"/>
    </row>
    <row r="72" spans="1:16" s="413" customFormat="1" ht="13.5" thickBot="1">
      <c r="A72" s="1182"/>
      <c r="B72" s="803"/>
      <c r="C72" s="419" t="s">
        <v>693</v>
      </c>
      <c r="D72" s="420" t="s">
        <v>674</v>
      </c>
      <c r="E72" s="448">
        <v>129.89690721649484</v>
      </c>
      <c r="F72" s="59">
        <f t="shared" si="0"/>
        <v>77.9381443298969</v>
      </c>
      <c r="G72" s="527">
        <f t="shared" si="1"/>
        <v>0</v>
      </c>
      <c r="H72" s="528">
        <f t="shared" si="2"/>
        <v>6.4844536082474216</v>
      </c>
      <c r="I72" s="528">
        <f t="shared" si="3"/>
        <v>0</v>
      </c>
      <c r="J72" s="528">
        <f t="shared" si="4"/>
        <v>2.4394639175257731</v>
      </c>
      <c r="K72" s="528">
        <f t="shared" si="5"/>
        <v>0</v>
      </c>
      <c r="L72" s="528">
        <f t="shared" si="6"/>
        <v>1.9952164948453608</v>
      </c>
      <c r="M72" s="528">
        <f t="shared" si="7"/>
        <v>0</v>
      </c>
      <c r="N72" s="528">
        <f t="shared" si="8"/>
        <v>1.6600824742268039</v>
      </c>
      <c r="O72" s="528">
        <f t="shared" si="9"/>
        <v>0</v>
      </c>
      <c r="P72" s="804"/>
    </row>
    <row r="73" spans="1:16" s="413" customFormat="1" ht="26.25" thickBot="1">
      <c r="A73" s="1182"/>
      <c r="B73" s="803"/>
      <c r="C73" s="419" t="s">
        <v>438</v>
      </c>
      <c r="D73" s="420" t="s">
        <v>594</v>
      </c>
      <c r="E73" s="448">
        <v>1134.020618556701</v>
      </c>
      <c r="F73" s="59">
        <f t="shared" si="0"/>
        <v>680.41237113402065</v>
      </c>
      <c r="G73" s="527">
        <f t="shared" si="1"/>
        <v>0</v>
      </c>
      <c r="H73" s="528">
        <f t="shared" si="2"/>
        <v>56.610309278350513</v>
      </c>
      <c r="I73" s="528">
        <f t="shared" si="3"/>
        <v>0</v>
      </c>
      <c r="J73" s="528">
        <f t="shared" si="4"/>
        <v>21.296907216494848</v>
      </c>
      <c r="K73" s="528">
        <f t="shared" si="5"/>
        <v>0</v>
      </c>
      <c r="L73" s="528">
        <f t="shared" si="6"/>
        <v>17.41855670103093</v>
      </c>
      <c r="M73" s="528">
        <f t="shared" si="7"/>
        <v>0</v>
      </c>
      <c r="N73" s="528">
        <f t="shared" si="8"/>
        <v>14.492783505154639</v>
      </c>
      <c r="O73" s="528">
        <f t="shared" si="9"/>
        <v>0</v>
      </c>
      <c r="P73" s="804"/>
    </row>
    <row r="74" spans="1:16" s="413" customFormat="1" ht="13.5" thickBot="1">
      <c r="A74" s="1182"/>
      <c r="B74" s="803"/>
      <c r="C74" s="419" t="s">
        <v>439</v>
      </c>
      <c r="D74" s="420" t="s">
        <v>595</v>
      </c>
      <c r="E74" s="448">
        <v>809.2783505154639</v>
      </c>
      <c r="F74" s="59">
        <f t="shared" si="0"/>
        <v>485.56701030927832</v>
      </c>
      <c r="G74" s="527">
        <f t="shared" si="1"/>
        <v>0</v>
      </c>
      <c r="H74" s="528">
        <f t="shared" si="2"/>
        <v>40.399175257731955</v>
      </c>
      <c r="I74" s="528">
        <f t="shared" si="3"/>
        <v>0</v>
      </c>
      <c r="J74" s="528">
        <f t="shared" si="4"/>
        <v>15.198247422680412</v>
      </c>
      <c r="K74" s="528">
        <f t="shared" si="5"/>
        <v>0</v>
      </c>
      <c r="L74" s="528">
        <f t="shared" si="6"/>
        <v>12.430515463917526</v>
      </c>
      <c r="M74" s="528">
        <f t="shared" si="7"/>
        <v>0</v>
      </c>
      <c r="N74" s="528">
        <f t="shared" si="8"/>
        <v>10.342577319587628</v>
      </c>
      <c r="O74" s="528">
        <f t="shared" si="9"/>
        <v>0</v>
      </c>
      <c r="P74" s="804"/>
    </row>
    <row r="75" spans="1:16" s="413" customFormat="1" ht="13.5" thickBot="1">
      <c r="A75" s="1182"/>
      <c r="B75" s="803"/>
      <c r="C75" s="419" t="s">
        <v>440</v>
      </c>
      <c r="D75" s="420" t="s">
        <v>418</v>
      </c>
      <c r="E75" s="448">
        <v>688.45360824742261</v>
      </c>
      <c r="F75" s="59">
        <f t="shared" si="0"/>
        <v>413.07216494845358</v>
      </c>
      <c r="G75" s="527">
        <f t="shared" si="1"/>
        <v>0</v>
      </c>
      <c r="H75" s="528">
        <f t="shared" si="2"/>
        <v>34.367604123711338</v>
      </c>
      <c r="I75" s="528">
        <f t="shared" si="3"/>
        <v>0</v>
      </c>
      <c r="J75" s="528">
        <f t="shared" si="4"/>
        <v>12.929158762886598</v>
      </c>
      <c r="K75" s="528">
        <f t="shared" si="5"/>
        <v>0</v>
      </c>
      <c r="L75" s="528">
        <f t="shared" si="6"/>
        <v>10.574647422680412</v>
      </c>
      <c r="M75" s="528">
        <f t="shared" si="7"/>
        <v>0</v>
      </c>
      <c r="N75" s="528">
        <f t="shared" si="8"/>
        <v>8.7984371134020609</v>
      </c>
      <c r="O75" s="528">
        <f t="shared" si="9"/>
        <v>0</v>
      </c>
      <c r="P75" s="804"/>
    </row>
    <row r="76" spans="1:16" s="413" customFormat="1" ht="13.5" thickBot="1">
      <c r="A76" s="1182"/>
      <c r="B76" s="803"/>
      <c r="C76" s="419" t="s">
        <v>441</v>
      </c>
      <c r="D76" s="420" t="s">
        <v>596</v>
      </c>
      <c r="E76" s="448">
        <v>846.39175257731961</v>
      </c>
      <c r="F76" s="59">
        <f t="shared" si="0"/>
        <v>507.83505154639175</v>
      </c>
      <c r="G76" s="527">
        <f t="shared" si="1"/>
        <v>0</v>
      </c>
      <c r="H76" s="528">
        <f t="shared" si="2"/>
        <v>42.251876288659794</v>
      </c>
      <c r="I76" s="528">
        <f t="shared" si="3"/>
        <v>0</v>
      </c>
      <c r="J76" s="528">
        <f t="shared" si="4"/>
        <v>15.895237113402063</v>
      </c>
      <c r="K76" s="528">
        <f t="shared" si="5"/>
        <v>0</v>
      </c>
      <c r="L76" s="528">
        <f t="shared" si="6"/>
        <v>13.000577319587629</v>
      </c>
      <c r="M76" s="528">
        <f t="shared" si="7"/>
        <v>0</v>
      </c>
      <c r="N76" s="528">
        <f t="shared" si="8"/>
        <v>10.816886597938144</v>
      </c>
      <c r="O76" s="528">
        <f t="shared" si="9"/>
        <v>0</v>
      </c>
      <c r="P76" s="804"/>
    </row>
    <row r="77" spans="1:16" s="729" customFormat="1" ht="13.5" thickBot="1">
      <c r="A77" s="1182"/>
      <c r="B77" s="803"/>
      <c r="C77" s="419" t="s">
        <v>442</v>
      </c>
      <c r="D77" s="420" t="s">
        <v>597</v>
      </c>
      <c r="E77" s="448">
        <v>711.34020618556701</v>
      </c>
      <c r="F77" s="59">
        <f t="shared" si="0"/>
        <v>426.8041237113402</v>
      </c>
      <c r="G77" s="527">
        <f t="shared" si="1"/>
        <v>0</v>
      </c>
      <c r="H77" s="528">
        <f t="shared" si="2"/>
        <v>35.510103092783503</v>
      </c>
      <c r="I77" s="528">
        <f t="shared" si="3"/>
        <v>0</v>
      </c>
      <c r="J77" s="528">
        <f t="shared" si="4"/>
        <v>13.358969072164948</v>
      </c>
      <c r="K77" s="528">
        <f t="shared" si="5"/>
        <v>0</v>
      </c>
      <c r="L77" s="528">
        <f t="shared" si="6"/>
        <v>10.926185567010309</v>
      </c>
      <c r="M77" s="528">
        <f t="shared" si="7"/>
        <v>0</v>
      </c>
      <c r="N77" s="528">
        <f t="shared" si="8"/>
        <v>9.0909278350515468</v>
      </c>
      <c r="O77" s="528">
        <f t="shared" si="9"/>
        <v>0</v>
      </c>
      <c r="P77" s="804"/>
    </row>
    <row r="78" spans="1:16" s="729" customFormat="1" ht="13.5" thickBot="1">
      <c r="A78" s="1182"/>
      <c r="B78" s="803"/>
      <c r="C78" s="419" t="s">
        <v>443</v>
      </c>
      <c r="D78" s="420" t="s">
        <v>598</v>
      </c>
      <c r="E78" s="448">
        <v>196.90721649484536</v>
      </c>
      <c r="F78" s="59">
        <f t="shared" si="0"/>
        <v>118.14432989690721</v>
      </c>
      <c r="G78" s="527">
        <f t="shared" si="1"/>
        <v>0</v>
      </c>
      <c r="H78" s="528">
        <f t="shared" si="2"/>
        <v>9.82960824742268</v>
      </c>
      <c r="I78" s="528">
        <f t="shared" si="3"/>
        <v>0</v>
      </c>
      <c r="J78" s="528">
        <f t="shared" si="4"/>
        <v>3.697917525773196</v>
      </c>
      <c r="K78" s="528">
        <f t="shared" si="5"/>
        <v>0</v>
      </c>
      <c r="L78" s="528">
        <f t="shared" si="6"/>
        <v>3.0244948453608247</v>
      </c>
      <c r="M78" s="528">
        <f t="shared" si="7"/>
        <v>0</v>
      </c>
      <c r="N78" s="528">
        <f t="shared" si="8"/>
        <v>2.5164742268041236</v>
      </c>
      <c r="O78" s="528">
        <f t="shared" si="9"/>
        <v>0</v>
      </c>
      <c r="P78" s="804"/>
    </row>
    <row r="79" spans="1:16" s="729" customFormat="1" ht="13.5" thickBot="1">
      <c r="A79" s="1182"/>
      <c r="B79" s="803"/>
      <c r="C79" s="419" t="s">
        <v>444</v>
      </c>
      <c r="D79" s="420" t="s">
        <v>680</v>
      </c>
      <c r="E79" s="448">
        <v>688.45360824742261</v>
      </c>
      <c r="F79" s="59">
        <f t="shared" si="0"/>
        <v>413.07216494845358</v>
      </c>
      <c r="G79" s="527">
        <f t="shared" si="1"/>
        <v>0</v>
      </c>
      <c r="H79" s="528">
        <f t="shared" si="2"/>
        <v>34.367604123711338</v>
      </c>
      <c r="I79" s="528">
        <f t="shared" si="3"/>
        <v>0</v>
      </c>
      <c r="J79" s="528">
        <f t="shared" si="4"/>
        <v>12.929158762886598</v>
      </c>
      <c r="K79" s="528">
        <f t="shared" si="5"/>
        <v>0</v>
      </c>
      <c r="L79" s="528">
        <f t="shared" si="6"/>
        <v>10.574647422680412</v>
      </c>
      <c r="M79" s="528">
        <f t="shared" si="7"/>
        <v>0</v>
      </c>
      <c r="N79" s="528">
        <f t="shared" si="8"/>
        <v>8.7984371134020609</v>
      </c>
      <c r="O79" s="528">
        <f t="shared" si="9"/>
        <v>0</v>
      </c>
      <c r="P79" s="804"/>
    </row>
    <row r="80" spans="1:16" s="729" customFormat="1" ht="26.25" thickBot="1">
      <c r="A80" s="1182"/>
      <c r="B80" s="805"/>
      <c r="C80" s="419" t="s">
        <v>116</v>
      </c>
      <c r="D80" s="420" t="s">
        <v>117</v>
      </c>
      <c r="E80" s="448">
        <v>257.73195876288662</v>
      </c>
      <c r="F80" s="59">
        <f t="shared" si="0"/>
        <v>154.63917525773198</v>
      </c>
      <c r="G80" s="527">
        <f t="shared" si="1"/>
        <v>0</v>
      </c>
      <c r="H80" s="528">
        <f t="shared" si="2"/>
        <v>12.865979381443299</v>
      </c>
      <c r="I80" s="528">
        <f t="shared" si="3"/>
        <v>0</v>
      </c>
      <c r="J80" s="528">
        <f t="shared" si="4"/>
        <v>4.8402061855670109</v>
      </c>
      <c r="K80" s="528">
        <f t="shared" si="5"/>
        <v>0</v>
      </c>
      <c r="L80" s="528">
        <f t="shared" si="6"/>
        <v>3.9587628865979387</v>
      </c>
      <c r="M80" s="528">
        <f t="shared" si="7"/>
        <v>0</v>
      </c>
      <c r="N80" s="528">
        <f t="shared" si="8"/>
        <v>3.293814432989691</v>
      </c>
      <c r="O80" s="528">
        <f t="shared" si="9"/>
        <v>0</v>
      </c>
      <c r="P80" s="804"/>
    </row>
    <row r="81" spans="1:16" s="729" customFormat="1" ht="13.5" thickBot="1">
      <c r="A81" s="1182"/>
      <c r="B81" s="441"/>
      <c r="C81" s="809" t="s">
        <v>3487</v>
      </c>
      <c r="D81" s="810" t="s">
        <v>3507</v>
      </c>
      <c r="E81" s="448">
        <v>407.21649484536084</v>
      </c>
      <c r="F81" s="59">
        <f t="shared" si="0"/>
        <v>244.32989690721649</v>
      </c>
      <c r="G81" s="527">
        <f t="shared" si="1"/>
        <v>0</v>
      </c>
      <c r="H81" s="528">
        <f t="shared" si="2"/>
        <v>20.328247422680413</v>
      </c>
      <c r="I81" s="528">
        <f t="shared" si="3"/>
        <v>0</v>
      </c>
      <c r="J81" s="528">
        <f t="shared" si="4"/>
        <v>7.647525773195877</v>
      </c>
      <c r="K81" s="528">
        <f t="shared" si="5"/>
        <v>0</v>
      </c>
      <c r="L81" s="528">
        <f t="shared" si="6"/>
        <v>6.254845360824743</v>
      </c>
      <c r="M81" s="528">
        <f t="shared" si="7"/>
        <v>0</v>
      </c>
      <c r="N81" s="528">
        <f t="shared" si="8"/>
        <v>5.204226804123711</v>
      </c>
      <c r="O81" s="528">
        <f t="shared" si="9"/>
        <v>0</v>
      </c>
      <c r="P81" s="804"/>
    </row>
    <row r="82" spans="1:16" s="729" customFormat="1" ht="13.5" thickBot="1">
      <c r="A82" s="1182"/>
      <c r="B82" s="441"/>
      <c r="C82" s="809" t="s">
        <v>3503</v>
      </c>
      <c r="D82" s="810" t="s">
        <v>3528</v>
      </c>
      <c r="E82" s="448">
        <v>3442.2680412371137</v>
      </c>
      <c r="F82" s="59">
        <f t="shared" si="0"/>
        <v>2065.3608247422681</v>
      </c>
      <c r="G82" s="527">
        <f t="shared" si="1"/>
        <v>0</v>
      </c>
      <c r="H82" s="528">
        <f t="shared" si="2"/>
        <v>171.8380206185567</v>
      </c>
      <c r="I82" s="528">
        <f t="shared" si="3"/>
        <v>0</v>
      </c>
      <c r="J82" s="528">
        <f t="shared" si="4"/>
        <v>64.645793814432992</v>
      </c>
      <c r="K82" s="528">
        <f t="shared" si="5"/>
        <v>0</v>
      </c>
      <c r="L82" s="528">
        <f t="shared" si="6"/>
        <v>52.873237113402062</v>
      </c>
      <c r="M82" s="528">
        <f t="shared" si="7"/>
        <v>0</v>
      </c>
      <c r="N82" s="528">
        <f t="shared" si="8"/>
        <v>43.99218556701031</v>
      </c>
      <c r="O82" s="528">
        <f t="shared" si="9"/>
        <v>0</v>
      </c>
      <c r="P82" s="804"/>
    </row>
    <row r="83" spans="1:16" s="734" customFormat="1" ht="13.5" thickBot="1">
      <c r="A83" s="1182"/>
      <c r="B83" s="803"/>
      <c r="C83" s="811" t="s">
        <v>694</v>
      </c>
      <c r="D83" s="812" t="s">
        <v>3527</v>
      </c>
      <c r="E83" s="813">
        <v>1835.8762886597938</v>
      </c>
      <c r="F83" s="59">
        <f t="shared" si="0"/>
        <v>1101.5257731958761</v>
      </c>
      <c r="G83" s="527">
        <f t="shared" si="1"/>
        <v>0</v>
      </c>
      <c r="H83" s="528">
        <f t="shared" si="2"/>
        <v>91.646944329896883</v>
      </c>
      <c r="I83" s="528">
        <f t="shared" si="3"/>
        <v>0</v>
      </c>
      <c r="J83" s="528">
        <f t="shared" si="4"/>
        <v>34.477756701030927</v>
      </c>
      <c r="K83" s="528">
        <f t="shared" si="5"/>
        <v>0</v>
      </c>
      <c r="L83" s="528">
        <f t="shared" si="6"/>
        <v>28.199059793814431</v>
      </c>
      <c r="M83" s="528">
        <f t="shared" si="7"/>
        <v>0</v>
      </c>
      <c r="N83" s="528">
        <f t="shared" si="8"/>
        <v>23.462498969072161</v>
      </c>
      <c r="O83" s="528">
        <f t="shared" si="9"/>
        <v>0</v>
      </c>
      <c r="P83" s="804"/>
    </row>
    <row r="84" spans="1:16" s="729" customFormat="1" ht="13.5" thickBot="1">
      <c r="A84" s="1182"/>
      <c r="B84" s="803"/>
      <c r="C84" s="419" t="s">
        <v>454</v>
      </c>
      <c r="D84" s="420" t="s">
        <v>3526</v>
      </c>
      <c r="E84" s="448">
        <v>872.1649484536083</v>
      </c>
      <c r="F84" s="59">
        <f t="shared" si="0"/>
        <v>523.29896907216494</v>
      </c>
      <c r="G84" s="527">
        <f t="shared" si="1"/>
        <v>0</v>
      </c>
      <c r="H84" s="528">
        <f t="shared" si="2"/>
        <v>43.538474226804119</v>
      </c>
      <c r="I84" s="528">
        <f t="shared" si="3"/>
        <v>0</v>
      </c>
      <c r="J84" s="528">
        <f t="shared" si="4"/>
        <v>16.379257731958763</v>
      </c>
      <c r="K84" s="528">
        <f t="shared" si="5"/>
        <v>0</v>
      </c>
      <c r="L84" s="528">
        <f t="shared" si="6"/>
        <v>13.396453608247423</v>
      </c>
      <c r="M84" s="528">
        <f t="shared" si="7"/>
        <v>0</v>
      </c>
      <c r="N84" s="528">
        <f t="shared" si="8"/>
        <v>11.146268041237112</v>
      </c>
      <c r="O84" s="528">
        <f t="shared" si="9"/>
        <v>0</v>
      </c>
      <c r="P84" s="804"/>
    </row>
    <row r="85" spans="1:16" s="734" customFormat="1" ht="13.5" thickBot="1">
      <c r="A85" s="1182"/>
      <c r="B85" s="441"/>
      <c r="C85" s="419" t="s">
        <v>70</v>
      </c>
      <c r="D85" s="420" t="s">
        <v>682</v>
      </c>
      <c r="E85" s="448">
        <v>61.855670103092784</v>
      </c>
      <c r="F85" s="59">
        <f t="shared" si="0"/>
        <v>37.113402061855666</v>
      </c>
      <c r="G85" s="527">
        <f t="shared" si="1"/>
        <v>0</v>
      </c>
      <c r="H85" s="528">
        <f t="shared" si="2"/>
        <v>3.0878350515463913</v>
      </c>
      <c r="I85" s="528">
        <f t="shared" si="3"/>
        <v>0</v>
      </c>
      <c r="J85" s="528">
        <f t="shared" si="4"/>
        <v>1.1616494845360823</v>
      </c>
      <c r="K85" s="528">
        <f t="shared" si="5"/>
        <v>0</v>
      </c>
      <c r="L85" s="528">
        <f t="shared" si="6"/>
        <v>0.95010309278350513</v>
      </c>
      <c r="M85" s="528">
        <f t="shared" si="7"/>
        <v>0</v>
      </c>
      <c r="N85" s="528">
        <f t="shared" si="8"/>
        <v>0.7905154639175257</v>
      </c>
      <c r="O85" s="528">
        <f t="shared" si="9"/>
        <v>0</v>
      </c>
      <c r="P85" s="804"/>
    </row>
    <row r="86" spans="1:16" s="729" customFormat="1" ht="13.5" thickBot="1">
      <c r="A86" s="1182"/>
      <c r="B86" s="805"/>
      <c r="C86" s="419" t="s">
        <v>456</v>
      </c>
      <c r="D86" s="420" t="s">
        <v>683</v>
      </c>
      <c r="E86" s="448">
        <v>123.71134020618557</v>
      </c>
      <c r="F86" s="59">
        <f t="shared" si="0"/>
        <v>74.226804123711332</v>
      </c>
      <c r="G86" s="527">
        <f t="shared" si="1"/>
        <v>0</v>
      </c>
      <c r="H86" s="528">
        <f t="shared" si="2"/>
        <v>6.1756701030927825</v>
      </c>
      <c r="I86" s="528">
        <f t="shared" si="3"/>
        <v>0</v>
      </c>
      <c r="J86" s="528">
        <f t="shared" si="4"/>
        <v>2.3232989690721646</v>
      </c>
      <c r="K86" s="528">
        <f t="shared" si="5"/>
        <v>0</v>
      </c>
      <c r="L86" s="528">
        <f t="shared" si="6"/>
        <v>1.9002061855670103</v>
      </c>
      <c r="M86" s="528">
        <f t="shared" si="7"/>
        <v>0</v>
      </c>
      <c r="N86" s="528">
        <f t="shared" si="8"/>
        <v>1.5810309278350514</v>
      </c>
      <c r="O86" s="528">
        <f t="shared" si="9"/>
        <v>0</v>
      </c>
      <c r="P86" s="804"/>
    </row>
    <row r="87" spans="1:16" s="437" customFormat="1" ht="13.5" thickBot="1">
      <c r="A87" s="1182"/>
      <c r="B87" s="441"/>
      <c r="C87" s="419" t="s">
        <v>3501</v>
      </c>
      <c r="D87" s="420" t="s">
        <v>3572</v>
      </c>
      <c r="E87" s="448">
        <v>114.43298969072166</v>
      </c>
      <c r="F87" s="59">
        <f t="shared" si="0"/>
        <v>68.659793814432987</v>
      </c>
      <c r="G87" s="527">
        <f t="shared" si="1"/>
        <v>0</v>
      </c>
      <c r="H87" s="528">
        <f t="shared" si="2"/>
        <v>5.7124948453608244</v>
      </c>
      <c r="I87" s="528">
        <f t="shared" si="3"/>
        <v>0</v>
      </c>
      <c r="J87" s="528">
        <f t="shared" si="4"/>
        <v>2.1490515463917528</v>
      </c>
      <c r="K87" s="528">
        <f t="shared" si="5"/>
        <v>0</v>
      </c>
      <c r="L87" s="528">
        <f t="shared" si="6"/>
        <v>1.7576907216494846</v>
      </c>
      <c r="M87" s="528">
        <f t="shared" si="7"/>
        <v>0</v>
      </c>
      <c r="N87" s="528">
        <f t="shared" si="8"/>
        <v>1.4624536082474227</v>
      </c>
      <c r="O87" s="528">
        <f t="shared" si="9"/>
        <v>0</v>
      </c>
      <c r="P87" s="804"/>
    </row>
    <row r="88" spans="1:16" s="437" customFormat="1" ht="13.5" thickBot="1">
      <c r="A88" s="1182"/>
      <c r="B88" s="805"/>
      <c r="C88" s="419" t="s">
        <v>695</v>
      </c>
      <c r="D88" s="420" t="s">
        <v>3531</v>
      </c>
      <c r="E88" s="448">
        <v>941.23711340206194</v>
      </c>
      <c r="F88" s="59">
        <f t="shared" si="0"/>
        <v>564.74226804123714</v>
      </c>
      <c r="G88" s="527">
        <f t="shared" si="1"/>
        <v>0</v>
      </c>
      <c r="H88" s="528">
        <f t="shared" si="2"/>
        <v>46.986556701030928</v>
      </c>
      <c r="I88" s="528">
        <f t="shared" si="3"/>
        <v>0</v>
      </c>
      <c r="J88" s="528">
        <f t="shared" si="4"/>
        <v>17.676432989690724</v>
      </c>
      <c r="K88" s="528">
        <f t="shared" si="5"/>
        <v>0</v>
      </c>
      <c r="L88" s="528">
        <f t="shared" si="6"/>
        <v>14.457402061855671</v>
      </c>
      <c r="M88" s="528">
        <f t="shared" si="7"/>
        <v>0</v>
      </c>
      <c r="N88" s="528">
        <f t="shared" si="8"/>
        <v>12.02901030927835</v>
      </c>
      <c r="O88" s="528">
        <f t="shared" si="9"/>
        <v>0</v>
      </c>
      <c r="P88" s="804"/>
    </row>
    <row r="89" spans="1:16" s="437" customFormat="1" ht="13.5" thickBot="1">
      <c r="A89" s="1182"/>
      <c r="B89" s="805"/>
      <c r="C89" s="419" t="s">
        <v>696</v>
      </c>
      <c r="D89" s="420" t="s">
        <v>3532</v>
      </c>
      <c r="E89" s="448">
        <v>1227.8350515463917</v>
      </c>
      <c r="F89" s="59">
        <f t="shared" si="0"/>
        <v>736.70103092783495</v>
      </c>
      <c r="G89" s="527">
        <f t="shared" si="1"/>
        <v>0</v>
      </c>
      <c r="H89" s="528">
        <f t="shared" si="2"/>
        <v>61.293525773195867</v>
      </c>
      <c r="I89" s="528">
        <f t="shared" si="3"/>
        <v>0</v>
      </c>
      <c r="J89" s="528">
        <f t="shared" si="4"/>
        <v>23.058742268041236</v>
      </c>
      <c r="K89" s="528">
        <f t="shared" si="5"/>
        <v>0</v>
      </c>
      <c r="L89" s="528">
        <f t="shared" si="6"/>
        <v>18.859546391752577</v>
      </c>
      <c r="M89" s="528">
        <f t="shared" si="7"/>
        <v>0</v>
      </c>
      <c r="N89" s="528">
        <f t="shared" si="8"/>
        <v>15.691731958762883</v>
      </c>
      <c r="O89" s="528">
        <f t="shared" si="9"/>
        <v>0</v>
      </c>
      <c r="P89" s="804"/>
    </row>
    <row r="90" spans="1:16" s="437" customFormat="1" ht="13.5" thickBot="1">
      <c r="A90" s="1182"/>
      <c r="B90" s="805"/>
      <c r="C90" s="806" t="s">
        <v>697</v>
      </c>
      <c r="D90" s="420" t="s">
        <v>3529</v>
      </c>
      <c r="E90" s="448">
        <v>1445.3608247422681</v>
      </c>
      <c r="F90" s="59">
        <f t="shared" si="0"/>
        <v>867.21649484536078</v>
      </c>
      <c r="G90" s="527">
        <f t="shared" si="1"/>
        <v>0</v>
      </c>
      <c r="H90" s="528">
        <f t="shared" si="2"/>
        <v>72.15241237113402</v>
      </c>
      <c r="I90" s="528">
        <f t="shared" si="3"/>
        <v>0</v>
      </c>
      <c r="J90" s="528">
        <f t="shared" si="4"/>
        <v>27.143876288659794</v>
      </c>
      <c r="K90" s="528">
        <f t="shared" si="5"/>
        <v>0</v>
      </c>
      <c r="L90" s="528">
        <f t="shared" si="6"/>
        <v>22.200742268041235</v>
      </c>
      <c r="M90" s="528">
        <f t="shared" si="7"/>
        <v>0</v>
      </c>
      <c r="N90" s="528">
        <f t="shared" si="8"/>
        <v>18.471711340206184</v>
      </c>
      <c r="O90" s="528">
        <f t="shared" si="9"/>
        <v>0</v>
      </c>
      <c r="P90" s="804"/>
    </row>
    <row r="91" spans="1:16" s="437" customFormat="1" ht="13.5" thickBot="1">
      <c r="A91" s="1182"/>
      <c r="B91" s="805"/>
      <c r="C91" s="419" t="s">
        <v>3504</v>
      </c>
      <c r="D91" s="420" t="s">
        <v>3530</v>
      </c>
      <c r="E91" s="448">
        <v>1720.6185567010309</v>
      </c>
      <c r="F91" s="59">
        <f t="shared" si="0"/>
        <v>1032.3711340206185</v>
      </c>
      <c r="G91" s="527">
        <f t="shared" si="1"/>
        <v>0</v>
      </c>
      <c r="H91" s="528">
        <f t="shared" si="2"/>
        <v>85.893278350515445</v>
      </c>
      <c r="I91" s="528">
        <f t="shared" si="3"/>
        <v>0</v>
      </c>
      <c r="J91" s="528">
        <f t="shared" si="4"/>
        <v>32.313216494845356</v>
      </c>
      <c r="K91" s="528">
        <f t="shared" si="5"/>
        <v>0</v>
      </c>
      <c r="L91" s="528">
        <f t="shared" si="6"/>
        <v>26.428701030927833</v>
      </c>
      <c r="M91" s="528">
        <f t="shared" si="7"/>
        <v>0</v>
      </c>
      <c r="N91" s="528">
        <f t="shared" si="8"/>
        <v>21.989505154639172</v>
      </c>
      <c r="O91" s="528">
        <f t="shared" si="9"/>
        <v>0</v>
      </c>
      <c r="P91" s="804"/>
    </row>
    <row r="92" spans="1:16" s="437" customFormat="1" ht="13.5" thickBot="1">
      <c r="A92" s="1182"/>
      <c r="B92" s="805"/>
      <c r="C92" s="419" t="s">
        <v>450</v>
      </c>
      <c r="D92" s="420" t="s">
        <v>3570</v>
      </c>
      <c r="E92" s="448">
        <v>604.12371134020623</v>
      </c>
      <c r="F92" s="59">
        <f t="shared" si="0"/>
        <v>362.4742268041237</v>
      </c>
      <c r="G92" s="527">
        <f t="shared" si="1"/>
        <v>0</v>
      </c>
      <c r="H92" s="528">
        <f t="shared" si="2"/>
        <v>30.157855670103089</v>
      </c>
      <c r="I92" s="528">
        <f t="shared" si="3"/>
        <v>0</v>
      </c>
      <c r="J92" s="528">
        <f t="shared" si="4"/>
        <v>11.345443298969073</v>
      </c>
      <c r="K92" s="528">
        <f t="shared" si="5"/>
        <v>0</v>
      </c>
      <c r="L92" s="528">
        <f t="shared" si="6"/>
        <v>9.2793402061855677</v>
      </c>
      <c r="M92" s="528">
        <f t="shared" si="7"/>
        <v>0</v>
      </c>
      <c r="N92" s="528">
        <f t="shared" si="8"/>
        <v>7.7207010309278346</v>
      </c>
      <c r="O92" s="528">
        <f t="shared" si="9"/>
        <v>0</v>
      </c>
      <c r="P92" s="804"/>
    </row>
    <row r="93" spans="1:16" s="729" customFormat="1" ht="13.5" thickBot="1">
      <c r="A93" s="1182"/>
      <c r="B93" s="441"/>
      <c r="C93" s="419" t="s">
        <v>3499</v>
      </c>
      <c r="D93" s="420" t="s">
        <v>3522</v>
      </c>
      <c r="E93" s="448">
        <v>604.12371134020623</v>
      </c>
      <c r="F93" s="59">
        <f t="shared" si="0"/>
        <v>362.4742268041237</v>
      </c>
      <c r="G93" s="527">
        <f t="shared" si="1"/>
        <v>0</v>
      </c>
      <c r="H93" s="528">
        <f t="shared" si="2"/>
        <v>30.157855670103089</v>
      </c>
      <c r="I93" s="528">
        <f t="shared" si="3"/>
        <v>0</v>
      </c>
      <c r="J93" s="528">
        <f t="shared" si="4"/>
        <v>11.345443298969073</v>
      </c>
      <c r="K93" s="528">
        <f t="shared" si="5"/>
        <v>0</v>
      </c>
      <c r="L93" s="528">
        <f t="shared" si="6"/>
        <v>9.2793402061855677</v>
      </c>
      <c r="M93" s="528">
        <f t="shared" si="7"/>
        <v>0</v>
      </c>
      <c r="N93" s="528">
        <f t="shared" si="8"/>
        <v>7.7207010309278346</v>
      </c>
      <c r="O93" s="528">
        <f t="shared" si="9"/>
        <v>0</v>
      </c>
      <c r="P93" s="804"/>
    </row>
    <row r="94" spans="1:16" s="734" customFormat="1" ht="13.5" thickBot="1">
      <c r="A94" s="1182"/>
      <c r="B94" s="805"/>
      <c r="C94" s="419" t="s">
        <v>698</v>
      </c>
      <c r="D94" s="420" t="s">
        <v>3565</v>
      </c>
      <c r="E94" s="448">
        <v>1262.8865979381444</v>
      </c>
      <c r="F94" s="59">
        <f t="shared" si="0"/>
        <v>757.73195876288662</v>
      </c>
      <c r="G94" s="527">
        <f t="shared" si="1"/>
        <v>0</v>
      </c>
      <c r="H94" s="528">
        <f t="shared" si="2"/>
        <v>63.043298969072161</v>
      </c>
      <c r="I94" s="528">
        <f t="shared" si="3"/>
        <v>0</v>
      </c>
      <c r="J94" s="528">
        <f t="shared" si="4"/>
        <v>23.717010309278351</v>
      </c>
      <c r="K94" s="528">
        <f t="shared" si="5"/>
        <v>0</v>
      </c>
      <c r="L94" s="528">
        <f t="shared" si="6"/>
        <v>19.397938144329899</v>
      </c>
      <c r="M94" s="528">
        <f t="shared" si="7"/>
        <v>0</v>
      </c>
      <c r="N94" s="528">
        <f t="shared" si="8"/>
        <v>16.139690721649483</v>
      </c>
      <c r="O94" s="528">
        <f t="shared" si="9"/>
        <v>0</v>
      </c>
      <c r="P94" s="804"/>
    </row>
    <row r="95" spans="1:16" s="729" customFormat="1" ht="13.5" thickBot="1">
      <c r="A95" s="1182"/>
      <c r="B95" s="803"/>
      <c r="C95" s="419" t="s">
        <v>493</v>
      </c>
      <c r="D95" s="420" t="s">
        <v>52</v>
      </c>
      <c r="E95" s="448">
        <v>49.175257731958766</v>
      </c>
      <c r="F95" s="59">
        <f t="shared" si="0"/>
        <v>29.505154639175259</v>
      </c>
      <c r="G95" s="527">
        <f t="shared" si="1"/>
        <v>0</v>
      </c>
      <c r="H95" s="528">
        <f t="shared" si="2"/>
        <v>2.4548288659793815</v>
      </c>
      <c r="I95" s="528">
        <f t="shared" si="3"/>
        <v>0</v>
      </c>
      <c r="J95" s="528">
        <f t="shared" si="4"/>
        <v>0.92351134020618564</v>
      </c>
      <c r="K95" s="528">
        <f t="shared" si="5"/>
        <v>0</v>
      </c>
      <c r="L95" s="528">
        <f t="shared" si="6"/>
        <v>0.75533195876288672</v>
      </c>
      <c r="M95" s="528">
        <f t="shared" si="7"/>
        <v>0</v>
      </c>
      <c r="N95" s="528">
        <f t="shared" si="8"/>
        <v>0.62845979381443307</v>
      </c>
      <c r="O95" s="528">
        <f t="shared" si="9"/>
        <v>0</v>
      </c>
      <c r="P95" s="804"/>
    </row>
    <row r="96" spans="1:16" s="437" customFormat="1" ht="13.5" thickBot="1">
      <c r="A96" s="1182"/>
      <c r="B96" s="803"/>
      <c r="C96" s="419" t="s">
        <v>478</v>
      </c>
      <c r="D96" s="420" t="s">
        <v>3560</v>
      </c>
      <c r="E96" s="448">
        <v>27.319587628865982</v>
      </c>
      <c r="F96" s="59">
        <f t="shared" si="0"/>
        <v>16.39175257731959</v>
      </c>
      <c r="G96" s="527">
        <f t="shared" si="1"/>
        <v>0</v>
      </c>
      <c r="H96" s="528">
        <f t="shared" si="2"/>
        <v>1.3637938144329897</v>
      </c>
      <c r="I96" s="528">
        <f t="shared" si="3"/>
        <v>0</v>
      </c>
      <c r="J96" s="528">
        <f t="shared" si="4"/>
        <v>0.51306185567010321</v>
      </c>
      <c r="K96" s="528">
        <f t="shared" si="5"/>
        <v>0</v>
      </c>
      <c r="L96" s="528">
        <f t="shared" si="6"/>
        <v>0.41962886597938154</v>
      </c>
      <c r="M96" s="528">
        <f t="shared" si="7"/>
        <v>0</v>
      </c>
      <c r="N96" s="528">
        <f t="shared" si="8"/>
        <v>0.34914432989690725</v>
      </c>
      <c r="O96" s="528">
        <f t="shared" si="9"/>
        <v>0</v>
      </c>
      <c r="P96" s="804"/>
    </row>
    <row r="97" spans="1:16" s="437" customFormat="1" ht="13.5" thickBot="1">
      <c r="A97" s="1182"/>
      <c r="B97" s="803"/>
      <c r="C97" s="419" t="s">
        <v>33</v>
      </c>
      <c r="D97" s="420" t="s">
        <v>3563</v>
      </c>
      <c r="E97" s="448">
        <v>30.927835051546392</v>
      </c>
      <c r="F97" s="59">
        <f t="shared" si="0"/>
        <v>18.556701030927833</v>
      </c>
      <c r="G97" s="527">
        <f t="shared" si="1"/>
        <v>0</v>
      </c>
      <c r="H97" s="528">
        <f t="shared" si="2"/>
        <v>1.5439175257731956</v>
      </c>
      <c r="I97" s="528">
        <f t="shared" si="3"/>
        <v>0</v>
      </c>
      <c r="J97" s="528">
        <f t="shared" si="4"/>
        <v>0.58082474226804115</v>
      </c>
      <c r="K97" s="528">
        <f t="shared" si="5"/>
        <v>0</v>
      </c>
      <c r="L97" s="528">
        <f t="shared" si="6"/>
        <v>0.47505154639175257</v>
      </c>
      <c r="M97" s="528">
        <f t="shared" si="7"/>
        <v>0</v>
      </c>
      <c r="N97" s="528">
        <f t="shared" si="8"/>
        <v>0.39525773195876285</v>
      </c>
      <c r="O97" s="528">
        <f t="shared" si="9"/>
        <v>0</v>
      </c>
      <c r="P97" s="804"/>
    </row>
    <row r="98" spans="1:16" s="437" customFormat="1" ht="13.5" thickBot="1">
      <c r="A98" s="1182"/>
      <c r="B98" s="805"/>
      <c r="C98" s="419" t="s">
        <v>700</v>
      </c>
      <c r="D98" s="420" t="s">
        <v>3566</v>
      </c>
      <c r="E98" s="448">
        <v>268.04123711340208</v>
      </c>
      <c r="F98" s="59">
        <f t="shared" si="0"/>
        <v>160.82474226804123</v>
      </c>
      <c r="G98" s="527">
        <f t="shared" si="1"/>
        <v>0</v>
      </c>
      <c r="H98" s="528">
        <f t="shared" si="2"/>
        <v>13.38061855670103</v>
      </c>
      <c r="I98" s="528">
        <f t="shared" si="3"/>
        <v>0</v>
      </c>
      <c r="J98" s="528">
        <f t="shared" si="4"/>
        <v>5.0338144329896908</v>
      </c>
      <c r="K98" s="528">
        <f t="shared" si="5"/>
        <v>0</v>
      </c>
      <c r="L98" s="528">
        <f t="shared" si="6"/>
        <v>4.1171134020618556</v>
      </c>
      <c r="M98" s="528">
        <f t="shared" si="7"/>
        <v>0</v>
      </c>
      <c r="N98" s="528">
        <f t="shared" si="8"/>
        <v>3.4255670103092783</v>
      </c>
      <c r="O98" s="528">
        <f t="shared" si="9"/>
        <v>0</v>
      </c>
      <c r="P98" s="804"/>
    </row>
    <row r="99" spans="1:16" s="437" customFormat="1" ht="13.5" thickBot="1">
      <c r="A99" s="1183"/>
      <c r="B99" s="803"/>
      <c r="C99" s="419" t="s">
        <v>453</v>
      </c>
      <c r="D99" s="420" t="s">
        <v>3562</v>
      </c>
      <c r="E99" s="448">
        <v>115.4639175257732</v>
      </c>
      <c r="F99" s="59">
        <f t="shared" si="0"/>
        <v>69.278350515463913</v>
      </c>
      <c r="G99" s="527">
        <f t="shared" si="1"/>
        <v>0</v>
      </c>
      <c r="H99" s="528">
        <f t="shared" si="2"/>
        <v>5.7639587628865971</v>
      </c>
      <c r="I99" s="528">
        <f t="shared" si="3"/>
        <v>0</v>
      </c>
      <c r="J99" s="528">
        <f t="shared" si="4"/>
        <v>2.1684123711340204</v>
      </c>
      <c r="K99" s="528">
        <f t="shared" si="5"/>
        <v>0</v>
      </c>
      <c r="L99" s="528">
        <f t="shared" si="6"/>
        <v>1.7735257731958762</v>
      </c>
      <c r="M99" s="528">
        <f t="shared" si="7"/>
        <v>0</v>
      </c>
      <c r="N99" s="528">
        <f t="shared" si="8"/>
        <v>1.4756288659793813</v>
      </c>
      <c r="O99" s="528">
        <f t="shared" si="9"/>
        <v>0</v>
      </c>
      <c r="P99" s="804"/>
    </row>
    <row r="100" spans="1:16" s="437" customFormat="1" ht="15">
      <c r="C100" s="792"/>
      <c r="D100" s="1059" t="s">
        <v>183</v>
      </c>
      <c r="E100" s="1124"/>
      <c r="F100" s="1124"/>
      <c r="G100" s="730">
        <f t="array" ref="G100">SUM(G52:G99)+G40:G52:G99+G44:G52:G99+G48</f>
        <v>0</v>
      </c>
      <c r="H100" s="451" t="s">
        <v>184</v>
      </c>
      <c r="I100" s="730">
        <f t="array" ref="I100">SUM(I52:I99)+I40:I52:I99+I44:I52:I99+I48</f>
        <v>0</v>
      </c>
      <c r="J100" s="451" t="s">
        <v>185</v>
      </c>
      <c r="K100" s="730">
        <f t="array" ref="K100">SUM(K52:K99)+K40:K52:K99+K44:K52:K99+K48</f>
        <v>0</v>
      </c>
      <c r="L100" s="451" t="s">
        <v>186</v>
      </c>
      <c r="M100" s="730">
        <f t="array" ref="M100">SUM(M52:M99)+M40:M52:M99+M44:M52:M99+M48</f>
        <v>0</v>
      </c>
      <c r="N100" s="451" t="s">
        <v>187</v>
      </c>
      <c r="O100" s="730">
        <f t="array" ref="O100">SUM(O52:O99)+O40:O52:O99+O44:O52:O99+O48</f>
        <v>0</v>
      </c>
    </row>
    <row r="101" spans="1:16" s="437" customFormat="1" ht="14.25">
      <c r="C101" s="794"/>
      <c r="F101" s="626"/>
      <c r="G101" s="453"/>
    </row>
    <row r="102" spans="1:16" s="437" customFormat="1">
      <c r="C102" s="378"/>
      <c r="F102" s="626"/>
    </row>
    <row r="103" spans="1:16" ht="18">
      <c r="A103" s="815"/>
    </row>
    <row r="104" spans="1:16" ht="18">
      <c r="A104" s="815"/>
    </row>
    <row r="121" spans="3:3">
      <c r="C121" s="380"/>
    </row>
  </sheetData>
  <mergeCells count="59">
    <mergeCell ref="A4:O4"/>
    <mergeCell ref="A5:O5"/>
    <mergeCell ref="H9:J9"/>
    <mergeCell ref="D23:D24"/>
    <mergeCell ref="A27:O27"/>
    <mergeCell ref="A28:D28"/>
    <mergeCell ref="E28:J28"/>
    <mergeCell ref="K28:O28"/>
    <mergeCell ref="A35:D35"/>
    <mergeCell ref="A36:C36"/>
    <mergeCell ref="K32:M32"/>
    <mergeCell ref="A30:C30"/>
    <mergeCell ref="E30:H30"/>
    <mergeCell ref="I30:J30"/>
    <mergeCell ref="K30:M30"/>
    <mergeCell ref="N30:O30"/>
    <mergeCell ref="N32:O32"/>
    <mergeCell ref="A29:C29"/>
    <mergeCell ref="E29:H29"/>
    <mergeCell ref="I29:J29"/>
    <mergeCell ref="K29:M29"/>
    <mergeCell ref="N29:O29"/>
    <mergeCell ref="A31:C31"/>
    <mergeCell ref="E31:H31"/>
    <mergeCell ref="I31:J31"/>
    <mergeCell ref="K31:M31"/>
    <mergeCell ref="N31:O31"/>
    <mergeCell ref="A32:C32"/>
    <mergeCell ref="E32:H32"/>
    <mergeCell ref="I32:J32"/>
    <mergeCell ref="I34:K36"/>
    <mergeCell ref="F38:H38"/>
    <mergeCell ref="I38:O38"/>
    <mergeCell ref="O40:O42"/>
    <mergeCell ref="A37:C37"/>
    <mergeCell ref="A38:C38"/>
    <mergeCell ref="M44:M46"/>
    <mergeCell ref="O44:O46"/>
    <mergeCell ref="A40:A42"/>
    <mergeCell ref="B40:B42"/>
    <mergeCell ref="G40:G42"/>
    <mergeCell ref="I40:I42"/>
    <mergeCell ref="K40:K42"/>
    <mergeCell ref="M40:M42"/>
    <mergeCell ref="A44:A46"/>
    <mergeCell ref="B44:B46"/>
    <mergeCell ref="G44:G46"/>
    <mergeCell ref="I44:I46"/>
    <mergeCell ref="K44:K46"/>
    <mergeCell ref="A51:O51"/>
    <mergeCell ref="A52:A99"/>
    <mergeCell ref="D100:F100"/>
    <mergeCell ref="A48:A50"/>
    <mergeCell ref="B48:B50"/>
    <mergeCell ref="G48:G50"/>
    <mergeCell ref="I48:I50"/>
    <mergeCell ref="K48:K50"/>
    <mergeCell ref="M48:M50"/>
    <mergeCell ref="O48:O50"/>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557D-F27F-4511-9C7E-C6DA88815594}">
  <sheetPr>
    <tabColor indexed="62"/>
  </sheetPr>
  <dimension ref="A1:R122"/>
  <sheetViews>
    <sheetView topLeftCell="A9" zoomScale="87" zoomScaleNormal="87" workbookViewId="0">
      <selection activeCell="D23" sqref="D23:D24"/>
    </sheetView>
  </sheetViews>
  <sheetFormatPr defaultColWidth="9.140625" defaultRowHeight="12.75"/>
  <cols>
    <col min="1" max="1" width="15.140625" style="378" customWidth="1"/>
    <col min="2" max="2" width="9.7109375" style="378" customWidth="1"/>
    <col min="3" max="3" width="15.7109375" style="378" bestFit="1" customWidth="1"/>
    <col min="4" max="4" width="50.42578125" style="378" customWidth="1"/>
    <col min="5" max="5" width="15.140625" style="378" customWidth="1"/>
    <col min="6" max="6" width="14.5703125" style="881" customWidth="1"/>
    <col min="7" max="7" width="16.140625" style="378" customWidth="1"/>
    <col min="8" max="8" width="22.85546875" style="378" customWidth="1"/>
    <col min="9" max="9" width="21" style="378" customWidth="1"/>
    <col min="10" max="10" width="22.7109375" style="378" customWidth="1"/>
    <col min="11" max="11" width="20.85546875" style="378" customWidth="1"/>
    <col min="12" max="12" width="24" style="378" customWidth="1"/>
    <col min="13" max="13" width="19.7109375" style="378" customWidth="1"/>
    <col min="14" max="14" width="22.5703125" style="378" customWidth="1"/>
    <col min="15" max="15" width="19.7109375" style="378" customWidth="1"/>
    <col min="16" max="16" width="12.42578125" style="378" customWidth="1"/>
    <col min="17" max="26" width="8.85546875" style="378" customWidth="1"/>
    <col min="27" max="16384" width="9.140625" style="378"/>
  </cols>
  <sheetData>
    <row r="1" spans="1:18" ht="9" customHeight="1" thickBot="1">
      <c r="B1" s="379"/>
      <c r="C1" s="379"/>
      <c r="D1" s="380"/>
      <c r="E1" s="380"/>
      <c r="F1" s="381"/>
      <c r="G1" s="387"/>
      <c r="H1" s="381"/>
      <c r="I1" s="387"/>
      <c r="J1" s="387"/>
      <c r="K1" s="387"/>
      <c r="L1" s="387"/>
      <c r="M1" s="387"/>
    </row>
    <row r="2" spans="1:18" ht="10.5" customHeight="1">
      <c r="A2" s="382"/>
      <c r="B2" s="383"/>
      <c r="C2" s="383"/>
      <c r="D2" s="384"/>
      <c r="E2" s="384"/>
      <c r="F2" s="385"/>
      <c r="G2" s="386"/>
      <c r="H2" s="385"/>
      <c r="I2" s="386"/>
      <c r="J2" s="386"/>
      <c r="K2" s="386"/>
      <c r="L2" s="386"/>
      <c r="M2" s="382"/>
      <c r="N2" s="382"/>
      <c r="O2" s="382"/>
    </row>
    <row r="3" spans="1:18" ht="36" customHeight="1">
      <c r="A3" s="1022" t="s">
        <v>4450</v>
      </c>
      <c r="B3" s="1023"/>
      <c r="C3" s="1023"/>
      <c r="D3" s="1023"/>
      <c r="E3" s="1023"/>
      <c r="F3" s="1023"/>
      <c r="G3" s="1023"/>
      <c r="H3" s="1023"/>
      <c r="I3" s="1023"/>
      <c r="J3" s="1023"/>
      <c r="K3" s="1023"/>
      <c r="L3" s="1023"/>
      <c r="M3" s="1023"/>
      <c r="N3" s="1023"/>
      <c r="O3" s="1023"/>
    </row>
    <row r="4" spans="1:18" s="388" customFormat="1" ht="45.75" customHeight="1">
      <c r="A4" s="1024" t="s">
        <v>3591</v>
      </c>
      <c r="B4" s="1025"/>
      <c r="C4" s="1025"/>
      <c r="D4" s="1025"/>
      <c r="E4" s="1025"/>
      <c r="F4" s="1025"/>
      <c r="G4" s="1025"/>
      <c r="H4" s="1025"/>
      <c r="I4" s="1025"/>
      <c r="J4" s="1025"/>
      <c r="K4" s="1025"/>
      <c r="L4" s="1025"/>
      <c r="M4" s="1025"/>
      <c r="N4" s="1025"/>
      <c r="O4" s="1025"/>
    </row>
    <row r="5" spans="1:18" ht="9" customHeight="1" thickBot="1">
      <c r="A5" s="389"/>
      <c r="B5" s="389"/>
      <c r="C5" s="862"/>
      <c r="D5" s="862"/>
      <c r="E5" s="862"/>
      <c r="F5" s="862"/>
      <c r="G5" s="862"/>
      <c r="H5" s="862"/>
      <c r="I5" s="862"/>
      <c r="J5" s="862"/>
      <c r="K5" s="862"/>
      <c r="L5" s="389"/>
      <c r="M5" s="716"/>
      <c r="N5" s="389"/>
      <c r="O5" s="389"/>
    </row>
    <row r="7" spans="1:18" s="387" customFormat="1" ht="14.25">
      <c r="B7" s="390"/>
      <c r="C7" s="390"/>
      <c r="D7" s="391"/>
      <c r="E7" s="391"/>
      <c r="F7" s="863"/>
      <c r="G7" s="391"/>
      <c r="H7" s="391"/>
      <c r="I7" s="391"/>
      <c r="J7" s="391"/>
      <c r="K7" s="391"/>
      <c r="L7" s="391"/>
      <c r="M7" s="391"/>
      <c r="N7" s="391"/>
      <c r="O7" s="391"/>
      <c r="P7" s="391"/>
      <c r="Q7" s="391"/>
      <c r="R7" s="391"/>
    </row>
    <row r="8" spans="1:18" s="387" customFormat="1" ht="14.25">
      <c r="F8" s="864"/>
      <c r="G8" s="864"/>
      <c r="H8" s="1188" t="s">
        <v>3</v>
      </c>
      <c r="I8" s="1188"/>
      <c r="J8" s="1188"/>
      <c r="K8" s="1188"/>
    </row>
    <row r="9" spans="1:18" s="387" customFormat="1" ht="14.25">
      <c r="F9" s="865"/>
      <c r="H9" s="397" t="s">
        <v>4</v>
      </c>
      <c r="I9" s="387" t="s">
        <v>133</v>
      </c>
      <c r="J9" s="196"/>
      <c r="K9" s="196"/>
      <c r="L9" s="395"/>
      <c r="M9" s="437"/>
    </row>
    <row r="10" spans="1:18" s="387" customFormat="1">
      <c r="F10" s="865"/>
      <c r="G10" s="404"/>
      <c r="H10" s="392" t="s">
        <v>5</v>
      </c>
      <c r="I10" s="404" t="s">
        <v>3579</v>
      </c>
      <c r="J10" s="250"/>
      <c r="K10" s="196"/>
      <c r="M10" s="392"/>
    </row>
    <row r="11" spans="1:18" s="387" customFormat="1" ht="12.75" customHeight="1">
      <c r="F11" s="864"/>
      <c r="G11" s="768"/>
      <c r="H11" s="392" t="s">
        <v>8</v>
      </c>
      <c r="I11" s="776">
        <v>200000</v>
      </c>
      <c r="J11" s="495"/>
      <c r="K11" s="196"/>
      <c r="M11" s="392"/>
    </row>
    <row r="12" spans="1:18" s="387" customFormat="1">
      <c r="F12" s="864"/>
      <c r="G12" s="404"/>
      <c r="H12" s="392" t="s">
        <v>9</v>
      </c>
      <c r="I12" s="387" t="s">
        <v>254</v>
      </c>
      <c r="J12" s="250"/>
      <c r="K12" s="196"/>
      <c r="L12" s="404"/>
      <c r="M12" s="392"/>
    </row>
    <row r="13" spans="1:18" s="387" customFormat="1">
      <c r="B13" s="718"/>
      <c r="C13" s="718"/>
      <c r="F13" s="864"/>
      <c r="H13" s="392" t="s">
        <v>10</v>
      </c>
      <c r="I13" s="387" t="s">
        <v>255</v>
      </c>
      <c r="J13" s="196"/>
      <c r="K13" s="196"/>
      <c r="M13" s="392"/>
    </row>
    <row r="14" spans="1:18" s="387" customFormat="1">
      <c r="F14" s="864"/>
      <c r="H14" s="392" t="s">
        <v>11</v>
      </c>
      <c r="I14" s="387" t="s">
        <v>3618</v>
      </c>
      <c r="J14" s="196"/>
      <c r="K14" s="196"/>
      <c r="M14" s="392"/>
    </row>
    <row r="15" spans="1:18" s="387" customFormat="1">
      <c r="F15" s="864"/>
      <c r="H15" s="392" t="s">
        <v>12</v>
      </c>
      <c r="I15" s="387" t="s">
        <v>3619</v>
      </c>
      <c r="J15" s="196"/>
      <c r="K15" s="196"/>
      <c r="M15" s="392"/>
    </row>
    <row r="16" spans="1:18" s="387" customFormat="1">
      <c r="F16" s="736"/>
      <c r="H16" s="392" t="s">
        <v>13</v>
      </c>
      <c r="I16" s="387" t="s">
        <v>14</v>
      </c>
      <c r="J16" s="196"/>
      <c r="K16" s="196"/>
      <c r="M16" s="392"/>
    </row>
    <row r="17" spans="1:15" s="387" customFormat="1">
      <c r="F17" s="864"/>
      <c r="I17" s="387" t="s">
        <v>36</v>
      </c>
      <c r="J17" s="196"/>
      <c r="K17" s="196"/>
      <c r="M17" s="392"/>
    </row>
    <row r="18" spans="1:15" s="387" customFormat="1">
      <c r="F18" s="864"/>
      <c r="I18" s="387" t="s">
        <v>37</v>
      </c>
      <c r="J18" s="196"/>
      <c r="K18" s="196"/>
      <c r="M18" s="392"/>
    </row>
    <row r="19" spans="1:15" s="387" customFormat="1">
      <c r="F19" s="864"/>
      <c r="H19" s="392" t="s">
        <v>15</v>
      </c>
      <c r="I19" s="387" t="s">
        <v>38</v>
      </c>
      <c r="J19" s="196"/>
      <c r="K19" s="196"/>
      <c r="M19" s="392"/>
    </row>
    <row r="20" spans="1:15" s="387" customFormat="1">
      <c r="F20" s="864"/>
      <c r="H20" s="392" t="s">
        <v>16</v>
      </c>
      <c r="I20" s="387" t="s">
        <v>39</v>
      </c>
      <c r="J20" s="196"/>
      <c r="K20" s="196"/>
      <c r="M20" s="392"/>
    </row>
    <row r="21" spans="1:15" s="387" customFormat="1">
      <c r="F21" s="864"/>
      <c r="G21" s="404"/>
      <c r="H21" s="392" t="s">
        <v>18</v>
      </c>
      <c r="I21" s="404" t="s">
        <v>111</v>
      </c>
      <c r="J21" s="250"/>
      <c r="K21" s="196"/>
      <c r="L21" s="404"/>
      <c r="M21" s="392"/>
    </row>
    <row r="22" spans="1:15" s="387" customFormat="1">
      <c r="F22" s="864"/>
      <c r="H22" s="392" t="s">
        <v>19</v>
      </c>
      <c r="I22" s="387" t="s">
        <v>3581</v>
      </c>
      <c r="J22" s="196"/>
      <c r="K22" s="196"/>
      <c r="M22" s="392"/>
    </row>
    <row r="23" spans="1:15" s="387" customFormat="1" ht="15.75" customHeight="1">
      <c r="D23" s="1027"/>
      <c r="E23" s="399"/>
      <c r="F23" s="866"/>
      <c r="H23" s="392" t="s">
        <v>20</v>
      </c>
      <c r="I23" s="387" t="s">
        <v>3620</v>
      </c>
      <c r="J23" s="196"/>
      <c r="K23" s="497"/>
      <c r="M23" s="392"/>
    </row>
    <row r="24" spans="1:15" s="387" customFormat="1" ht="12.75" customHeight="1">
      <c r="D24" s="1027"/>
      <c r="E24" s="399"/>
      <c r="F24" s="866"/>
      <c r="H24" s="392" t="s">
        <v>21</v>
      </c>
      <c r="I24" s="387" t="s">
        <v>3621</v>
      </c>
      <c r="J24" s="196"/>
      <c r="K24" s="196"/>
      <c r="M24" s="392"/>
    </row>
    <row r="25" spans="1:15" s="387" customFormat="1" ht="12.75" customHeight="1">
      <c r="D25" s="399"/>
      <c r="E25" s="399"/>
      <c r="F25" s="866"/>
      <c r="H25" s="392" t="s">
        <v>22</v>
      </c>
      <c r="I25" s="387" t="s">
        <v>3622</v>
      </c>
      <c r="J25" s="196"/>
      <c r="K25" s="196"/>
      <c r="M25" s="392"/>
    </row>
    <row r="26" spans="1:15" s="387" customFormat="1" ht="15" thickBot="1">
      <c r="A26" s="1104" t="s">
        <v>23</v>
      </c>
      <c r="B26" s="1187"/>
      <c r="C26" s="1187"/>
      <c r="D26" s="1187"/>
      <c r="E26" s="1187"/>
      <c r="F26" s="1187"/>
      <c r="G26" s="1187"/>
      <c r="H26" s="1187"/>
      <c r="I26" s="1187"/>
      <c r="J26" s="1187"/>
      <c r="K26" s="1187"/>
      <c r="L26" s="1187"/>
      <c r="M26" s="1187"/>
      <c r="N26" s="1187"/>
      <c r="O26" s="1187"/>
    </row>
    <row r="27" spans="1:15" s="387" customFormat="1" ht="14.25">
      <c r="A27" s="1098" t="s">
        <v>73</v>
      </c>
      <c r="B27" s="1099"/>
      <c r="C27" s="1099"/>
      <c r="D27" s="1100"/>
      <c r="E27" s="1101" t="s">
        <v>74</v>
      </c>
      <c r="F27" s="1184"/>
      <c r="G27" s="1184"/>
      <c r="H27" s="1184"/>
      <c r="I27" s="1184"/>
      <c r="J27" s="1185"/>
      <c r="K27" s="1098" t="s">
        <v>75</v>
      </c>
      <c r="L27" s="1099"/>
      <c r="M27" s="1099"/>
      <c r="N27" s="1099"/>
      <c r="O27" s="1100"/>
    </row>
    <row r="28" spans="1:15" s="387" customFormat="1" ht="12.75" customHeight="1">
      <c r="A28" s="1030" t="s">
        <v>160</v>
      </c>
      <c r="B28" s="1031"/>
      <c r="C28" s="1031"/>
      <c r="D28" s="401" t="s">
        <v>161</v>
      </c>
      <c r="E28" s="1030" t="s">
        <v>160</v>
      </c>
      <c r="F28" s="1031"/>
      <c r="G28" s="1031"/>
      <c r="H28" s="1031"/>
      <c r="I28" s="1109" t="s">
        <v>162</v>
      </c>
      <c r="J28" s="1140"/>
      <c r="K28" s="1030" t="s">
        <v>160</v>
      </c>
      <c r="L28" s="1031"/>
      <c r="M28" s="1031"/>
      <c r="N28" s="1110" t="s">
        <v>162</v>
      </c>
      <c r="O28" s="1111"/>
    </row>
    <row r="29" spans="1:15" s="387" customFormat="1" ht="12.75" customHeight="1">
      <c r="A29" s="1030" t="s">
        <v>43</v>
      </c>
      <c r="B29" s="1031"/>
      <c r="C29" s="1031"/>
      <c r="D29" s="402">
        <v>0</v>
      </c>
      <c r="E29" s="1030" t="s">
        <v>43</v>
      </c>
      <c r="F29" s="1031"/>
      <c r="G29" s="1031"/>
      <c r="H29" s="1031"/>
      <c r="I29" s="1105">
        <v>655</v>
      </c>
      <c r="J29" s="1186"/>
      <c r="K29" s="1030" t="s">
        <v>43</v>
      </c>
      <c r="L29" s="1031"/>
      <c r="M29" s="1031"/>
      <c r="N29" s="1107">
        <v>786</v>
      </c>
      <c r="O29" s="1108"/>
    </row>
    <row r="30" spans="1:15" s="387" customFormat="1" ht="12.75" customHeight="1">
      <c r="A30" s="1030" t="s">
        <v>164</v>
      </c>
      <c r="B30" s="1031"/>
      <c r="C30" s="1031"/>
      <c r="D30" s="401" t="s">
        <v>165</v>
      </c>
      <c r="E30" s="1030" t="s">
        <v>164</v>
      </c>
      <c r="F30" s="1031"/>
      <c r="G30" s="1031"/>
      <c r="H30" s="1031"/>
      <c r="I30" s="1109" t="s">
        <v>76</v>
      </c>
      <c r="J30" s="1140"/>
      <c r="K30" s="1030" t="s">
        <v>164</v>
      </c>
      <c r="L30" s="1031"/>
      <c r="M30" s="1031"/>
      <c r="N30" s="1110" t="s">
        <v>77</v>
      </c>
      <c r="O30" s="1111"/>
    </row>
    <row r="31" spans="1:15" s="387" customFormat="1" ht="12.75" customHeight="1" thickBot="1">
      <c r="A31" s="1035" t="s">
        <v>46</v>
      </c>
      <c r="B31" s="1036"/>
      <c r="C31" s="1036"/>
      <c r="D31" s="403" t="s">
        <v>3549</v>
      </c>
      <c r="E31" s="1035" t="s">
        <v>47</v>
      </c>
      <c r="F31" s="1036"/>
      <c r="G31" s="1036"/>
      <c r="H31" s="1036"/>
      <c r="I31" s="1112" t="s">
        <v>140</v>
      </c>
      <c r="J31" s="1138"/>
      <c r="K31" s="1035" t="s">
        <v>166</v>
      </c>
      <c r="L31" s="1036"/>
      <c r="M31" s="1036"/>
      <c r="N31" s="1114" t="s">
        <v>140</v>
      </c>
      <c r="O31" s="1115"/>
    </row>
    <row r="32" spans="1:15" s="387" customFormat="1" ht="12.75" customHeight="1">
      <c r="A32" s="767"/>
      <c r="B32" s="378"/>
      <c r="C32" s="378"/>
      <c r="E32" s="767"/>
      <c r="F32" s="378"/>
      <c r="I32" s="767"/>
      <c r="J32" s="378"/>
      <c r="M32" s="867"/>
    </row>
    <row r="33" spans="1:16" s="387" customFormat="1" ht="12.75" customHeight="1">
      <c r="B33" s="797"/>
      <c r="C33" s="797"/>
      <c r="D33" s="399"/>
      <c r="E33" s="399"/>
      <c r="F33" s="866"/>
      <c r="G33" s="866"/>
      <c r="H33" s="405"/>
      <c r="I33" s="1086"/>
      <c r="J33" s="1086"/>
      <c r="K33" s="1086"/>
      <c r="L33" s="617"/>
      <c r="M33" s="392"/>
    </row>
    <row r="34" spans="1:16" s="387" customFormat="1" ht="12.75" customHeight="1" thickBot="1">
      <c r="B34" s="404"/>
      <c r="C34" s="404"/>
      <c r="D34" s="1039"/>
      <c r="E34" s="1039"/>
      <c r="F34" s="1039"/>
      <c r="G34" s="1039"/>
      <c r="H34" s="1039"/>
      <c r="I34" s="1086"/>
      <c r="J34" s="1086"/>
      <c r="K34" s="1086"/>
      <c r="L34" s="617"/>
      <c r="M34" s="392"/>
    </row>
    <row r="35" spans="1:16" s="387" customFormat="1" ht="15.75" customHeight="1" thickBot="1">
      <c r="F35" s="1088" t="s">
        <v>167</v>
      </c>
      <c r="G35" s="1041"/>
      <c r="H35" s="1042" t="s">
        <v>168</v>
      </c>
      <c r="I35" s="1043"/>
      <c r="J35" s="1116"/>
      <c r="K35" s="1116"/>
      <c r="L35" s="1044"/>
      <c r="M35" s="1044"/>
      <c r="N35" s="1044"/>
      <c r="O35" s="1045"/>
    </row>
    <row r="36" spans="1:16" s="413" customFormat="1" ht="52.5" customHeight="1" thickBot="1">
      <c r="A36" s="411" t="s">
        <v>122</v>
      </c>
      <c r="B36" s="412" t="s">
        <v>169</v>
      </c>
      <c r="C36" s="412" t="s">
        <v>170</v>
      </c>
      <c r="D36" s="412" t="s">
        <v>171</v>
      </c>
      <c r="E36" s="412" t="s">
        <v>172</v>
      </c>
      <c r="F36" s="868" t="s">
        <v>173</v>
      </c>
      <c r="G36" s="412" t="s">
        <v>174</v>
      </c>
      <c r="H36" s="412" t="s">
        <v>175</v>
      </c>
      <c r="I36" s="412" t="s">
        <v>174</v>
      </c>
      <c r="J36" s="412" t="s">
        <v>176</v>
      </c>
      <c r="K36" s="412" t="s">
        <v>174</v>
      </c>
      <c r="L36" s="412" t="s">
        <v>177</v>
      </c>
      <c r="M36" s="411" t="s">
        <v>174</v>
      </c>
      <c r="N36" s="412" t="s">
        <v>178</v>
      </c>
      <c r="O36" s="411" t="s">
        <v>174</v>
      </c>
    </row>
    <row r="37" spans="1:16" s="777" customFormat="1" ht="41.25" thickBot="1">
      <c r="A37" s="1046">
        <v>12</v>
      </c>
      <c r="B37" s="1046"/>
      <c r="C37" s="498" t="s">
        <v>4448</v>
      </c>
      <c r="D37" s="499" t="s">
        <v>4449</v>
      </c>
      <c r="E37" s="500">
        <v>14738</v>
      </c>
      <c r="F37" s="416">
        <f>SUM(E37:E39)*(1-77%)</f>
        <v>3471.85</v>
      </c>
      <c r="G37" s="1050">
        <f>F37*B37</f>
        <v>0</v>
      </c>
      <c r="H37" s="416">
        <f>F37*0.0832</f>
        <v>288.85791999999998</v>
      </c>
      <c r="I37" s="1050">
        <f>H37*B37</f>
        <v>0</v>
      </c>
      <c r="J37" s="416">
        <f>F37*0.0313</f>
        <v>108.668905</v>
      </c>
      <c r="K37" s="1050">
        <f>J37*B37</f>
        <v>0</v>
      </c>
      <c r="L37" s="417">
        <f>F37*0.0256</f>
        <v>88.879360000000005</v>
      </c>
      <c r="M37" s="1050">
        <f>L37*B37</f>
        <v>0</v>
      </c>
      <c r="N37" s="417">
        <f>F37*0.0213</f>
        <v>73.950404999999989</v>
      </c>
      <c r="O37" s="1050">
        <f>N37*B37</f>
        <v>0</v>
      </c>
      <c r="P37" s="869"/>
    </row>
    <row r="38" spans="1:16" s="729" customFormat="1" ht="13.5" thickBot="1">
      <c r="A38" s="1137"/>
      <c r="B38" s="1137"/>
      <c r="C38" s="419" t="s">
        <v>714</v>
      </c>
      <c r="D38" s="795" t="s">
        <v>670</v>
      </c>
      <c r="E38" s="693">
        <v>282</v>
      </c>
      <c r="F38" s="423" t="s">
        <v>162</v>
      </c>
      <c r="G38" s="1189"/>
      <c r="H38" s="423" t="s">
        <v>162</v>
      </c>
      <c r="I38" s="1189"/>
      <c r="J38" s="423" t="s">
        <v>162</v>
      </c>
      <c r="K38" s="1189"/>
      <c r="L38" s="423" t="s">
        <v>162</v>
      </c>
      <c r="M38" s="1137"/>
      <c r="N38" s="423" t="s">
        <v>162</v>
      </c>
      <c r="O38" s="1137"/>
    </row>
    <row r="39" spans="1:16" s="729" customFormat="1" ht="13.5" customHeight="1" thickBot="1">
      <c r="A39" s="1049"/>
      <c r="B39" s="1049"/>
      <c r="C39" s="764" t="s">
        <v>179</v>
      </c>
      <c r="D39" s="795" t="s">
        <v>180</v>
      </c>
      <c r="E39" s="693">
        <v>75</v>
      </c>
      <c r="F39" s="423" t="s">
        <v>162</v>
      </c>
      <c r="G39" s="1190"/>
      <c r="H39" s="423" t="s">
        <v>162</v>
      </c>
      <c r="I39" s="1190"/>
      <c r="J39" s="423" t="s">
        <v>162</v>
      </c>
      <c r="K39" s="1190"/>
      <c r="L39" s="423" t="s">
        <v>162</v>
      </c>
      <c r="M39" s="1137"/>
      <c r="N39" s="423" t="s">
        <v>162</v>
      </c>
      <c r="O39" s="1182"/>
    </row>
    <row r="40" spans="1:16" s="729" customFormat="1" ht="13.5" thickBot="1">
      <c r="A40" s="870"/>
      <c r="B40" s="430"/>
      <c r="C40" s="765"/>
      <c r="D40" s="757"/>
      <c r="E40" s="784"/>
      <c r="F40" s="57"/>
      <c r="G40" s="55"/>
      <c r="H40" s="57"/>
      <c r="I40" s="55"/>
      <c r="J40" s="57"/>
      <c r="K40" s="56"/>
      <c r="L40" s="842"/>
      <c r="M40" s="841"/>
      <c r="N40" s="841"/>
      <c r="O40" s="840"/>
    </row>
    <row r="41" spans="1:16" s="777" customFormat="1" ht="41.25" thickBot="1">
      <c r="A41" s="1046" t="s">
        <v>79</v>
      </c>
      <c r="B41" s="1046"/>
      <c r="C41" s="498" t="s">
        <v>4448</v>
      </c>
      <c r="D41" s="499" t="s">
        <v>4449</v>
      </c>
      <c r="E41" s="500">
        <v>14738</v>
      </c>
      <c r="F41" s="416">
        <f>SUM(E41:E43)*(1-77%)</f>
        <v>3471.85</v>
      </c>
      <c r="G41" s="1062">
        <f>F41*B41</f>
        <v>0</v>
      </c>
      <c r="H41" s="50">
        <f>F41*0.0832+I29/12</f>
        <v>343.44125333333329</v>
      </c>
      <c r="I41" s="1062">
        <f>H41*B41</f>
        <v>0</v>
      </c>
      <c r="J41" s="50">
        <f>F41*0.0313+I29/12</f>
        <v>163.25223833333334</v>
      </c>
      <c r="K41" s="1062">
        <f>J41*B41</f>
        <v>0</v>
      </c>
      <c r="L41" s="51">
        <f>F41*0.0256+I29/12</f>
        <v>143.46269333333333</v>
      </c>
      <c r="M41" s="1062">
        <f>L41*B41</f>
        <v>0</v>
      </c>
      <c r="N41" s="51">
        <f>F41*0.0213+I29/12</f>
        <v>128.53373833333333</v>
      </c>
      <c r="O41" s="1062">
        <f>N41*B41</f>
        <v>0</v>
      </c>
      <c r="P41" s="869"/>
    </row>
    <row r="42" spans="1:16" s="729" customFormat="1" ht="13.5" thickBot="1">
      <c r="A42" s="1137"/>
      <c r="B42" s="1137"/>
      <c r="C42" s="419" t="s">
        <v>714</v>
      </c>
      <c r="D42" s="795" t="s">
        <v>670</v>
      </c>
      <c r="E42" s="693">
        <v>282</v>
      </c>
      <c r="F42" s="53" t="s">
        <v>162</v>
      </c>
      <c r="G42" s="1137"/>
      <c r="H42" s="423" t="s">
        <v>162</v>
      </c>
      <c r="I42" s="1137"/>
      <c r="J42" s="423" t="s">
        <v>162</v>
      </c>
      <c r="K42" s="1137"/>
      <c r="L42" s="423" t="s">
        <v>162</v>
      </c>
      <c r="M42" s="1137"/>
      <c r="N42" s="423" t="s">
        <v>162</v>
      </c>
      <c r="O42" s="1137"/>
    </row>
    <row r="43" spans="1:16" s="729" customFormat="1" ht="13.5" thickBot="1">
      <c r="A43" s="1049"/>
      <c r="B43" s="1049"/>
      <c r="C43" s="764" t="s">
        <v>179</v>
      </c>
      <c r="D43" s="795" t="s">
        <v>180</v>
      </c>
      <c r="E43" s="693">
        <v>75</v>
      </c>
      <c r="F43" s="53" t="s">
        <v>162</v>
      </c>
      <c r="G43" s="1118"/>
      <c r="H43" s="53" t="s">
        <v>162</v>
      </c>
      <c r="I43" s="1118"/>
      <c r="J43" s="53" t="s">
        <v>162</v>
      </c>
      <c r="K43" s="1118"/>
      <c r="L43" s="53" t="s">
        <v>162</v>
      </c>
      <c r="M43" s="1117"/>
      <c r="N43" s="53" t="s">
        <v>162</v>
      </c>
      <c r="O43" s="1127"/>
    </row>
    <row r="44" spans="1:16" s="729" customFormat="1" ht="13.5" thickBot="1">
      <c r="A44" s="870"/>
      <c r="B44" s="430"/>
      <c r="C44" s="765"/>
      <c r="D44" s="757"/>
      <c r="E44" s="784"/>
      <c r="F44" s="436"/>
      <c r="G44" s="55"/>
      <c r="H44" s="57"/>
      <c r="I44" s="55"/>
      <c r="J44" s="57"/>
      <c r="K44" s="56"/>
      <c r="L44" s="842"/>
      <c r="M44" s="841"/>
      <c r="N44" s="841"/>
      <c r="O44" s="840"/>
    </row>
    <row r="45" spans="1:16" s="777" customFormat="1" ht="41.25" thickBot="1">
      <c r="A45" s="1046" t="s">
        <v>80</v>
      </c>
      <c r="B45" s="1046"/>
      <c r="C45" s="498" t="s">
        <v>4448</v>
      </c>
      <c r="D45" s="499" t="s">
        <v>4449</v>
      </c>
      <c r="E45" s="500">
        <v>14738</v>
      </c>
      <c r="F45" s="416">
        <f>SUM(E45:E47)*(1-77%)</f>
        <v>3471.85</v>
      </c>
      <c r="G45" s="1050">
        <f>F45*B45</f>
        <v>0</v>
      </c>
      <c r="H45" s="416">
        <f>F45*0.0832+N29/12</f>
        <v>354.35791999999998</v>
      </c>
      <c r="I45" s="1050">
        <f>H45*B45</f>
        <v>0</v>
      </c>
      <c r="J45" s="416">
        <f>F45*0.0313+N29/12</f>
        <v>174.168905</v>
      </c>
      <c r="K45" s="1050">
        <f>J45*B45</f>
        <v>0</v>
      </c>
      <c r="L45" s="417">
        <f>F45*0.0256+N29/12</f>
        <v>154.37936000000002</v>
      </c>
      <c r="M45" s="1050">
        <f>L45*B45</f>
        <v>0</v>
      </c>
      <c r="N45" s="417">
        <f>F45*0.0213+N29/12</f>
        <v>139.45040499999999</v>
      </c>
      <c r="O45" s="1050">
        <f>N45*B45</f>
        <v>0</v>
      </c>
      <c r="P45" s="869"/>
    </row>
    <row r="46" spans="1:16" s="729" customFormat="1" ht="13.5" thickBot="1">
      <c r="A46" s="1137"/>
      <c r="B46" s="1137"/>
      <c r="C46" s="419" t="s">
        <v>714</v>
      </c>
      <c r="D46" s="795" t="s">
        <v>670</v>
      </c>
      <c r="E46" s="693">
        <v>282</v>
      </c>
      <c r="F46" s="53" t="s">
        <v>162</v>
      </c>
      <c r="G46" s="1117"/>
      <c r="H46" s="53" t="s">
        <v>162</v>
      </c>
      <c r="I46" s="1117"/>
      <c r="J46" s="53" t="s">
        <v>162</v>
      </c>
      <c r="K46" s="1117"/>
      <c r="L46" s="53" t="s">
        <v>162</v>
      </c>
      <c r="M46" s="1117"/>
      <c r="N46" s="53" t="s">
        <v>162</v>
      </c>
      <c r="O46" s="1117"/>
    </row>
    <row r="47" spans="1:16" s="729" customFormat="1" ht="13.5" thickBot="1">
      <c r="A47" s="1137"/>
      <c r="B47" s="1137"/>
      <c r="C47" s="764" t="s">
        <v>179</v>
      </c>
      <c r="D47" s="795" t="s">
        <v>180</v>
      </c>
      <c r="E47" s="693">
        <v>75</v>
      </c>
      <c r="F47" s="53" t="s">
        <v>162</v>
      </c>
      <c r="G47" s="1117"/>
      <c r="H47" s="828" t="s">
        <v>162</v>
      </c>
      <c r="I47" s="1117"/>
      <c r="J47" s="828" t="s">
        <v>162</v>
      </c>
      <c r="K47" s="1117"/>
      <c r="L47" s="828" t="s">
        <v>162</v>
      </c>
      <c r="M47" s="1117"/>
      <c r="N47" s="828" t="s">
        <v>162</v>
      </c>
      <c r="O47" s="1127"/>
    </row>
    <row r="48" spans="1:16" s="729" customFormat="1" ht="13.5" customHeight="1" thickBot="1">
      <c r="A48" s="1054" t="s">
        <v>182</v>
      </c>
      <c r="B48" s="1044"/>
      <c r="C48" s="1044"/>
      <c r="D48" s="1044"/>
      <c r="E48" s="1044"/>
      <c r="F48" s="1055"/>
      <c r="G48" s="1055"/>
      <c r="H48" s="1055"/>
      <c r="I48" s="1055"/>
      <c r="J48" s="1055"/>
      <c r="K48" s="1055"/>
      <c r="L48" s="1055"/>
      <c r="M48" s="1055"/>
      <c r="N48" s="1055"/>
      <c r="O48" s="1056"/>
    </row>
    <row r="49" spans="1:16" s="729" customFormat="1" ht="13.5" thickBot="1">
      <c r="A49" s="1191"/>
      <c r="B49" s="441"/>
      <c r="C49" s="871" t="s">
        <v>209</v>
      </c>
      <c r="D49" s="420" t="s">
        <v>66</v>
      </c>
      <c r="E49" s="693">
        <v>975.85567010309285</v>
      </c>
      <c r="F49" s="693">
        <f t="shared" ref="F49:F101" si="0">E49*(1-40%)</f>
        <v>585.51340206185569</v>
      </c>
      <c r="G49" s="787">
        <f t="shared" ref="G49:G101" si="1">F49*B49</f>
        <v>0</v>
      </c>
      <c r="H49" s="787">
        <f t="shared" ref="H49:H101" si="2">F49*0.0832</f>
        <v>48.714715051546392</v>
      </c>
      <c r="I49" s="787">
        <f t="shared" ref="I49:I101" si="3">H49*B49</f>
        <v>0</v>
      </c>
      <c r="J49" s="787">
        <f t="shared" ref="J49:J101" si="4">F49*0.0313</f>
        <v>18.326569484536083</v>
      </c>
      <c r="K49" s="787">
        <f t="shared" ref="K49:K101" si="5">J49*B49</f>
        <v>0</v>
      </c>
      <c r="L49" s="787">
        <f t="shared" ref="L49:L101" si="6">F49*0.0256</f>
        <v>14.989143092783506</v>
      </c>
      <c r="M49" s="787">
        <f t="shared" ref="M49:M101" si="7">L49*B49</f>
        <v>0</v>
      </c>
      <c r="N49" s="787">
        <f t="shared" ref="N49:N101" si="8">F49*0.0213</f>
        <v>12.471435463917526</v>
      </c>
      <c r="O49" s="787">
        <f t="shared" ref="O49:O101" si="9">N49*B49</f>
        <v>0</v>
      </c>
      <c r="P49" s="872"/>
    </row>
    <row r="50" spans="1:16" s="729" customFormat="1" ht="13.5" thickBot="1">
      <c r="A50" s="1192"/>
      <c r="B50" s="441"/>
      <c r="C50" s="419" t="s">
        <v>486</v>
      </c>
      <c r="D50" s="420" t="s">
        <v>671</v>
      </c>
      <c r="E50" s="693">
        <v>134.01030927835052</v>
      </c>
      <c r="F50" s="693">
        <f t="shared" si="0"/>
        <v>80.406185567010311</v>
      </c>
      <c r="G50" s="786">
        <f t="shared" si="1"/>
        <v>0</v>
      </c>
      <c r="H50" s="787">
        <f t="shared" si="2"/>
        <v>6.6897946391752576</v>
      </c>
      <c r="I50" s="787">
        <f t="shared" si="3"/>
        <v>0</v>
      </c>
      <c r="J50" s="787">
        <f t="shared" si="4"/>
        <v>2.5167136082474229</v>
      </c>
      <c r="K50" s="787">
        <f t="shared" si="5"/>
        <v>0</v>
      </c>
      <c r="L50" s="787">
        <f t="shared" si="6"/>
        <v>2.0583983505154642</v>
      </c>
      <c r="M50" s="787">
        <f t="shared" si="7"/>
        <v>0</v>
      </c>
      <c r="N50" s="787">
        <f t="shared" si="8"/>
        <v>1.7126517525773195</v>
      </c>
      <c r="O50" s="787">
        <f t="shared" si="9"/>
        <v>0</v>
      </c>
      <c r="P50" s="872"/>
    </row>
    <row r="51" spans="1:16" s="437" customFormat="1" ht="26.25" thickBot="1">
      <c r="A51" s="1192"/>
      <c r="B51" s="805"/>
      <c r="C51" s="695" t="s">
        <v>3491</v>
      </c>
      <c r="D51" s="697" t="s">
        <v>3568</v>
      </c>
      <c r="E51" s="525">
        <v>411.34020618556701</v>
      </c>
      <c r="F51" s="693">
        <f t="shared" si="0"/>
        <v>246.8041237113402</v>
      </c>
      <c r="G51" s="786">
        <f t="shared" si="1"/>
        <v>0</v>
      </c>
      <c r="H51" s="787">
        <f t="shared" si="2"/>
        <v>20.534103092783504</v>
      </c>
      <c r="I51" s="787">
        <f t="shared" si="3"/>
        <v>0</v>
      </c>
      <c r="J51" s="787">
        <f t="shared" si="4"/>
        <v>7.7249690721649484</v>
      </c>
      <c r="K51" s="787">
        <f t="shared" si="5"/>
        <v>0</v>
      </c>
      <c r="L51" s="787">
        <f t="shared" si="6"/>
        <v>6.3181855670103095</v>
      </c>
      <c r="M51" s="787">
        <f t="shared" si="7"/>
        <v>0</v>
      </c>
      <c r="N51" s="787">
        <f t="shared" si="8"/>
        <v>5.2569278350515463</v>
      </c>
      <c r="O51" s="787">
        <f t="shared" si="9"/>
        <v>0</v>
      </c>
      <c r="P51" s="872"/>
    </row>
    <row r="52" spans="1:16" s="437" customFormat="1" ht="13.5" thickBot="1">
      <c r="A52" s="1192"/>
      <c r="B52" s="441"/>
      <c r="C52" s="871" t="s">
        <v>3577</v>
      </c>
      <c r="D52" s="420" t="s">
        <v>720</v>
      </c>
      <c r="E52" s="693">
        <v>257.73195876288662</v>
      </c>
      <c r="F52" s="693">
        <f t="shared" si="0"/>
        <v>154.63917525773198</v>
      </c>
      <c r="G52" s="786">
        <f t="shared" si="1"/>
        <v>0</v>
      </c>
      <c r="H52" s="787">
        <f t="shared" si="2"/>
        <v>12.865979381443299</v>
      </c>
      <c r="I52" s="787">
        <f t="shared" si="3"/>
        <v>0</v>
      </c>
      <c r="J52" s="787">
        <f t="shared" si="4"/>
        <v>4.8402061855670109</v>
      </c>
      <c r="K52" s="787">
        <f t="shared" si="5"/>
        <v>0</v>
      </c>
      <c r="L52" s="787">
        <f t="shared" si="6"/>
        <v>3.9587628865979387</v>
      </c>
      <c r="M52" s="787">
        <f t="shared" si="7"/>
        <v>0</v>
      </c>
      <c r="N52" s="787">
        <f t="shared" si="8"/>
        <v>3.293814432989691</v>
      </c>
      <c r="O52" s="787">
        <f t="shared" si="9"/>
        <v>0</v>
      </c>
      <c r="P52" s="872"/>
    </row>
    <row r="53" spans="1:16" s="437" customFormat="1" ht="13.5" thickBot="1">
      <c r="A53" s="1192"/>
      <c r="B53" s="441"/>
      <c r="C53" s="419" t="s">
        <v>3578</v>
      </c>
      <c r="D53" s="420" t="s">
        <v>3593</v>
      </c>
      <c r="E53" s="693">
        <v>412.37113402061857</v>
      </c>
      <c r="F53" s="693">
        <f t="shared" si="0"/>
        <v>247.42268041237114</v>
      </c>
      <c r="G53" s="786">
        <f t="shared" si="1"/>
        <v>0</v>
      </c>
      <c r="H53" s="787">
        <f t="shared" si="2"/>
        <v>20.585567010309276</v>
      </c>
      <c r="I53" s="787">
        <f t="shared" si="3"/>
        <v>0</v>
      </c>
      <c r="J53" s="787">
        <f t="shared" si="4"/>
        <v>7.7443298969072165</v>
      </c>
      <c r="K53" s="787">
        <f t="shared" si="5"/>
        <v>0</v>
      </c>
      <c r="L53" s="787">
        <f t="shared" si="6"/>
        <v>6.3340206185567016</v>
      </c>
      <c r="M53" s="787">
        <f t="shared" si="7"/>
        <v>0</v>
      </c>
      <c r="N53" s="787">
        <f t="shared" si="8"/>
        <v>5.2701030927835051</v>
      </c>
      <c r="O53" s="787">
        <f t="shared" si="9"/>
        <v>0</v>
      </c>
      <c r="P53" s="872"/>
    </row>
    <row r="54" spans="1:16" s="437" customFormat="1" ht="13.5" thickBot="1">
      <c r="A54" s="1192"/>
      <c r="B54" s="441"/>
      <c r="C54" s="419" t="s">
        <v>690</v>
      </c>
      <c r="D54" s="420" t="s">
        <v>721</v>
      </c>
      <c r="E54" s="693">
        <v>514.43298969072168</v>
      </c>
      <c r="F54" s="693">
        <f t="shared" si="0"/>
        <v>308.65979381443299</v>
      </c>
      <c r="G54" s="786">
        <f t="shared" si="1"/>
        <v>0</v>
      </c>
      <c r="H54" s="787">
        <f t="shared" si="2"/>
        <v>25.680494845360823</v>
      </c>
      <c r="I54" s="787">
        <f t="shared" si="3"/>
        <v>0</v>
      </c>
      <c r="J54" s="787">
        <f t="shared" si="4"/>
        <v>9.6610515463917537</v>
      </c>
      <c r="K54" s="787">
        <f t="shared" si="5"/>
        <v>0</v>
      </c>
      <c r="L54" s="787">
        <f t="shared" si="6"/>
        <v>7.9016907216494845</v>
      </c>
      <c r="M54" s="787">
        <f t="shared" si="7"/>
        <v>0</v>
      </c>
      <c r="N54" s="787">
        <f t="shared" si="8"/>
        <v>6.5744536082474223</v>
      </c>
      <c r="O54" s="787">
        <f t="shared" si="9"/>
        <v>0</v>
      </c>
      <c r="P54" s="872"/>
    </row>
    <row r="55" spans="1:16" s="437" customFormat="1" ht="13.5" thickBot="1">
      <c r="A55" s="1192"/>
      <c r="B55" s="441"/>
      <c r="C55" s="419" t="s">
        <v>484</v>
      </c>
      <c r="D55" s="420" t="s">
        <v>409</v>
      </c>
      <c r="E55" s="693">
        <v>206.18556701030928</v>
      </c>
      <c r="F55" s="693">
        <f t="shared" si="0"/>
        <v>123.71134020618557</v>
      </c>
      <c r="G55" s="786">
        <f t="shared" si="1"/>
        <v>0</v>
      </c>
      <c r="H55" s="787">
        <f t="shared" si="2"/>
        <v>10.292783505154638</v>
      </c>
      <c r="I55" s="787">
        <f t="shared" si="3"/>
        <v>0</v>
      </c>
      <c r="J55" s="787">
        <f t="shared" si="4"/>
        <v>3.8721649484536083</v>
      </c>
      <c r="K55" s="787">
        <f t="shared" si="5"/>
        <v>0</v>
      </c>
      <c r="L55" s="787">
        <f t="shared" si="6"/>
        <v>3.1670103092783508</v>
      </c>
      <c r="M55" s="787">
        <f t="shared" si="7"/>
        <v>0</v>
      </c>
      <c r="N55" s="787">
        <f t="shared" si="8"/>
        <v>2.6350515463917525</v>
      </c>
      <c r="O55" s="787">
        <f t="shared" si="9"/>
        <v>0</v>
      </c>
      <c r="P55" s="872"/>
    </row>
    <row r="56" spans="1:16" s="437" customFormat="1" ht="26.25" thickBot="1">
      <c r="A56" s="1192"/>
      <c r="B56" s="441"/>
      <c r="C56" s="419" t="s">
        <v>485</v>
      </c>
      <c r="D56" s="420" t="s">
        <v>3511</v>
      </c>
      <c r="E56" s="693">
        <v>287.62886597938143</v>
      </c>
      <c r="F56" s="693">
        <f t="shared" si="0"/>
        <v>172.57731958762886</v>
      </c>
      <c r="G56" s="786">
        <f t="shared" si="1"/>
        <v>0</v>
      </c>
      <c r="H56" s="787">
        <f t="shared" si="2"/>
        <v>14.358432989690721</v>
      </c>
      <c r="I56" s="787">
        <f t="shared" si="3"/>
        <v>0</v>
      </c>
      <c r="J56" s="787">
        <f t="shared" si="4"/>
        <v>5.4016701030927834</v>
      </c>
      <c r="K56" s="787">
        <f t="shared" si="5"/>
        <v>0</v>
      </c>
      <c r="L56" s="787">
        <f t="shared" si="6"/>
        <v>4.417979381443299</v>
      </c>
      <c r="M56" s="787">
        <f t="shared" si="7"/>
        <v>0</v>
      </c>
      <c r="N56" s="787">
        <f t="shared" si="8"/>
        <v>3.6758969072164946</v>
      </c>
      <c r="O56" s="787">
        <f t="shared" si="9"/>
        <v>0</v>
      </c>
      <c r="P56" s="872"/>
    </row>
    <row r="57" spans="1:16" s="437" customFormat="1" ht="13.5" thickBot="1">
      <c r="A57" s="1192"/>
      <c r="B57" s="441"/>
      <c r="C57" s="871" t="s">
        <v>3489</v>
      </c>
      <c r="D57" s="420" t="s">
        <v>3564</v>
      </c>
      <c r="E57" s="693">
        <v>875.25773195876286</v>
      </c>
      <c r="F57" s="693">
        <f t="shared" si="0"/>
        <v>525.15463917525767</v>
      </c>
      <c r="G57" s="786">
        <f t="shared" si="1"/>
        <v>0</v>
      </c>
      <c r="H57" s="787">
        <f t="shared" si="2"/>
        <v>43.692865979381438</v>
      </c>
      <c r="I57" s="787">
        <f t="shared" si="3"/>
        <v>0</v>
      </c>
      <c r="J57" s="787">
        <f t="shared" si="4"/>
        <v>16.437340206185567</v>
      </c>
      <c r="K57" s="787">
        <f t="shared" si="5"/>
        <v>0</v>
      </c>
      <c r="L57" s="787">
        <f t="shared" si="6"/>
        <v>13.443958762886597</v>
      </c>
      <c r="M57" s="787">
        <f t="shared" si="7"/>
        <v>0</v>
      </c>
      <c r="N57" s="787">
        <f t="shared" si="8"/>
        <v>11.185793814432989</v>
      </c>
      <c r="O57" s="787">
        <f t="shared" si="9"/>
        <v>0</v>
      </c>
      <c r="P57" s="872"/>
    </row>
    <row r="58" spans="1:16" s="437" customFormat="1" ht="26.25" thickBot="1">
      <c r="A58" s="1192"/>
      <c r="B58" s="441"/>
      <c r="C58" s="419" t="s">
        <v>586</v>
      </c>
      <c r="D58" s="420" t="s">
        <v>3567</v>
      </c>
      <c r="E58" s="693">
        <v>453.60824742268045</v>
      </c>
      <c r="F58" s="693">
        <f t="shared" si="0"/>
        <v>272.16494845360825</v>
      </c>
      <c r="G58" s="786">
        <f t="shared" si="1"/>
        <v>0</v>
      </c>
      <c r="H58" s="787">
        <f t="shared" si="2"/>
        <v>22.644123711340207</v>
      </c>
      <c r="I58" s="787">
        <f t="shared" si="3"/>
        <v>0</v>
      </c>
      <c r="J58" s="787">
        <f t="shared" si="4"/>
        <v>8.5187628865979388</v>
      </c>
      <c r="K58" s="787">
        <f t="shared" si="5"/>
        <v>0</v>
      </c>
      <c r="L58" s="787">
        <f t="shared" si="6"/>
        <v>6.9674226804123718</v>
      </c>
      <c r="M58" s="787">
        <f t="shared" si="7"/>
        <v>0</v>
      </c>
      <c r="N58" s="787">
        <f t="shared" si="8"/>
        <v>5.7971134020618553</v>
      </c>
      <c r="O58" s="787">
        <f t="shared" si="9"/>
        <v>0</v>
      </c>
      <c r="P58" s="872"/>
    </row>
    <row r="59" spans="1:16" s="437" customFormat="1" ht="13.5" thickBot="1">
      <c r="A59" s="1192"/>
      <c r="B59" s="805"/>
      <c r="C59" s="873" t="s">
        <v>3490</v>
      </c>
      <c r="D59" s="697" t="s">
        <v>723</v>
      </c>
      <c r="E59" s="525">
        <v>229.48453608247422</v>
      </c>
      <c r="F59" s="693">
        <f t="shared" si="0"/>
        <v>137.69072164948452</v>
      </c>
      <c r="G59" s="786">
        <f t="shared" si="1"/>
        <v>0</v>
      </c>
      <c r="H59" s="787">
        <f t="shared" si="2"/>
        <v>11.45586804123711</v>
      </c>
      <c r="I59" s="787">
        <f t="shared" si="3"/>
        <v>0</v>
      </c>
      <c r="J59" s="787">
        <f t="shared" si="4"/>
        <v>4.3097195876288659</v>
      </c>
      <c r="K59" s="787">
        <f t="shared" si="5"/>
        <v>0</v>
      </c>
      <c r="L59" s="787">
        <f t="shared" si="6"/>
        <v>3.5248824742268039</v>
      </c>
      <c r="M59" s="787">
        <f t="shared" si="7"/>
        <v>0</v>
      </c>
      <c r="N59" s="787">
        <f t="shared" si="8"/>
        <v>2.9328123711340202</v>
      </c>
      <c r="O59" s="787">
        <f t="shared" si="9"/>
        <v>0</v>
      </c>
      <c r="P59" s="872"/>
    </row>
    <row r="60" spans="1:16" s="437" customFormat="1" ht="26.25" thickBot="1">
      <c r="A60" s="1192"/>
      <c r="B60" s="441"/>
      <c r="C60" s="785" t="s">
        <v>490</v>
      </c>
      <c r="D60" s="420" t="s">
        <v>3505</v>
      </c>
      <c r="E60" s="693">
        <v>1103.0927835051546</v>
      </c>
      <c r="F60" s="814">
        <f t="shared" si="0"/>
        <v>661.85567010309273</v>
      </c>
      <c r="G60" s="527">
        <f t="shared" si="1"/>
        <v>0</v>
      </c>
      <c r="H60" s="528">
        <f t="shared" si="2"/>
        <v>55.06639175257731</v>
      </c>
      <c r="I60" s="528">
        <f t="shared" si="3"/>
        <v>0</v>
      </c>
      <c r="J60" s="528">
        <f t="shared" si="4"/>
        <v>20.716082474226802</v>
      </c>
      <c r="K60" s="528">
        <f t="shared" si="5"/>
        <v>0</v>
      </c>
      <c r="L60" s="528">
        <f t="shared" si="6"/>
        <v>16.943505154639176</v>
      </c>
      <c r="M60" s="528">
        <f t="shared" si="7"/>
        <v>0</v>
      </c>
      <c r="N60" s="528">
        <f t="shared" si="8"/>
        <v>14.097525773195875</v>
      </c>
      <c r="O60" s="528">
        <f t="shared" si="9"/>
        <v>0</v>
      </c>
      <c r="P60" s="872"/>
    </row>
    <row r="61" spans="1:16" s="437" customFormat="1" ht="13.5" thickBot="1">
      <c r="A61" s="1192"/>
      <c r="B61" s="441"/>
      <c r="C61" s="419" t="s">
        <v>455</v>
      </c>
      <c r="D61" s="420" t="s">
        <v>3506</v>
      </c>
      <c r="E61" s="693">
        <v>1101.5257731958764</v>
      </c>
      <c r="F61" s="693">
        <f t="shared" si="0"/>
        <v>660.91546391752581</v>
      </c>
      <c r="G61" s="527">
        <f t="shared" si="1"/>
        <v>0</v>
      </c>
      <c r="H61" s="787">
        <f t="shared" si="2"/>
        <v>54.988166597938147</v>
      </c>
      <c r="I61" s="528">
        <f t="shared" si="3"/>
        <v>0</v>
      </c>
      <c r="J61" s="787">
        <f t="shared" si="4"/>
        <v>20.686654020618558</v>
      </c>
      <c r="K61" s="528">
        <f t="shared" si="5"/>
        <v>0</v>
      </c>
      <c r="L61" s="787">
        <f t="shared" si="6"/>
        <v>16.919435876288663</v>
      </c>
      <c r="M61" s="528">
        <f t="shared" si="7"/>
        <v>0</v>
      </c>
      <c r="N61" s="787">
        <f t="shared" si="8"/>
        <v>14.0774993814433</v>
      </c>
      <c r="O61" s="528">
        <f t="shared" si="9"/>
        <v>0</v>
      </c>
      <c r="P61" s="872"/>
    </row>
    <row r="62" spans="1:16" s="437" customFormat="1" ht="26.25" thickBot="1">
      <c r="A62" s="1192"/>
      <c r="B62" s="441"/>
      <c r="C62" s="808" t="s">
        <v>3492</v>
      </c>
      <c r="D62" s="420" t="s">
        <v>3803</v>
      </c>
      <c r="E62" s="693">
        <v>1673.1958762886597</v>
      </c>
      <c r="F62" s="693">
        <f t="shared" si="0"/>
        <v>1003.9175257731958</v>
      </c>
      <c r="G62" s="786">
        <f t="shared" si="1"/>
        <v>0</v>
      </c>
      <c r="H62" s="787">
        <f t="shared" si="2"/>
        <v>83.525938144329885</v>
      </c>
      <c r="I62" s="787">
        <f t="shared" si="3"/>
        <v>0</v>
      </c>
      <c r="J62" s="787">
        <f t="shared" si="4"/>
        <v>31.422618556701032</v>
      </c>
      <c r="K62" s="787">
        <f t="shared" si="5"/>
        <v>0</v>
      </c>
      <c r="L62" s="787">
        <f t="shared" si="6"/>
        <v>25.700288659793816</v>
      </c>
      <c r="M62" s="787">
        <f t="shared" si="7"/>
        <v>0</v>
      </c>
      <c r="N62" s="787">
        <f t="shared" si="8"/>
        <v>21.38344329896907</v>
      </c>
      <c r="O62" s="787">
        <f t="shared" si="9"/>
        <v>0</v>
      </c>
      <c r="P62" s="872"/>
    </row>
    <row r="63" spans="1:16" s="437" customFormat="1" ht="35.450000000000003" customHeight="1" thickBot="1">
      <c r="A63" s="1192"/>
      <c r="B63" s="441"/>
      <c r="C63" s="808" t="s">
        <v>3495</v>
      </c>
      <c r="D63" s="420" t="s">
        <v>3633</v>
      </c>
      <c r="E63" s="874">
        <v>2020.340206185567</v>
      </c>
      <c r="F63" s="693">
        <f t="shared" si="0"/>
        <v>1212.2041237113401</v>
      </c>
      <c r="G63" s="786">
        <f t="shared" si="1"/>
        <v>0</v>
      </c>
      <c r="H63" s="787">
        <f t="shared" si="2"/>
        <v>100.8553830927835</v>
      </c>
      <c r="I63" s="787">
        <f t="shared" si="3"/>
        <v>0</v>
      </c>
      <c r="J63" s="787">
        <f t="shared" si="4"/>
        <v>37.941989072164951</v>
      </c>
      <c r="K63" s="787">
        <f t="shared" si="5"/>
        <v>0</v>
      </c>
      <c r="L63" s="787">
        <f t="shared" si="6"/>
        <v>31.032425567010307</v>
      </c>
      <c r="M63" s="787">
        <f t="shared" si="7"/>
        <v>0</v>
      </c>
      <c r="N63" s="787">
        <f t="shared" si="8"/>
        <v>25.819947835051543</v>
      </c>
      <c r="O63" s="787">
        <f t="shared" si="9"/>
        <v>0</v>
      </c>
      <c r="P63" s="872"/>
    </row>
    <row r="64" spans="1:16" s="437" customFormat="1" ht="31.9" customHeight="1" thickBot="1">
      <c r="A64" s="1192"/>
      <c r="B64" s="441"/>
      <c r="C64" s="808" t="s">
        <v>3496</v>
      </c>
      <c r="D64" s="420" t="s">
        <v>3634</v>
      </c>
      <c r="E64" s="874">
        <v>3510.0309278350514</v>
      </c>
      <c r="F64" s="693">
        <f t="shared" si="0"/>
        <v>2106.0185567010308</v>
      </c>
      <c r="G64" s="786">
        <f t="shared" si="1"/>
        <v>0</v>
      </c>
      <c r="H64" s="787">
        <f t="shared" si="2"/>
        <v>175.22074391752577</v>
      </c>
      <c r="I64" s="787">
        <f t="shared" si="3"/>
        <v>0</v>
      </c>
      <c r="J64" s="787">
        <f t="shared" si="4"/>
        <v>65.918380824742272</v>
      </c>
      <c r="K64" s="787">
        <f t="shared" si="5"/>
        <v>0</v>
      </c>
      <c r="L64" s="787">
        <f t="shared" si="6"/>
        <v>53.914075051546391</v>
      </c>
      <c r="M64" s="787">
        <f t="shared" si="7"/>
        <v>0</v>
      </c>
      <c r="N64" s="787">
        <f t="shared" si="8"/>
        <v>44.858195257731957</v>
      </c>
      <c r="O64" s="787">
        <f t="shared" si="9"/>
        <v>0</v>
      </c>
      <c r="P64" s="872"/>
    </row>
    <row r="65" spans="1:16" s="437" customFormat="1" ht="26.25" thickBot="1">
      <c r="A65" s="1192"/>
      <c r="B65" s="441"/>
      <c r="C65" s="875" t="s">
        <v>3497</v>
      </c>
      <c r="D65" s="876" t="s">
        <v>3635</v>
      </c>
      <c r="E65" s="693">
        <v>3432.7113402061855</v>
      </c>
      <c r="F65" s="693">
        <f t="shared" si="0"/>
        <v>2059.6268041237113</v>
      </c>
      <c r="G65" s="786">
        <f t="shared" si="1"/>
        <v>0</v>
      </c>
      <c r="H65" s="787">
        <f t="shared" si="2"/>
        <v>171.36095010309276</v>
      </c>
      <c r="I65" s="787">
        <f t="shared" si="3"/>
        <v>0</v>
      </c>
      <c r="J65" s="787">
        <f t="shared" si="4"/>
        <v>64.466318969072162</v>
      </c>
      <c r="K65" s="787">
        <f t="shared" si="5"/>
        <v>0</v>
      </c>
      <c r="L65" s="787">
        <f t="shared" si="6"/>
        <v>52.726446185567013</v>
      </c>
      <c r="M65" s="787">
        <f t="shared" si="7"/>
        <v>0</v>
      </c>
      <c r="N65" s="787">
        <f t="shared" si="8"/>
        <v>43.870050927835052</v>
      </c>
      <c r="O65" s="787">
        <f t="shared" si="9"/>
        <v>0</v>
      </c>
      <c r="P65" s="872"/>
    </row>
    <row r="66" spans="1:16" s="437" customFormat="1" ht="26.25" thickBot="1">
      <c r="A66" s="1192"/>
      <c r="B66" s="441"/>
      <c r="C66" s="875" t="s">
        <v>3498</v>
      </c>
      <c r="D66" s="420" t="s">
        <v>3636</v>
      </c>
      <c r="E66" s="693">
        <v>4958.4845360824738</v>
      </c>
      <c r="F66" s="693">
        <f t="shared" si="0"/>
        <v>2975.0907216494843</v>
      </c>
      <c r="G66" s="786">
        <f t="shared" si="1"/>
        <v>0</v>
      </c>
      <c r="H66" s="787">
        <f t="shared" si="2"/>
        <v>247.52754804123708</v>
      </c>
      <c r="I66" s="787">
        <f t="shared" si="3"/>
        <v>0</v>
      </c>
      <c r="J66" s="787">
        <f t="shared" si="4"/>
        <v>93.120339587628862</v>
      </c>
      <c r="K66" s="787">
        <f t="shared" si="5"/>
        <v>0</v>
      </c>
      <c r="L66" s="787">
        <f t="shared" si="6"/>
        <v>76.162322474226798</v>
      </c>
      <c r="M66" s="787">
        <f t="shared" si="7"/>
        <v>0</v>
      </c>
      <c r="N66" s="787">
        <f t="shared" si="8"/>
        <v>63.36943237113401</v>
      </c>
      <c r="O66" s="787">
        <f t="shared" si="9"/>
        <v>0</v>
      </c>
      <c r="P66" s="872"/>
    </row>
    <row r="67" spans="1:16" s="437" customFormat="1" ht="13.5" thickBot="1">
      <c r="A67" s="1192"/>
      <c r="B67" s="441"/>
      <c r="C67" s="419" t="s">
        <v>3574</v>
      </c>
      <c r="D67" s="420" t="s">
        <v>3589</v>
      </c>
      <c r="E67" s="693">
        <v>308.2474226804124</v>
      </c>
      <c r="F67" s="693">
        <f t="shared" si="0"/>
        <v>184.94845360824743</v>
      </c>
      <c r="G67" s="786">
        <f t="shared" si="1"/>
        <v>0</v>
      </c>
      <c r="H67" s="787">
        <f t="shared" si="2"/>
        <v>15.387711340206186</v>
      </c>
      <c r="I67" s="787">
        <f t="shared" si="3"/>
        <v>0</v>
      </c>
      <c r="J67" s="787">
        <f t="shared" si="4"/>
        <v>5.788886597938145</v>
      </c>
      <c r="K67" s="787">
        <f t="shared" si="5"/>
        <v>0</v>
      </c>
      <c r="L67" s="787">
        <f t="shared" si="6"/>
        <v>4.7346804123711346</v>
      </c>
      <c r="M67" s="787">
        <f t="shared" si="7"/>
        <v>0</v>
      </c>
      <c r="N67" s="787">
        <f t="shared" si="8"/>
        <v>3.9394020618556702</v>
      </c>
      <c r="O67" s="787">
        <f t="shared" si="9"/>
        <v>0</v>
      </c>
      <c r="P67" s="872"/>
    </row>
    <row r="68" spans="1:16" s="437" customFormat="1" ht="13.5" thickBot="1">
      <c r="A68" s="1192"/>
      <c r="B68" s="805"/>
      <c r="C68" s="695" t="s">
        <v>476</v>
      </c>
      <c r="D68" s="697" t="s">
        <v>3514</v>
      </c>
      <c r="E68" s="525">
        <v>515.46391752577324</v>
      </c>
      <c r="F68" s="693">
        <f t="shared" si="0"/>
        <v>309.27835051546396</v>
      </c>
      <c r="G68" s="786">
        <f t="shared" si="1"/>
        <v>0</v>
      </c>
      <c r="H68" s="787">
        <f t="shared" si="2"/>
        <v>25.731958762886599</v>
      </c>
      <c r="I68" s="787">
        <f t="shared" si="3"/>
        <v>0</v>
      </c>
      <c r="J68" s="787">
        <f t="shared" si="4"/>
        <v>9.6804123711340218</v>
      </c>
      <c r="K68" s="787">
        <f t="shared" si="5"/>
        <v>0</v>
      </c>
      <c r="L68" s="787">
        <f t="shared" si="6"/>
        <v>7.9175257731958775</v>
      </c>
      <c r="M68" s="787">
        <f t="shared" si="7"/>
        <v>0</v>
      </c>
      <c r="N68" s="787">
        <f t="shared" si="8"/>
        <v>6.587628865979382</v>
      </c>
      <c r="O68" s="787">
        <f t="shared" si="9"/>
        <v>0</v>
      </c>
      <c r="P68" s="872"/>
    </row>
    <row r="69" spans="1:16" s="437" customFormat="1" ht="13.5" thickBot="1">
      <c r="A69" s="1192"/>
      <c r="B69" s="441"/>
      <c r="C69" s="419" t="s">
        <v>3488</v>
      </c>
      <c r="D69" s="420" t="s">
        <v>3585</v>
      </c>
      <c r="E69" s="693">
        <v>88.659793814432987</v>
      </c>
      <c r="F69" s="693">
        <f t="shared" si="0"/>
        <v>53.19587628865979</v>
      </c>
      <c r="G69" s="786">
        <f t="shared" si="1"/>
        <v>0</v>
      </c>
      <c r="H69" s="787">
        <f t="shared" si="2"/>
        <v>4.4258969072164946</v>
      </c>
      <c r="I69" s="787">
        <f t="shared" si="3"/>
        <v>0</v>
      </c>
      <c r="J69" s="787">
        <f t="shared" si="4"/>
        <v>1.6650309278350515</v>
      </c>
      <c r="K69" s="787">
        <f t="shared" si="5"/>
        <v>0</v>
      </c>
      <c r="L69" s="787">
        <f t="shared" si="6"/>
        <v>1.3618144329896906</v>
      </c>
      <c r="M69" s="787">
        <f t="shared" si="7"/>
        <v>0</v>
      </c>
      <c r="N69" s="787">
        <f t="shared" si="8"/>
        <v>1.1330721649484534</v>
      </c>
      <c r="O69" s="787">
        <f t="shared" si="9"/>
        <v>0</v>
      </c>
      <c r="P69" s="872"/>
    </row>
    <row r="70" spans="1:16" s="437" customFormat="1" ht="13.5" thickBot="1">
      <c r="A70" s="1192"/>
      <c r="B70" s="441"/>
      <c r="C70" s="419" t="s">
        <v>692</v>
      </c>
      <c r="D70" s="420" t="s">
        <v>3510</v>
      </c>
      <c r="E70" s="693">
        <v>126.80412371134021</v>
      </c>
      <c r="F70" s="693">
        <f t="shared" si="0"/>
        <v>76.082474226804123</v>
      </c>
      <c r="G70" s="786">
        <f t="shared" si="1"/>
        <v>0</v>
      </c>
      <c r="H70" s="787">
        <f t="shared" si="2"/>
        <v>6.3300618556701025</v>
      </c>
      <c r="I70" s="787">
        <f t="shared" si="3"/>
        <v>0</v>
      </c>
      <c r="J70" s="787">
        <f t="shared" si="4"/>
        <v>2.3813814432989693</v>
      </c>
      <c r="K70" s="787">
        <f t="shared" si="5"/>
        <v>0</v>
      </c>
      <c r="L70" s="787">
        <f t="shared" si="6"/>
        <v>1.9477113402061856</v>
      </c>
      <c r="M70" s="787">
        <f t="shared" si="7"/>
        <v>0</v>
      </c>
      <c r="N70" s="787">
        <f t="shared" si="8"/>
        <v>1.6205567010309279</v>
      </c>
      <c r="O70" s="787">
        <f t="shared" si="9"/>
        <v>0</v>
      </c>
      <c r="P70" s="872"/>
    </row>
    <row r="71" spans="1:16" s="437" customFormat="1" ht="13.5" thickBot="1">
      <c r="A71" s="1192"/>
      <c r="B71" s="441"/>
      <c r="C71" s="419" t="s">
        <v>693</v>
      </c>
      <c r="D71" s="420" t="s">
        <v>674</v>
      </c>
      <c r="E71" s="693">
        <v>129.89690721649484</v>
      </c>
      <c r="F71" s="693">
        <f t="shared" si="0"/>
        <v>77.9381443298969</v>
      </c>
      <c r="G71" s="786">
        <f t="shared" si="1"/>
        <v>0</v>
      </c>
      <c r="H71" s="787">
        <f t="shared" si="2"/>
        <v>6.4844536082474216</v>
      </c>
      <c r="I71" s="787">
        <f t="shared" si="3"/>
        <v>0</v>
      </c>
      <c r="J71" s="787">
        <f t="shared" si="4"/>
        <v>2.4394639175257731</v>
      </c>
      <c r="K71" s="787">
        <f t="shared" si="5"/>
        <v>0</v>
      </c>
      <c r="L71" s="787">
        <f t="shared" si="6"/>
        <v>1.9952164948453608</v>
      </c>
      <c r="M71" s="787">
        <f t="shared" si="7"/>
        <v>0</v>
      </c>
      <c r="N71" s="787">
        <f t="shared" si="8"/>
        <v>1.6600824742268039</v>
      </c>
      <c r="O71" s="787">
        <f t="shared" si="9"/>
        <v>0</v>
      </c>
      <c r="P71" s="872"/>
    </row>
    <row r="72" spans="1:16" s="437" customFormat="1" ht="26.25" thickBot="1">
      <c r="A72" s="1192"/>
      <c r="B72" s="441"/>
      <c r="C72" s="419" t="s">
        <v>438</v>
      </c>
      <c r="D72" s="420" t="s">
        <v>594</v>
      </c>
      <c r="E72" s="693">
        <v>1134.020618556701</v>
      </c>
      <c r="F72" s="693">
        <f t="shared" si="0"/>
        <v>680.41237113402065</v>
      </c>
      <c r="G72" s="786">
        <f t="shared" si="1"/>
        <v>0</v>
      </c>
      <c r="H72" s="787">
        <f t="shared" si="2"/>
        <v>56.610309278350513</v>
      </c>
      <c r="I72" s="787">
        <f t="shared" si="3"/>
        <v>0</v>
      </c>
      <c r="J72" s="787">
        <f t="shared" si="4"/>
        <v>21.296907216494848</v>
      </c>
      <c r="K72" s="787">
        <f t="shared" si="5"/>
        <v>0</v>
      </c>
      <c r="L72" s="787">
        <f t="shared" si="6"/>
        <v>17.41855670103093</v>
      </c>
      <c r="M72" s="787">
        <f t="shared" si="7"/>
        <v>0</v>
      </c>
      <c r="N72" s="787">
        <f t="shared" si="8"/>
        <v>14.492783505154639</v>
      </c>
      <c r="O72" s="787">
        <f t="shared" si="9"/>
        <v>0</v>
      </c>
      <c r="P72" s="872"/>
    </row>
    <row r="73" spans="1:16" s="437" customFormat="1" ht="13.5" thickBot="1">
      <c r="A73" s="1192"/>
      <c r="B73" s="441"/>
      <c r="C73" s="419" t="s">
        <v>439</v>
      </c>
      <c r="D73" s="420" t="s">
        <v>595</v>
      </c>
      <c r="E73" s="693">
        <v>809.2783505154639</v>
      </c>
      <c r="F73" s="693">
        <f t="shared" si="0"/>
        <v>485.56701030927832</v>
      </c>
      <c r="G73" s="527">
        <f t="shared" si="1"/>
        <v>0</v>
      </c>
      <c r="H73" s="787">
        <f t="shared" si="2"/>
        <v>40.399175257731955</v>
      </c>
      <c r="I73" s="528">
        <f t="shared" si="3"/>
        <v>0</v>
      </c>
      <c r="J73" s="787">
        <f t="shared" si="4"/>
        <v>15.198247422680412</v>
      </c>
      <c r="K73" s="528">
        <f t="shared" si="5"/>
        <v>0</v>
      </c>
      <c r="L73" s="787">
        <f t="shared" si="6"/>
        <v>12.430515463917526</v>
      </c>
      <c r="M73" s="528">
        <f t="shared" si="7"/>
        <v>0</v>
      </c>
      <c r="N73" s="787">
        <f t="shared" si="8"/>
        <v>10.342577319587628</v>
      </c>
      <c r="O73" s="528">
        <f t="shared" si="9"/>
        <v>0</v>
      </c>
      <c r="P73" s="872"/>
    </row>
    <row r="74" spans="1:16" s="734" customFormat="1" ht="13.5" thickBot="1">
      <c r="A74" s="1192"/>
      <c r="B74" s="441"/>
      <c r="C74" s="873" t="s">
        <v>440</v>
      </c>
      <c r="D74" s="420" t="s">
        <v>418</v>
      </c>
      <c r="E74" s="693">
        <v>688.45360824742261</v>
      </c>
      <c r="F74" s="693">
        <f t="shared" si="0"/>
        <v>413.07216494845358</v>
      </c>
      <c r="G74" s="786">
        <f t="shared" si="1"/>
        <v>0</v>
      </c>
      <c r="H74" s="787">
        <f t="shared" si="2"/>
        <v>34.367604123711338</v>
      </c>
      <c r="I74" s="787">
        <f t="shared" si="3"/>
        <v>0</v>
      </c>
      <c r="J74" s="787">
        <f t="shared" si="4"/>
        <v>12.929158762886598</v>
      </c>
      <c r="K74" s="787">
        <f t="shared" si="5"/>
        <v>0</v>
      </c>
      <c r="L74" s="787">
        <f t="shared" si="6"/>
        <v>10.574647422680412</v>
      </c>
      <c r="M74" s="787">
        <f t="shared" si="7"/>
        <v>0</v>
      </c>
      <c r="N74" s="787">
        <f t="shared" si="8"/>
        <v>8.7984371134020609</v>
      </c>
      <c r="O74" s="787">
        <f t="shared" si="9"/>
        <v>0</v>
      </c>
      <c r="P74" s="872"/>
    </row>
    <row r="75" spans="1:16" s="729" customFormat="1" ht="13.5" thickBot="1">
      <c r="A75" s="1192"/>
      <c r="B75" s="441"/>
      <c r="C75" s="785" t="s">
        <v>441</v>
      </c>
      <c r="D75" s="420" t="s">
        <v>596</v>
      </c>
      <c r="E75" s="693">
        <v>846.39175257731961</v>
      </c>
      <c r="F75" s="693">
        <f t="shared" si="0"/>
        <v>507.83505154639175</v>
      </c>
      <c r="G75" s="786">
        <f t="shared" si="1"/>
        <v>0</v>
      </c>
      <c r="H75" s="787">
        <f t="shared" si="2"/>
        <v>42.251876288659794</v>
      </c>
      <c r="I75" s="787">
        <f t="shared" si="3"/>
        <v>0</v>
      </c>
      <c r="J75" s="787">
        <f t="shared" si="4"/>
        <v>15.895237113402063</v>
      </c>
      <c r="K75" s="787">
        <f t="shared" si="5"/>
        <v>0</v>
      </c>
      <c r="L75" s="787">
        <f t="shared" si="6"/>
        <v>13.000577319587629</v>
      </c>
      <c r="M75" s="787">
        <f t="shared" si="7"/>
        <v>0</v>
      </c>
      <c r="N75" s="787">
        <f t="shared" si="8"/>
        <v>10.816886597938144</v>
      </c>
      <c r="O75" s="787">
        <f t="shared" si="9"/>
        <v>0</v>
      </c>
      <c r="P75" s="872"/>
    </row>
    <row r="76" spans="1:16" s="729" customFormat="1" ht="13.5" thickBot="1">
      <c r="A76" s="1192"/>
      <c r="B76" s="441"/>
      <c r="C76" s="419" t="s">
        <v>442</v>
      </c>
      <c r="D76" s="420" t="s">
        <v>597</v>
      </c>
      <c r="E76" s="693">
        <v>711.34020618556701</v>
      </c>
      <c r="F76" s="693">
        <f t="shared" si="0"/>
        <v>426.8041237113402</v>
      </c>
      <c r="G76" s="786">
        <f t="shared" si="1"/>
        <v>0</v>
      </c>
      <c r="H76" s="787">
        <f t="shared" si="2"/>
        <v>35.510103092783503</v>
      </c>
      <c r="I76" s="787">
        <f t="shared" si="3"/>
        <v>0</v>
      </c>
      <c r="J76" s="787">
        <f t="shared" si="4"/>
        <v>13.358969072164948</v>
      </c>
      <c r="K76" s="787">
        <f t="shared" si="5"/>
        <v>0</v>
      </c>
      <c r="L76" s="787">
        <f t="shared" si="6"/>
        <v>10.926185567010309</v>
      </c>
      <c r="M76" s="787">
        <f t="shared" si="7"/>
        <v>0</v>
      </c>
      <c r="N76" s="787">
        <f t="shared" si="8"/>
        <v>9.0909278350515468</v>
      </c>
      <c r="O76" s="787">
        <f t="shared" si="9"/>
        <v>0</v>
      </c>
      <c r="P76" s="872"/>
    </row>
    <row r="77" spans="1:16" s="437" customFormat="1" ht="13.5" thickBot="1">
      <c r="A77" s="1192"/>
      <c r="B77" s="441"/>
      <c r="C77" s="871" t="s">
        <v>443</v>
      </c>
      <c r="D77" s="420" t="s">
        <v>598</v>
      </c>
      <c r="E77" s="693">
        <v>196.90721649484536</v>
      </c>
      <c r="F77" s="693">
        <f t="shared" si="0"/>
        <v>118.14432989690721</v>
      </c>
      <c r="G77" s="786">
        <f t="shared" si="1"/>
        <v>0</v>
      </c>
      <c r="H77" s="787">
        <f t="shared" si="2"/>
        <v>9.82960824742268</v>
      </c>
      <c r="I77" s="787">
        <f t="shared" si="3"/>
        <v>0</v>
      </c>
      <c r="J77" s="787">
        <f t="shared" si="4"/>
        <v>3.697917525773196</v>
      </c>
      <c r="K77" s="787">
        <f t="shared" si="5"/>
        <v>0</v>
      </c>
      <c r="L77" s="787">
        <f t="shared" si="6"/>
        <v>3.0244948453608247</v>
      </c>
      <c r="M77" s="787">
        <f t="shared" si="7"/>
        <v>0</v>
      </c>
      <c r="N77" s="787">
        <f t="shared" si="8"/>
        <v>2.5164742268041236</v>
      </c>
      <c r="O77" s="787">
        <f t="shared" si="9"/>
        <v>0</v>
      </c>
      <c r="P77" s="872"/>
    </row>
    <row r="78" spans="1:16" s="729" customFormat="1" ht="13.5" thickBot="1">
      <c r="A78" s="1192"/>
      <c r="B78" s="441"/>
      <c r="C78" s="785" t="s">
        <v>444</v>
      </c>
      <c r="D78" s="810" t="s">
        <v>680</v>
      </c>
      <c r="E78" s="693">
        <v>688.45360824742261</v>
      </c>
      <c r="F78" s="693">
        <f t="shared" si="0"/>
        <v>413.07216494845358</v>
      </c>
      <c r="G78" s="786">
        <f t="shared" si="1"/>
        <v>0</v>
      </c>
      <c r="H78" s="787">
        <f t="shared" si="2"/>
        <v>34.367604123711338</v>
      </c>
      <c r="I78" s="787">
        <f t="shared" si="3"/>
        <v>0</v>
      </c>
      <c r="J78" s="787">
        <f t="shared" si="4"/>
        <v>12.929158762886598</v>
      </c>
      <c r="K78" s="787">
        <f t="shared" si="5"/>
        <v>0</v>
      </c>
      <c r="L78" s="787">
        <f t="shared" si="6"/>
        <v>10.574647422680412</v>
      </c>
      <c r="M78" s="787">
        <f t="shared" si="7"/>
        <v>0</v>
      </c>
      <c r="N78" s="787">
        <f t="shared" si="8"/>
        <v>8.7984371134020609</v>
      </c>
      <c r="O78" s="787">
        <f t="shared" si="9"/>
        <v>0</v>
      </c>
      <c r="P78" s="872"/>
    </row>
    <row r="79" spans="1:16" s="729" customFormat="1" ht="13.5" thickBot="1">
      <c r="A79" s="1192"/>
      <c r="B79" s="441"/>
      <c r="C79" s="809" t="s">
        <v>116</v>
      </c>
      <c r="D79" s="810" t="s">
        <v>117</v>
      </c>
      <c r="E79" s="693">
        <v>257.73195876288662</v>
      </c>
      <c r="F79" s="693">
        <f t="shared" si="0"/>
        <v>154.63917525773198</v>
      </c>
      <c r="G79" s="786">
        <f t="shared" si="1"/>
        <v>0</v>
      </c>
      <c r="H79" s="787">
        <f t="shared" si="2"/>
        <v>12.865979381443299</v>
      </c>
      <c r="I79" s="787">
        <f t="shared" si="3"/>
        <v>0</v>
      </c>
      <c r="J79" s="787">
        <f t="shared" si="4"/>
        <v>4.8402061855670109</v>
      </c>
      <c r="K79" s="787">
        <f t="shared" si="5"/>
        <v>0</v>
      </c>
      <c r="L79" s="787">
        <f t="shared" si="6"/>
        <v>3.9587628865979387</v>
      </c>
      <c r="M79" s="787">
        <f t="shared" si="7"/>
        <v>0</v>
      </c>
      <c r="N79" s="787">
        <f t="shared" si="8"/>
        <v>3.293814432989691</v>
      </c>
      <c r="O79" s="787">
        <f t="shared" si="9"/>
        <v>0</v>
      </c>
      <c r="P79" s="872"/>
    </row>
    <row r="80" spans="1:16" s="734" customFormat="1" ht="13.5" thickBot="1">
      <c r="A80" s="1192"/>
      <c r="B80" s="441"/>
      <c r="C80" s="811" t="s">
        <v>3487</v>
      </c>
      <c r="D80" s="812" t="s">
        <v>3507</v>
      </c>
      <c r="E80" s="877">
        <v>407.21649484536084</v>
      </c>
      <c r="F80" s="693">
        <f t="shared" si="0"/>
        <v>244.32989690721649</v>
      </c>
      <c r="G80" s="786">
        <f t="shared" si="1"/>
        <v>0</v>
      </c>
      <c r="H80" s="787">
        <f t="shared" si="2"/>
        <v>20.328247422680413</v>
      </c>
      <c r="I80" s="787">
        <f t="shared" si="3"/>
        <v>0</v>
      </c>
      <c r="J80" s="787">
        <f t="shared" si="4"/>
        <v>7.647525773195877</v>
      </c>
      <c r="K80" s="787">
        <f t="shared" si="5"/>
        <v>0</v>
      </c>
      <c r="L80" s="787">
        <f t="shared" si="6"/>
        <v>6.254845360824743</v>
      </c>
      <c r="M80" s="787">
        <f t="shared" si="7"/>
        <v>0</v>
      </c>
      <c r="N80" s="787">
        <f t="shared" si="8"/>
        <v>5.204226804123711</v>
      </c>
      <c r="O80" s="787">
        <f t="shared" si="9"/>
        <v>0</v>
      </c>
      <c r="P80" s="872"/>
    </row>
    <row r="81" spans="1:16" s="413" customFormat="1" ht="13.5" thickBot="1">
      <c r="A81" s="1192"/>
      <c r="B81" s="441"/>
      <c r="C81" s="419" t="s">
        <v>3503</v>
      </c>
      <c r="D81" s="420" t="s">
        <v>3528</v>
      </c>
      <c r="E81" s="693">
        <v>3442.2680412371137</v>
      </c>
      <c r="F81" s="693">
        <f t="shared" si="0"/>
        <v>2065.3608247422681</v>
      </c>
      <c r="G81" s="786">
        <f t="shared" si="1"/>
        <v>0</v>
      </c>
      <c r="H81" s="787">
        <f t="shared" si="2"/>
        <v>171.8380206185567</v>
      </c>
      <c r="I81" s="787">
        <f t="shared" si="3"/>
        <v>0</v>
      </c>
      <c r="J81" s="787">
        <f t="shared" si="4"/>
        <v>64.645793814432992</v>
      </c>
      <c r="K81" s="787">
        <f t="shared" si="5"/>
        <v>0</v>
      </c>
      <c r="L81" s="787">
        <f t="shared" si="6"/>
        <v>52.873237113402062</v>
      </c>
      <c r="M81" s="787">
        <f t="shared" si="7"/>
        <v>0</v>
      </c>
      <c r="N81" s="787">
        <f t="shared" si="8"/>
        <v>43.99218556701031</v>
      </c>
      <c r="O81" s="787">
        <f t="shared" si="9"/>
        <v>0</v>
      </c>
      <c r="P81" s="872"/>
    </row>
    <row r="82" spans="1:16" s="413" customFormat="1" ht="13.5" thickBot="1">
      <c r="A82" s="1192"/>
      <c r="B82" s="441"/>
      <c r="C82" s="419" t="s">
        <v>694</v>
      </c>
      <c r="D82" s="420" t="s">
        <v>3527</v>
      </c>
      <c r="E82" s="693">
        <v>1835.8762886597938</v>
      </c>
      <c r="F82" s="693">
        <f t="shared" si="0"/>
        <v>1101.5257731958761</v>
      </c>
      <c r="G82" s="786">
        <f t="shared" si="1"/>
        <v>0</v>
      </c>
      <c r="H82" s="787">
        <f t="shared" si="2"/>
        <v>91.646944329896883</v>
      </c>
      <c r="I82" s="787">
        <f t="shared" si="3"/>
        <v>0</v>
      </c>
      <c r="J82" s="787">
        <f t="shared" si="4"/>
        <v>34.477756701030927</v>
      </c>
      <c r="K82" s="787">
        <f t="shared" si="5"/>
        <v>0</v>
      </c>
      <c r="L82" s="787">
        <f t="shared" si="6"/>
        <v>28.199059793814431</v>
      </c>
      <c r="M82" s="787">
        <f t="shared" si="7"/>
        <v>0</v>
      </c>
      <c r="N82" s="787">
        <f t="shared" si="8"/>
        <v>23.462498969072161</v>
      </c>
      <c r="O82" s="787">
        <f t="shared" si="9"/>
        <v>0</v>
      </c>
      <c r="P82" s="872"/>
    </row>
    <row r="83" spans="1:16" s="437" customFormat="1" ht="13.5" thickBot="1">
      <c r="A83" s="1192"/>
      <c r="B83" s="441"/>
      <c r="C83" s="419" t="s">
        <v>454</v>
      </c>
      <c r="D83" s="420" t="s">
        <v>3526</v>
      </c>
      <c r="E83" s="693">
        <v>872.1649484536083</v>
      </c>
      <c r="F83" s="693">
        <f t="shared" si="0"/>
        <v>523.29896907216494</v>
      </c>
      <c r="G83" s="786">
        <f t="shared" si="1"/>
        <v>0</v>
      </c>
      <c r="H83" s="787">
        <f t="shared" si="2"/>
        <v>43.538474226804119</v>
      </c>
      <c r="I83" s="787">
        <f t="shared" si="3"/>
        <v>0</v>
      </c>
      <c r="J83" s="787">
        <f t="shared" si="4"/>
        <v>16.379257731958763</v>
      </c>
      <c r="K83" s="787">
        <f t="shared" si="5"/>
        <v>0</v>
      </c>
      <c r="L83" s="787">
        <f t="shared" si="6"/>
        <v>13.396453608247423</v>
      </c>
      <c r="M83" s="787">
        <f t="shared" si="7"/>
        <v>0</v>
      </c>
      <c r="N83" s="787">
        <f t="shared" si="8"/>
        <v>11.146268041237112</v>
      </c>
      <c r="O83" s="787">
        <f t="shared" si="9"/>
        <v>0</v>
      </c>
      <c r="P83" s="872"/>
    </row>
    <row r="84" spans="1:16" s="437" customFormat="1" ht="13.5" thickBot="1">
      <c r="A84" s="1192"/>
      <c r="B84" s="441"/>
      <c r="C84" s="785" t="s">
        <v>70</v>
      </c>
      <c r="D84" s="420" t="s">
        <v>682</v>
      </c>
      <c r="E84" s="693">
        <v>61.855670103092784</v>
      </c>
      <c r="F84" s="693">
        <f t="shared" si="0"/>
        <v>37.113402061855666</v>
      </c>
      <c r="G84" s="786">
        <f t="shared" si="1"/>
        <v>0</v>
      </c>
      <c r="H84" s="787">
        <f t="shared" si="2"/>
        <v>3.0878350515463913</v>
      </c>
      <c r="I84" s="787">
        <f t="shared" si="3"/>
        <v>0</v>
      </c>
      <c r="J84" s="787">
        <f t="shared" si="4"/>
        <v>1.1616494845360823</v>
      </c>
      <c r="K84" s="787">
        <f t="shared" si="5"/>
        <v>0</v>
      </c>
      <c r="L84" s="787">
        <f t="shared" si="6"/>
        <v>0.95010309278350513</v>
      </c>
      <c r="M84" s="787">
        <f t="shared" si="7"/>
        <v>0</v>
      </c>
      <c r="N84" s="787">
        <f t="shared" si="8"/>
        <v>0.7905154639175257</v>
      </c>
      <c r="O84" s="787">
        <f t="shared" si="9"/>
        <v>0</v>
      </c>
      <c r="P84" s="872"/>
    </row>
    <row r="85" spans="1:16" s="437" customFormat="1" ht="13.5" thickBot="1">
      <c r="A85" s="1192"/>
      <c r="B85" s="441"/>
      <c r="C85" s="419" t="s">
        <v>456</v>
      </c>
      <c r="D85" s="420" t="s">
        <v>683</v>
      </c>
      <c r="E85" s="693">
        <v>123.71134020618557</v>
      </c>
      <c r="F85" s="693">
        <f t="shared" si="0"/>
        <v>74.226804123711332</v>
      </c>
      <c r="G85" s="786">
        <f t="shared" si="1"/>
        <v>0</v>
      </c>
      <c r="H85" s="787">
        <f t="shared" si="2"/>
        <v>6.1756701030927825</v>
      </c>
      <c r="I85" s="787">
        <f t="shared" si="3"/>
        <v>0</v>
      </c>
      <c r="J85" s="787">
        <f t="shared" si="4"/>
        <v>2.3232989690721646</v>
      </c>
      <c r="K85" s="787">
        <f t="shared" si="5"/>
        <v>0</v>
      </c>
      <c r="L85" s="787">
        <f t="shared" si="6"/>
        <v>1.9002061855670103</v>
      </c>
      <c r="M85" s="787">
        <f t="shared" si="7"/>
        <v>0</v>
      </c>
      <c r="N85" s="787">
        <f t="shared" si="8"/>
        <v>1.5810309278350514</v>
      </c>
      <c r="O85" s="787">
        <f t="shared" si="9"/>
        <v>0</v>
      </c>
      <c r="P85" s="872"/>
    </row>
    <row r="86" spans="1:16" s="413" customFormat="1" ht="13.5" thickBot="1">
      <c r="A86" s="1192"/>
      <c r="B86" s="441"/>
      <c r="C86" s="419" t="s">
        <v>3501</v>
      </c>
      <c r="D86" s="420" t="s">
        <v>3572</v>
      </c>
      <c r="E86" s="693">
        <v>114.43298969072166</v>
      </c>
      <c r="F86" s="693">
        <f t="shared" si="0"/>
        <v>68.659793814432987</v>
      </c>
      <c r="G86" s="786">
        <f t="shared" si="1"/>
        <v>0</v>
      </c>
      <c r="H86" s="787">
        <f t="shared" si="2"/>
        <v>5.7124948453608244</v>
      </c>
      <c r="I86" s="787">
        <f t="shared" si="3"/>
        <v>0</v>
      </c>
      <c r="J86" s="787">
        <f t="shared" si="4"/>
        <v>2.1490515463917528</v>
      </c>
      <c r="K86" s="787">
        <f t="shared" si="5"/>
        <v>0</v>
      </c>
      <c r="L86" s="787">
        <f t="shared" si="6"/>
        <v>1.7576907216494846</v>
      </c>
      <c r="M86" s="787">
        <f t="shared" si="7"/>
        <v>0</v>
      </c>
      <c r="N86" s="787">
        <f t="shared" si="8"/>
        <v>1.4624536082474227</v>
      </c>
      <c r="O86" s="787">
        <f t="shared" si="9"/>
        <v>0</v>
      </c>
      <c r="P86" s="872"/>
    </row>
    <row r="87" spans="1:16" s="437" customFormat="1" ht="13.5" thickBot="1">
      <c r="A87" s="1192"/>
      <c r="B87" s="441"/>
      <c r="C87" s="419" t="s">
        <v>695</v>
      </c>
      <c r="D87" s="420" t="s">
        <v>3531</v>
      </c>
      <c r="E87" s="693">
        <v>941.23711340206194</v>
      </c>
      <c r="F87" s="693">
        <f t="shared" si="0"/>
        <v>564.74226804123714</v>
      </c>
      <c r="G87" s="786">
        <f t="shared" si="1"/>
        <v>0</v>
      </c>
      <c r="H87" s="787">
        <f t="shared" si="2"/>
        <v>46.986556701030928</v>
      </c>
      <c r="I87" s="787">
        <f t="shared" si="3"/>
        <v>0</v>
      </c>
      <c r="J87" s="787">
        <f t="shared" si="4"/>
        <v>17.676432989690724</v>
      </c>
      <c r="K87" s="787">
        <f t="shared" si="5"/>
        <v>0</v>
      </c>
      <c r="L87" s="787">
        <f t="shared" si="6"/>
        <v>14.457402061855671</v>
      </c>
      <c r="M87" s="787">
        <f t="shared" si="7"/>
        <v>0</v>
      </c>
      <c r="N87" s="787">
        <f t="shared" si="8"/>
        <v>12.02901030927835</v>
      </c>
      <c r="O87" s="787">
        <f t="shared" si="9"/>
        <v>0</v>
      </c>
      <c r="P87" s="872"/>
    </row>
    <row r="88" spans="1:16" s="437" customFormat="1" ht="13.5" thickBot="1">
      <c r="A88" s="1192"/>
      <c r="B88" s="441"/>
      <c r="C88" s="785" t="s">
        <v>696</v>
      </c>
      <c r="D88" s="878" t="s">
        <v>3532</v>
      </c>
      <c r="E88" s="693">
        <v>1227.8350515463917</v>
      </c>
      <c r="F88" s="693">
        <f t="shared" si="0"/>
        <v>736.70103092783495</v>
      </c>
      <c r="G88" s="786">
        <f t="shared" si="1"/>
        <v>0</v>
      </c>
      <c r="H88" s="787">
        <f t="shared" si="2"/>
        <v>61.293525773195867</v>
      </c>
      <c r="I88" s="787">
        <f t="shared" si="3"/>
        <v>0</v>
      </c>
      <c r="J88" s="787">
        <f t="shared" si="4"/>
        <v>23.058742268041236</v>
      </c>
      <c r="K88" s="787">
        <f t="shared" si="5"/>
        <v>0</v>
      </c>
      <c r="L88" s="787">
        <f t="shared" si="6"/>
        <v>18.859546391752577</v>
      </c>
      <c r="M88" s="787">
        <f t="shared" si="7"/>
        <v>0</v>
      </c>
      <c r="N88" s="787">
        <f t="shared" si="8"/>
        <v>15.691731958762883</v>
      </c>
      <c r="O88" s="787">
        <f t="shared" si="9"/>
        <v>0</v>
      </c>
      <c r="P88" s="872"/>
    </row>
    <row r="89" spans="1:16" s="729" customFormat="1" ht="13.5" thickBot="1">
      <c r="A89" s="1192"/>
      <c r="B89" s="441"/>
      <c r="C89" s="785" t="s">
        <v>697</v>
      </c>
      <c r="D89" s="420" t="s">
        <v>3529</v>
      </c>
      <c r="E89" s="693">
        <v>1445.3608247422681</v>
      </c>
      <c r="F89" s="693">
        <f t="shared" si="0"/>
        <v>867.21649484536078</v>
      </c>
      <c r="G89" s="786">
        <f t="shared" si="1"/>
        <v>0</v>
      </c>
      <c r="H89" s="787">
        <f t="shared" si="2"/>
        <v>72.15241237113402</v>
      </c>
      <c r="I89" s="787">
        <f t="shared" si="3"/>
        <v>0</v>
      </c>
      <c r="J89" s="787">
        <f t="shared" si="4"/>
        <v>27.143876288659794</v>
      </c>
      <c r="K89" s="787">
        <f t="shared" si="5"/>
        <v>0</v>
      </c>
      <c r="L89" s="787">
        <f t="shared" si="6"/>
        <v>22.200742268041235</v>
      </c>
      <c r="M89" s="787">
        <f t="shared" si="7"/>
        <v>0</v>
      </c>
      <c r="N89" s="787">
        <f t="shared" si="8"/>
        <v>18.471711340206184</v>
      </c>
      <c r="O89" s="787">
        <f t="shared" si="9"/>
        <v>0</v>
      </c>
      <c r="P89" s="872"/>
    </row>
    <row r="90" spans="1:16" s="734" customFormat="1" ht="13.5" thickBot="1">
      <c r="A90" s="1192"/>
      <c r="B90" s="441"/>
      <c r="C90" s="785" t="s">
        <v>3504</v>
      </c>
      <c r="D90" s="420" t="s">
        <v>3530</v>
      </c>
      <c r="E90" s="693">
        <v>1720.6185567010309</v>
      </c>
      <c r="F90" s="693">
        <f t="shared" si="0"/>
        <v>1032.3711340206185</v>
      </c>
      <c r="G90" s="786">
        <f t="shared" si="1"/>
        <v>0</v>
      </c>
      <c r="H90" s="787">
        <f t="shared" si="2"/>
        <v>85.893278350515445</v>
      </c>
      <c r="I90" s="787">
        <f t="shared" si="3"/>
        <v>0</v>
      </c>
      <c r="J90" s="787">
        <f t="shared" si="4"/>
        <v>32.313216494845356</v>
      </c>
      <c r="K90" s="787">
        <f t="shared" si="5"/>
        <v>0</v>
      </c>
      <c r="L90" s="787">
        <f t="shared" si="6"/>
        <v>26.428701030927833</v>
      </c>
      <c r="M90" s="787">
        <f t="shared" si="7"/>
        <v>0</v>
      </c>
      <c r="N90" s="787">
        <f t="shared" si="8"/>
        <v>21.989505154639172</v>
      </c>
      <c r="O90" s="787">
        <f t="shared" si="9"/>
        <v>0</v>
      </c>
      <c r="P90" s="872"/>
    </row>
    <row r="91" spans="1:16" s="729" customFormat="1" ht="13.5" thickBot="1">
      <c r="A91" s="1192"/>
      <c r="B91" s="441"/>
      <c r="C91" s="419" t="s">
        <v>3494</v>
      </c>
      <c r="D91" s="420" t="s">
        <v>3517</v>
      </c>
      <c r="E91" s="693">
        <v>1144.3298969072166</v>
      </c>
      <c r="F91" s="693">
        <f t="shared" si="0"/>
        <v>686.59793814432999</v>
      </c>
      <c r="G91" s="786">
        <f t="shared" si="1"/>
        <v>0</v>
      </c>
      <c r="H91" s="787">
        <f t="shared" si="2"/>
        <v>57.124948453608255</v>
      </c>
      <c r="I91" s="787">
        <f t="shared" si="3"/>
        <v>0</v>
      </c>
      <c r="J91" s="787">
        <f t="shared" si="4"/>
        <v>21.490515463917529</v>
      </c>
      <c r="K91" s="787">
        <f t="shared" si="5"/>
        <v>0</v>
      </c>
      <c r="L91" s="787">
        <f t="shared" si="6"/>
        <v>17.576907216494849</v>
      </c>
      <c r="M91" s="787">
        <f t="shared" si="7"/>
        <v>0</v>
      </c>
      <c r="N91" s="787">
        <f t="shared" si="8"/>
        <v>14.624536082474229</v>
      </c>
      <c r="O91" s="787">
        <f t="shared" si="9"/>
        <v>0</v>
      </c>
      <c r="P91" s="872"/>
    </row>
    <row r="92" spans="1:16" s="729" customFormat="1" ht="13.5" thickBot="1">
      <c r="A92" s="1192"/>
      <c r="B92" s="441"/>
      <c r="C92" s="419" t="s">
        <v>450</v>
      </c>
      <c r="D92" s="420" t="s">
        <v>3570</v>
      </c>
      <c r="E92" s="693">
        <v>604.12371134020623</v>
      </c>
      <c r="F92" s="693">
        <f t="shared" si="0"/>
        <v>362.4742268041237</v>
      </c>
      <c r="G92" s="786">
        <f t="shared" si="1"/>
        <v>0</v>
      </c>
      <c r="H92" s="787">
        <f t="shared" si="2"/>
        <v>30.157855670103089</v>
      </c>
      <c r="I92" s="787">
        <f t="shared" si="3"/>
        <v>0</v>
      </c>
      <c r="J92" s="787">
        <f t="shared" si="4"/>
        <v>11.345443298969073</v>
      </c>
      <c r="K92" s="787">
        <f t="shared" si="5"/>
        <v>0</v>
      </c>
      <c r="L92" s="787">
        <f t="shared" si="6"/>
        <v>9.2793402061855677</v>
      </c>
      <c r="M92" s="787">
        <f t="shared" si="7"/>
        <v>0</v>
      </c>
      <c r="N92" s="787">
        <f t="shared" si="8"/>
        <v>7.7207010309278346</v>
      </c>
      <c r="O92" s="787">
        <f t="shared" si="9"/>
        <v>0</v>
      </c>
      <c r="P92" s="872"/>
    </row>
    <row r="93" spans="1:16" s="413" customFormat="1" ht="13.5" thickBot="1">
      <c r="A93" s="1192"/>
      <c r="B93" s="441"/>
      <c r="C93" s="871" t="s">
        <v>3499</v>
      </c>
      <c r="D93" s="420" t="s">
        <v>3522</v>
      </c>
      <c r="E93" s="693">
        <v>604.12371134020623</v>
      </c>
      <c r="F93" s="693">
        <f t="shared" si="0"/>
        <v>362.4742268041237</v>
      </c>
      <c r="G93" s="786">
        <f t="shared" si="1"/>
        <v>0</v>
      </c>
      <c r="H93" s="787">
        <f t="shared" si="2"/>
        <v>30.157855670103089</v>
      </c>
      <c r="I93" s="787">
        <f t="shared" si="3"/>
        <v>0</v>
      </c>
      <c r="J93" s="787">
        <f t="shared" si="4"/>
        <v>11.345443298969073</v>
      </c>
      <c r="K93" s="787">
        <f t="shared" si="5"/>
        <v>0</v>
      </c>
      <c r="L93" s="787">
        <f t="shared" si="6"/>
        <v>9.2793402061855677</v>
      </c>
      <c r="M93" s="787">
        <f t="shared" si="7"/>
        <v>0</v>
      </c>
      <c r="N93" s="787">
        <f t="shared" si="8"/>
        <v>7.7207010309278346</v>
      </c>
      <c r="O93" s="787">
        <f t="shared" si="9"/>
        <v>0</v>
      </c>
      <c r="P93" s="872"/>
    </row>
    <row r="94" spans="1:16" s="413" customFormat="1" ht="13.5" thickBot="1">
      <c r="A94" s="1192"/>
      <c r="B94" s="441"/>
      <c r="C94" s="419" t="s">
        <v>3500</v>
      </c>
      <c r="D94" s="420" t="s">
        <v>3590</v>
      </c>
      <c r="E94" s="693">
        <v>876.28865979381442</v>
      </c>
      <c r="F94" s="693">
        <f t="shared" si="0"/>
        <v>525.77319587628858</v>
      </c>
      <c r="G94" s="786">
        <f t="shared" si="1"/>
        <v>0</v>
      </c>
      <c r="H94" s="787">
        <f t="shared" si="2"/>
        <v>43.74432989690721</v>
      </c>
      <c r="I94" s="787">
        <f t="shared" si="3"/>
        <v>0</v>
      </c>
      <c r="J94" s="787">
        <f t="shared" si="4"/>
        <v>16.456701030927832</v>
      </c>
      <c r="K94" s="787">
        <f t="shared" si="5"/>
        <v>0</v>
      </c>
      <c r="L94" s="787">
        <f t="shared" si="6"/>
        <v>13.459793814432988</v>
      </c>
      <c r="M94" s="787">
        <f t="shared" si="7"/>
        <v>0</v>
      </c>
      <c r="N94" s="787">
        <f t="shared" si="8"/>
        <v>11.198969072164946</v>
      </c>
      <c r="O94" s="787">
        <f t="shared" si="9"/>
        <v>0</v>
      </c>
      <c r="P94" s="872"/>
    </row>
    <row r="95" spans="1:16" s="729" customFormat="1" ht="13.5" thickBot="1">
      <c r="A95" s="1192"/>
      <c r="B95" s="441"/>
      <c r="C95" s="871" t="s">
        <v>698</v>
      </c>
      <c r="D95" s="420" t="s">
        <v>3565</v>
      </c>
      <c r="E95" s="693">
        <v>1262.8865979381444</v>
      </c>
      <c r="F95" s="693">
        <f t="shared" si="0"/>
        <v>757.73195876288662</v>
      </c>
      <c r="G95" s="786">
        <f t="shared" si="1"/>
        <v>0</v>
      </c>
      <c r="H95" s="787">
        <f t="shared" si="2"/>
        <v>63.043298969072161</v>
      </c>
      <c r="I95" s="787">
        <f t="shared" si="3"/>
        <v>0</v>
      </c>
      <c r="J95" s="787">
        <f t="shared" si="4"/>
        <v>23.717010309278351</v>
      </c>
      <c r="K95" s="787">
        <f t="shared" si="5"/>
        <v>0</v>
      </c>
      <c r="L95" s="787">
        <f t="shared" si="6"/>
        <v>19.397938144329899</v>
      </c>
      <c r="M95" s="787">
        <f t="shared" si="7"/>
        <v>0</v>
      </c>
      <c r="N95" s="787">
        <f t="shared" si="8"/>
        <v>16.139690721649483</v>
      </c>
      <c r="O95" s="787">
        <f t="shared" si="9"/>
        <v>0</v>
      </c>
      <c r="P95" s="872"/>
    </row>
    <row r="96" spans="1:16" s="413" customFormat="1" ht="13.5" thickBot="1">
      <c r="A96" s="1192"/>
      <c r="B96" s="441"/>
      <c r="C96" s="419" t="s">
        <v>493</v>
      </c>
      <c r="D96" s="420" t="s">
        <v>52</v>
      </c>
      <c r="E96" s="693">
        <v>49.175257731958766</v>
      </c>
      <c r="F96" s="814">
        <f t="shared" si="0"/>
        <v>29.505154639175259</v>
      </c>
      <c r="G96" s="527">
        <f t="shared" si="1"/>
        <v>0</v>
      </c>
      <c r="H96" s="528">
        <f t="shared" si="2"/>
        <v>2.4548288659793815</v>
      </c>
      <c r="I96" s="528">
        <f t="shared" si="3"/>
        <v>0</v>
      </c>
      <c r="J96" s="528">
        <f t="shared" si="4"/>
        <v>0.92351134020618564</v>
      </c>
      <c r="K96" s="528">
        <f t="shared" si="5"/>
        <v>0</v>
      </c>
      <c r="L96" s="528">
        <f t="shared" si="6"/>
        <v>0.75533195876288672</v>
      </c>
      <c r="M96" s="528">
        <f t="shared" si="7"/>
        <v>0</v>
      </c>
      <c r="N96" s="528">
        <f t="shared" si="8"/>
        <v>0.62845979381443307</v>
      </c>
      <c r="O96" s="528">
        <f t="shared" si="9"/>
        <v>0</v>
      </c>
      <c r="P96" s="872"/>
    </row>
    <row r="97" spans="1:18" s="413" customFormat="1" ht="13.5" thickBot="1">
      <c r="A97" s="1192"/>
      <c r="B97" s="441"/>
      <c r="C97" s="419" t="s">
        <v>478</v>
      </c>
      <c r="D97" s="420" t="s">
        <v>3560</v>
      </c>
      <c r="E97" s="693">
        <v>27.319587628865982</v>
      </c>
      <c r="F97" s="814">
        <f t="shared" si="0"/>
        <v>16.39175257731959</v>
      </c>
      <c r="G97" s="527">
        <f t="shared" si="1"/>
        <v>0</v>
      </c>
      <c r="H97" s="528">
        <f t="shared" si="2"/>
        <v>1.3637938144329897</v>
      </c>
      <c r="I97" s="528">
        <f t="shared" si="3"/>
        <v>0</v>
      </c>
      <c r="J97" s="528">
        <f t="shared" si="4"/>
        <v>0.51306185567010321</v>
      </c>
      <c r="K97" s="528">
        <f t="shared" si="5"/>
        <v>0</v>
      </c>
      <c r="L97" s="528">
        <f t="shared" si="6"/>
        <v>0.41962886597938154</v>
      </c>
      <c r="M97" s="528">
        <f t="shared" si="7"/>
        <v>0</v>
      </c>
      <c r="N97" s="528">
        <f t="shared" si="8"/>
        <v>0.34914432989690725</v>
      </c>
      <c r="O97" s="528">
        <f t="shared" si="9"/>
        <v>0</v>
      </c>
      <c r="P97" s="872"/>
    </row>
    <row r="98" spans="1:18" s="413" customFormat="1" ht="26.25" thickBot="1">
      <c r="A98" s="1192"/>
      <c r="B98" s="441"/>
      <c r="C98" s="419" t="s">
        <v>33</v>
      </c>
      <c r="D98" s="420" t="s">
        <v>3588</v>
      </c>
      <c r="E98" s="693">
        <v>30.927835051546392</v>
      </c>
      <c r="F98" s="693">
        <f t="shared" si="0"/>
        <v>18.556701030927833</v>
      </c>
      <c r="G98" s="786">
        <f t="shared" si="1"/>
        <v>0</v>
      </c>
      <c r="H98" s="787">
        <f t="shared" si="2"/>
        <v>1.5439175257731956</v>
      </c>
      <c r="I98" s="787">
        <f t="shared" si="3"/>
        <v>0</v>
      </c>
      <c r="J98" s="787">
        <f t="shared" si="4"/>
        <v>0.58082474226804115</v>
      </c>
      <c r="K98" s="787">
        <f t="shared" si="5"/>
        <v>0</v>
      </c>
      <c r="L98" s="787">
        <f t="shared" si="6"/>
        <v>0.47505154639175257</v>
      </c>
      <c r="M98" s="787">
        <f t="shared" si="7"/>
        <v>0</v>
      </c>
      <c r="N98" s="787">
        <f t="shared" si="8"/>
        <v>0.39525773195876285</v>
      </c>
      <c r="O98" s="787">
        <f t="shared" si="9"/>
        <v>0</v>
      </c>
      <c r="P98" s="872"/>
    </row>
    <row r="99" spans="1:18" s="413" customFormat="1" ht="13.5" thickBot="1">
      <c r="A99" s="1192"/>
      <c r="B99" s="441"/>
      <c r="C99" s="785" t="s">
        <v>700</v>
      </c>
      <c r="D99" s="878" t="s">
        <v>3566</v>
      </c>
      <c r="E99" s="693">
        <v>268.04123711340208</v>
      </c>
      <c r="F99" s="693">
        <f t="shared" si="0"/>
        <v>160.82474226804123</v>
      </c>
      <c r="G99" s="786">
        <f t="shared" si="1"/>
        <v>0</v>
      </c>
      <c r="H99" s="787">
        <f t="shared" si="2"/>
        <v>13.38061855670103</v>
      </c>
      <c r="I99" s="787">
        <f t="shared" si="3"/>
        <v>0</v>
      </c>
      <c r="J99" s="787">
        <f t="shared" si="4"/>
        <v>5.0338144329896908</v>
      </c>
      <c r="K99" s="787">
        <f t="shared" si="5"/>
        <v>0</v>
      </c>
      <c r="L99" s="787">
        <f t="shared" si="6"/>
        <v>4.1171134020618556</v>
      </c>
      <c r="M99" s="787">
        <f t="shared" si="7"/>
        <v>0</v>
      </c>
      <c r="N99" s="787">
        <f t="shared" si="8"/>
        <v>3.4255670103092783</v>
      </c>
      <c r="O99" s="787">
        <f t="shared" si="9"/>
        <v>0</v>
      </c>
      <c r="P99" s="872"/>
    </row>
    <row r="100" spans="1:18" s="413" customFormat="1" ht="13.5" thickBot="1">
      <c r="A100" s="1192"/>
      <c r="B100" s="441"/>
      <c r="C100" s="871" t="s">
        <v>453</v>
      </c>
      <c r="D100" s="420" t="s">
        <v>3562</v>
      </c>
      <c r="E100" s="693">
        <v>115.4639175257732</v>
      </c>
      <c r="F100" s="693">
        <f t="shared" si="0"/>
        <v>69.278350515463913</v>
      </c>
      <c r="G100" s="786">
        <f t="shared" si="1"/>
        <v>0</v>
      </c>
      <c r="H100" s="787">
        <f t="shared" si="2"/>
        <v>5.7639587628865971</v>
      </c>
      <c r="I100" s="787">
        <f t="shared" si="3"/>
        <v>0</v>
      </c>
      <c r="J100" s="787">
        <f t="shared" si="4"/>
        <v>2.1684123711340204</v>
      </c>
      <c r="K100" s="787">
        <f t="shared" si="5"/>
        <v>0</v>
      </c>
      <c r="L100" s="787">
        <f t="shared" si="6"/>
        <v>1.7735257731958762</v>
      </c>
      <c r="M100" s="787">
        <f t="shared" si="7"/>
        <v>0</v>
      </c>
      <c r="N100" s="787">
        <f t="shared" si="8"/>
        <v>1.4756288659793813</v>
      </c>
      <c r="O100" s="787">
        <f t="shared" si="9"/>
        <v>0</v>
      </c>
      <c r="P100" s="872"/>
    </row>
    <row r="101" spans="1:18" s="729" customFormat="1" ht="13.5" thickBot="1">
      <c r="A101" s="1193"/>
      <c r="B101" s="441"/>
      <c r="C101" s="419" t="s">
        <v>3493</v>
      </c>
      <c r="D101" s="420" t="s">
        <v>3516</v>
      </c>
      <c r="E101" s="693">
        <v>5164.9484536082473</v>
      </c>
      <c r="F101" s="693">
        <f t="shared" si="0"/>
        <v>3098.9690721649481</v>
      </c>
      <c r="G101" s="786">
        <f t="shared" si="1"/>
        <v>0</v>
      </c>
      <c r="H101" s="787">
        <f t="shared" si="2"/>
        <v>257.83422680412366</v>
      </c>
      <c r="I101" s="787">
        <f t="shared" si="3"/>
        <v>0</v>
      </c>
      <c r="J101" s="787">
        <f t="shared" si="4"/>
        <v>96.997731958762884</v>
      </c>
      <c r="K101" s="787">
        <f t="shared" si="5"/>
        <v>0</v>
      </c>
      <c r="L101" s="787">
        <f t="shared" si="6"/>
        <v>79.333608247422674</v>
      </c>
      <c r="M101" s="787">
        <f t="shared" si="7"/>
        <v>0</v>
      </c>
      <c r="N101" s="787">
        <f t="shared" si="8"/>
        <v>66.008041237113389</v>
      </c>
      <c r="O101" s="787">
        <f t="shared" si="9"/>
        <v>0</v>
      </c>
      <c r="P101" s="872"/>
    </row>
    <row r="102" spans="1:18" s="437" customFormat="1" ht="15">
      <c r="D102" s="1059" t="s">
        <v>183</v>
      </c>
      <c r="E102" s="1124"/>
      <c r="F102" s="1124"/>
      <c r="G102" s="450">
        <f t="array" ref="G102">SUM(G49:G101)+G37:G49:G101+G41:G49:G101+G45</f>
        <v>0</v>
      </c>
      <c r="H102" s="451" t="s">
        <v>184</v>
      </c>
      <c r="I102" s="450">
        <f t="array" ref="I102">SUM(I49:I101)+I37:I49:I101+I41:I49:I101+I45</f>
        <v>0</v>
      </c>
      <c r="J102" s="451" t="s">
        <v>185</v>
      </c>
      <c r="K102" s="450">
        <f t="array" ref="K102">SUM(K49:K101)+K37:K49:K101+K41:K49:K101+K45</f>
        <v>0</v>
      </c>
      <c r="L102" s="451" t="s">
        <v>186</v>
      </c>
      <c r="M102" s="450">
        <f t="array" ref="M102">SUM(M49:M101)+M37:M49:M101+M41:M49:M101+M45</f>
        <v>0</v>
      </c>
      <c r="N102" s="451" t="s">
        <v>187</v>
      </c>
      <c r="O102" s="450">
        <f t="array" ref="O102">SUM(O49:O101)+O37:O49:O101+O41:O49:O101+O45</f>
        <v>0</v>
      </c>
      <c r="P102" s="879"/>
      <c r="Q102" s="879"/>
    </row>
    <row r="103" spans="1:18" s="437" customFormat="1">
      <c r="F103" s="453"/>
      <c r="G103" s="879"/>
      <c r="I103" s="879"/>
      <c r="J103" s="879"/>
      <c r="K103" s="879"/>
      <c r="L103" s="879"/>
      <c r="M103" s="879"/>
      <c r="N103" s="879"/>
      <c r="O103" s="879"/>
      <c r="P103" s="879"/>
      <c r="Q103" s="879"/>
      <c r="R103" s="879"/>
    </row>
    <row r="104" spans="1:18" s="437" customFormat="1">
      <c r="F104" s="453"/>
      <c r="G104" s="879"/>
      <c r="I104" s="879"/>
      <c r="J104" s="879"/>
      <c r="K104" s="879"/>
      <c r="L104" s="879"/>
      <c r="M104" s="879"/>
      <c r="N104" s="879"/>
      <c r="O104" s="879"/>
      <c r="P104" s="879"/>
      <c r="Q104" s="879"/>
      <c r="R104" s="879"/>
    </row>
    <row r="105" spans="1:18" s="437" customFormat="1">
      <c r="F105" s="453"/>
      <c r="G105" s="879"/>
      <c r="I105" s="879"/>
      <c r="J105" s="879"/>
      <c r="K105" s="879"/>
      <c r="L105" s="879"/>
      <c r="M105" s="879"/>
      <c r="N105" s="879"/>
      <c r="O105" s="879"/>
      <c r="P105" s="879"/>
      <c r="Q105" s="879"/>
      <c r="R105" s="879"/>
    </row>
    <row r="106" spans="1:18" s="437" customFormat="1">
      <c r="F106" s="453"/>
    </row>
    <row r="107" spans="1:18" s="437" customFormat="1" ht="14.25">
      <c r="B107" s="792"/>
      <c r="C107" s="792"/>
      <c r="F107" s="880"/>
    </row>
    <row r="108" spans="1:18" s="437" customFormat="1" ht="14.25">
      <c r="B108" s="794"/>
      <c r="C108" s="794"/>
      <c r="F108" s="880"/>
    </row>
    <row r="122" spans="2:3">
      <c r="B122" s="380"/>
      <c r="C122" s="380"/>
    </row>
  </sheetData>
  <mergeCells count="56">
    <mergeCell ref="D102:F102"/>
    <mergeCell ref="A45:A47"/>
    <mergeCell ref="B45:B47"/>
    <mergeCell ref="G45:G47"/>
    <mergeCell ref="I45:I47"/>
    <mergeCell ref="M41:M43"/>
    <mergeCell ref="O41:O43"/>
    <mergeCell ref="O45:O47"/>
    <mergeCell ref="A48:O48"/>
    <mergeCell ref="A49:A101"/>
    <mergeCell ref="K45:K47"/>
    <mergeCell ref="M45:M47"/>
    <mergeCell ref="A41:A43"/>
    <mergeCell ref="B41:B43"/>
    <mergeCell ref="G41:G43"/>
    <mergeCell ref="I41:I43"/>
    <mergeCell ref="K41:K43"/>
    <mergeCell ref="I33:K34"/>
    <mergeCell ref="D34:H34"/>
    <mergeCell ref="F35:G35"/>
    <mergeCell ref="H35:O35"/>
    <mergeCell ref="A37:A39"/>
    <mergeCell ref="B37:B39"/>
    <mergeCell ref="G37:G39"/>
    <mergeCell ref="I37:I39"/>
    <mergeCell ref="K37:K39"/>
    <mergeCell ref="M37:M39"/>
    <mergeCell ref="O37:O39"/>
    <mergeCell ref="A30:C30"/>
    <mergeCell ref="E30:H30"/>
    <mergeCell ref="I30:J30"/>
    <mergeCell ref="K30:M30"/>
    <mergeCell ref="N30:O30"/>
    <mergeCell ref="A31:C31"/>
    <mergeCell ref="E31:H31"/>
    <mergeCell ref="I31:J31"/>
    <mergeCell ref="K31:M31"/>
    <mergeCell ref="N31:O31"/>
    <mergeCell ref="A28:C28"/>
    <mergeCell ref="E28:H28"/>
    <mergeCell ref="I28:J28"/>
    <mergeCell ref="K28:M28"/>
    <mergeCell ref="N28:O28"/>
    <mergeCell ref="A29:C29"/>
    <mergeCell ref="E29:H29"/>
    <mergeCell ref="I29:J29"/>
    <mergeCell ref="K29:M29"/>
    <mergeCell ref="N29:O29"/>
    <mergeCell ref="A27:D27"/>
    <mergeCell ref="E27:J27"/>
    <mergeCell ref="K27:O27"/>
    <mergeCell ref="A3:O3"/>
    <mergeCell ref="A4:O4"/>
    <mergeCell ref="H8:K8"/>
    <mergeCell ref="D23:D24"/>
    <mergeCell ref="A26:O26"/>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2A8D9-E91B-4AB5-8CE5-DFE7F1FCA1B6}">
  <sheetPr>
    <tabColor indexed="62"/>
  </sheetPr>
  <dimension ref="A1:P103"/>
  <sheetViews>
    <sheetView topLeftCell="A11" zoomScale="92" zoomScaleNormal="92" workbookViewId="0">
      <selection activeCell="A5" sqref="A5:O5"/>
    </sheetView>
  </sheetViews>
  <sheetFormatPr defaultColWidth="8.85546875" defaultRowHeight="12.75"/>
  <cols>
    <col min="1" max="1" width="14.42578125" style="378" customWidth="1"/>
    <col min="2" max="2" width="9.85546875" style="378" customWidth="1"/>
    <col min="3" max="3" width="15.28515625" style="769" customWidth="1"/>
    <col min="4" max="4" width="49.28515625" style="378" customWidth="1"/>
    <col min="5" max="5" width="16.140625" style="378" customWidth="1"/>
    <col min="6" max="6" width="15.42578125" style="455" customWidth="1"/>
    <col min="7" max="7" width="21.85546875" style="455" customWidth="1"/>
    <col min="8" max="8" width="22.7109375" style="378" customWidth="1"/>
    <col min="9" max="9" width="21.85546875" style="378" customWidth="1"/>
    <col min="10" max="10" width="22.5703125" style="378" customWidth="1"/>
    <col min="11" max="11" width="21.85546875" style="378" customWidth="1"/>
    <col min="12" max="12" width="23" style="378" customWidth="1"/>
    <col min="13" max="13" width="21.85546875" style="378" customWidth="1"/>
    <col min="14" max="14" width="23.42578125" style="378" customWidth="1"/>
    <col min="15" max="15" width="21.85546875" style="378" customWidth="1"/>
    <col min="16" max="16384" width="8.85546875" style="378"/>
  </cols>
  <sheetData>
    <row r="1" spans="1:15" s="437" customFormat="1" ht="13.5" thickBot="1">
      <c r="B1" s="852"/>
      <c r="C1" s="852"/>
      <c r="D1" s="380"/>
      <c r="E1" s="380"/>
      <c r="F1" s="381"/>
      <c r="G1" s="381"/>
      <c r="H1" s="381"/>
      <c r="I1" s="381"/>
      <c r="J1" s="381"/>
      <c r="K1" s="380"/>
      <c r="L1" s="381"/>
    </row>
    <row r="2" spans="1:15" s="437" customFormat="1">
      <c r="A2" s="853"/>
      <c r="B2" s="854"/>
      <c r="C2" s="854"/>
      <c r="D2" s="384"/>
      <c r="E2" s="384"/>
      <c r="F2" s="385"/>
      <c r="G2" s="385"/>
      <c r="H2" s="385"/>
      <c r="I2" s="386"/>
      <c r="J2" s="386"/>
      <c r="K2" s="386"/>
      <c r="L2" s="386"/>
      <c r="M2" s="853"/>
      <c r="N2" s="853"/>
      <c r="O2" s="853"/>
    </row>
    <row r="3" spans="1:15" s="437" customFormat="1">
      <c r="B3" s="852"/>
      <c r="C3" s="852"/>
      <c r="D3" s="380"/>
      <c r="E3" s="380"/>
      <c r="F3" s="381"/>
      <c r="G3" s="381"/>
      <c r="H3" s="381"/>
      <c r="I3" s="387"/>
      <c r="J3" s="387"/>
      <c r="K3" s="387"/>
      <c r="L3" s="387"/>
    </row>
    <row r="4" spans="1:15" s="437" customFormat="1" ht="27">
      <c r="A4" s="1141" t="s">
        <v>4465</v>
      </c>
      <c r="B4" s="1023"/>
      <c r="C4" s="1023"/>
      <c r="D4" s="1023"/>
      <c r="E4" s="1023"/>
      <c r="F4" s="1023"/>
      <c r="G4" s="1023"/>
      <c r="H4" s="1023"/>
      <c r="I4" s="1023"/>
      <c r="J4" s="1023"/>
      <c r="K4" s="1023"/>
      <c r="L4" s="1023"/>
      <c r="M4" s="1023"/>
      <c r="N4" s="1023"/>
      <c r="O4" s="1023"/>
    </row>
    <row r="5" spans="1:15" ht="56.25" customHeight="1">
      <c r="A5" s="1142" t="s">
        <v>702</v>
      </c>
      <c r="B5" s="1143"/>
      <c r="C5" s="1143"/>
      <c r="D5" s="1143"/>
      <c r="E5" s="1143"/>
      <c r="F5" s="1143"/>
      <c r="G5" s="1143"/>
      <c r="H5" s="1143"/>
      <c r="I5" s="1143"/>
      <c r="J5" s="1143"/>
      <c r="K5" s="1143"/>
      <c r="L5" s="1143"/>
      <c r="M5" s="1143"/>
      <c r="N5" s="1143"/>
      <c r="O5" s="1143"/>
    </row>
    <row r="6" spans="1:15" ht="13.5" thickBot="1">
      <c r="A6" s="389"/>
      <c r="B6" s="389"/>
      <c r="C6" s="882"/>
      <c r="D6" s="882"/>
      <c r="E6" s="882"/>
      <c r="F6" s="882"/>
      <c r="G6" s="882"/>
      <c r="H6" s="882"/>
      <c r="I6" s="882"/>
      <c r="J6" s="882"/>
      <c r="K6" s="882"/>
      <c r="L6" s="389"/>
      <c r="M6" s="389"/>
      <c r="N6" s="389"/>
      <c r="O6" s="389"/>
    </row>
    <row r="7" spans="1:15" ht="14.25">
      <c r="B7" s="851"/>
      <c r="C7" s="851"/>
      <c r="D7" s="391"/>
      <c r="E7" s="391"/>
      <c r="F7" s="391"/>
      <c r="G7" s="391"/>
      <c r="H7" s="391"/>
      <c r="I7" s="391"/>
      <c r="J7" s="391"/>
      <c r="K7" s="387"/>
      <c r="L7" s="392"/>
      <c r="M7" s="387"/>
      <c r="N7" s="387"/>
    </row>
    <row r="8" spans="1:15" ht="14.25">
      <c r="B8" s="404"/>
      <c r="C8" s="404"/>
      <c r="D8" s="387"/>
      <c r="E8" s="387"/>
      <c r="F8" s="1026" t="s">
        <v>3</v>
      </c>
      <c r="G8" s="1026"/>
      <c r="H8" s="1023"/>
      <c r="I8" s="1023"/>
      <c r="K8" s="387"/>
      <c r="L8" s="392"/>
      <c r="M8" s="395"/>
      <c r="N8" s="387"/>
    </row>
    <row r="9" spans="1:15" ht="14.25">
      <c r="B9" s="404"/>
      <c r="C9" s="404"/>
      <c r="D9" s="387"/>
      <c r="E9" s="387"/>
      <c r="F9" s="387"/>
      <c r="G9" s="392" t="s">
        <v>210</v>
      </c>
      <c r="H9" s="850" t="s">
        <v>458</v>
      </c>
      <c r="I9" s="394"/>
      <c r="J9" s="392"/>
      <c r="K9" s="399"/>
      <c r="L9" s="392"/>
      <c r="M9" s="387"/>
      <c r="N9" s="387"/>
    </row>
    <row r="10" spans="1:15" ht="14.25">
      <c r="B10" s="404"/>
      <c r="C10" s="404"/>
      <c r="D10" s="387"/>
      <c r="E10" s="387"/>
      <c r="F10" s="387"/>
      <c r="G10" s="392" t="s">
        <v>212</v>
      </c>
      <c r="H10" s="850" t="s">
        <v>459</v>
      </c>
      <c r="I10" s="394"/>
      <c r="J10" s="392"/>
      <c r="K10" s="399"/>
      <c r="L10" s="392"/>
      <c r="M10" s="387"/>
      <c r="N10" s="387"/>
    </row>
    <row r="11" spans="1:15">
      <c r="B11" s="404"/>
      <c r="C11" s="404"/>
      <c r="D11" s="387"/>
      <c r="E11" s="387"/>
      <c r="F11" s="387"/>
      <c r="G11" s="392" t="s">
        <v>214</v>
      </c>
      <c r="H11" s="850" t="s">
        <v>460</v>
      </c>
      <c r="J11" s="392"/>
    </row>
    <row r="12" spans="1:15" ht="14.25">
      <c r="B12" s="404"/>
      <c r="C12" s="404"/>
      <c r="D12" s="387"/>
      <c r="E12" s="387"/>
      <c r="F12" s="387"/>
      <c r="G12" s="392" t="s">
        <v>8</v>
      </c>
      <c r="H12" s="387" t="s">
        <v>715</v>
      </c>
      <c r="I12" s="394"/>
      <c r="J12" s="392"/>
      <c r="K12" s="394"/>
      <c r="L12" s="394"/>
    </row>
    <row r="13" spans="1:15" ht="14.25">
      <c r="B13" s="404"/>
      <c r="C13" s="404"/>
      <c r="D13" s="387"/>
      <c r="E13" s="387"/>
      <c r="F13" s="387"/>
      <c r="G13" s="392" t="s">
        <v>9</v>
      </c>
      <c r="H13" s="387" t="s">
        <v>716</v>
      </c>
      <c r="I13" s="394"/>
      <c r="J13" s="392"/>
      <c r="K13" s="394"/>
      <c r="L13" s="394"/>
    </row>
    <row r="14" spans="1:15" ht="14.25">
      <c r="B14" s="404"/>
      <c r="C14" s="404"/>
      <c r="D14" s="387"/>
      <c r="E14" s="387"/>
      <c r="F14" s="387"/>
      <c r="G14" s="392" t="s">
        <v>10</v>
      </c>
      <c r="H14" s="387" t="s">
        <v>215</v>
      </c>
      <c r="I14" s="394"/>
      <c r="J14" s="392"/>
      <c r="K14" s="394"/>
      <c r="L14" s="394"/>
    </row>
    <row r="15" spans="1:15" ht="14.25">
      <c r="B15" s="404"/>
      <c r="C15" s="404"/>
      <c r="D15" s="387"/>
      <c r="E15" s="387"/>
      <c r="F15" s="387"/>
      <c r="G15" s="392" t="s">
        <v>12</v>
      </c>
      <c r="H15" s="387" t="s">
        <v>717</v>
      </c>
      <c r="I15" s="394"/>
      <c r="J15" s="392"/>
      <c r="K15" s="394"/>
      <c r="L15" s="394"/>
    </row>
    <row r="16" spans="1:15" ht="14.25">
      <c r="B16" s="404"/>
      <c r="C16" s="404"/>
      <c r="D16" s="387"/>
      <c r="E16" s="387"/>
      <c r="F16" s="387"/>
      <c r="G16" s="392"/>
      <c r="H16" s="387" t="s">
        <v>718</v>
      </c>
      <c r="I16" s="394"/>
      <c r="J16" s="392"/>
      <c r="K16" s="394"/>
      <c r="L16" s="394"/>
    </row>
    <row r="17" spans="1:15" ht="14.25">
      <c r="B17" s="404"/>
      <c r="C17" s="404"/>
      <c r="D17" s="387"/>
      <c r="E17" s="387"/>
      <c r="F17" s="387"/>
      <c r="G17" s="392" t="s">
        <v>13</v>
      </c>
      <c r="H17" s="387" t="s">
        <v>60</v>
      </c>
      <c r="I17" s="397"/>
      <c r="J17" s="392"/>
      <c r="K17" s="397"/>
      <c r="L17" s="397"/>
    </row>
    <row r="18" spans="1:15" ht="14.25">
      <c r="B18" s="404"/>
      <c r="C18" s="404"/>
      <c r="D18" s="387"/>
      <c r="E18" s="387"/>
      <c r="F18" s="387"/>
      <c r="G18" s="392" t="s">
        <v>16</v>
      </c>
      <c r="H18" s="387" t="s">
        <v>218</v>
      </c>
      <c r="I18" s="397"/>
      <c r="J18" s="392"/>
      <c r="K18" s="397"/>
      <c r="L18" s="397"/>
    </row>
    <row r="19" spans="1:15" ht="14.25">
      <c r="B19" s="404"/>
      <c r="C19" s="404"/>
      <c r="D19" s="387"/>
      <c r="E19" s="387"/>
      <c r="F19" s="387"/>
      <c r="G19" s="392" t="s">
        <v>219</v>
      </c>
      <c r="H19" s="850" t="s">
        <v>706</v>
      </c>
      <c r="I19" s="397"/>
      <c r="J19" s="392"/>
      <c r="K19" s="397"/>
      <c r="L19" s="397"/>
    </row>
    <row r="20" spans="1:15" ht="14.25">
      <c r="B20" s="404"/>
      <c r="C20" s="404"/>
      <c r="D20" s="387"/>
      <c r="E20" s="387"/>
      <c r="F20" s="387"/>
      <c r="G20" s="392" t="s">
        <v>220</v>
      </c>
      <c r="H20" s="850" t="s">
        <v>461</v>
      </c>
      <c r="I20" s="397"/>
      <c r="J20" s="392"/>
      <c r="K20" s="397"/>
      <c r="L20" s="397"/>
    </row>
    <row r="21" spans="1:15" ht="14.25">
      <c r="B21" s="404"/>
      <c r="C21" s="404"/>
      <c r="D21" s="387"/>
      <c r="E21" s="387"/>
      <c r="F21" s="387"/>
      <c r="G21" s="392" t="s">
        <v>21</v>
      </c>
      <c r="H21" s="850" t="s">
        <v>707</v>
      </c>
      <c r="I21" s="397"/>
      <c r="J21" s="392"/>
      <c r="K21" s="397"/>
      <c r="L21" s="397"/>
    </row>
    <row r="22" spans="1:15" ht="13.5" customHeight="1">
      <c r="B22" s="404"/>
      <c r="C22" s="404"/>
      <c r="D22" s="387"/>
      <c r="E22" s="387"/>
      <c r="F22" s="387"/>
      <c r="G22" s="392" t="s">
        <v>22</v>
      </c>
      <c r="H22" s="400" t="s">
        <v>708</v>
      </c>
      <c r="I22" s="397"/>
      <c r="J22" s="397"/>
      <c r="K22" s="397"/>
      <c r="L22" s="397"/>
    </row>
    <row r="23" spans="1:15" s="387" customFormat="1" ht="15" thickBot="1">
      <c r="A23" s="1104" t="s">
        <v>23</v>
      </c>
      <c r="B23" s="1037"/>
      <c r="C23" s="1037"/>
      <c r="D23" s="1037"/>
      <c r="E23" s="1037"/>
      <c r="F23" s="1037"/>
      <c r="G23" s="1037"/>
      <c r="H23" s="1037"/>
      <c r="I23" s="1037"/>
      <c r="J23" s="1037"/>
      <c r="K23" s="1037"/>
      <c r="L23" s="1037"/>
      <c r="M23" s="1037"/>
      <c r="N23" s="1037"/>
      <c r="O23" s="1037"/>
    </row>
    <row r="24" spans="1:15" s="387" customFormat="1" ht="14.25">
      <c r="A24" s="1098" t="s">
        <v>81</v>
      </c>
      <c r="B24" s="1099"/>
      <c r="C24" s="1099"/>
      <c r="D24" s="1100"/>
      <c r="E24" s="1101" t="s">
        <v>82</v>
      </c>
      <c r="F24" s="1061"/>
      <c r="G24" s="1061"/>
      <c r="H24" s="1061"/>
      <c r="I24" s="1061"/>
      <c r="J24" s="1061"/>
      <c r="K24" s="1102"/>
      <c r="L24" s="1098" t="s">
        <v>83</v>
      </c>
      <c r="M24" s="1061"/>
      <c r="N24" s="1061"/>
      <c r="O24" s="1102"/>
    </row>
    <row r="25" spans="1:15" s="387" customFormat="1" ht="12.75" customHeight="1">
      <c r="A25" s="1030" t="s">
        <v>160</v>
      </c>
      <c r="B25" s="1031"/>
      <c r="C25" s="1031"/>
      <c r="D25" s="401" t="s">
        <v>161</v>
      </c>
      <c r="E25" s="1030" t="s">
        <v>160</v>
      </c>
      <c r="F25" s="1023"/>
      <c r="G25" s="1023"/>
      <c r="H25" s="1023"/>
      <c r="I25" s="1109" t="s">
        <v>162</v>
      </c>
      <c r="J25" s="1139"/>
      <c r="K25" s="1106"/>
      <c r="L25" s="1030" t="s">
        <v>160</v>
      </c>
      <c r="M25" s="1023"/>
      <c r="N25" s="1110" t="s">
        <v>162</v>
      </c>
      <c r="O25" s="1111"/>
    </row>
    <row r="26" spans="1:15" s="387" customFormat="1" ht="12.75" customHeight="1">
      <c r="A26" s="1030" t="s">
        <v>43</v>
      </c>
      <c r="B26" s="1031"/>
      <c r="C26" s="1031"/>
      <c r="D26" s="402">
        <v>0</v>
      </c>
      <c r="E26" s="1030" t="s">
        <v>43</v>
      </c>
      <c r="F26" s="1023"/>
      <c r="G26" s="1023"/>
      <c r="H26" s="1023"/>
      <c r="I26" s="1105">
        <v>600</v>
      </c>
      <c r="J26" s="1139"/>
      <c r="K26" s="1106"/>
      <c r="L26" s="1030" t="s">
        <v>43</v>
      </c>
      <c r="M26" s="1023"/>
      <c r="N26" s="1107">
        <v>900</v>
      </c>
      <c r="O26" s="1108"/>
    </row>
    <row r="27" spans="1:15" s="387" customFormat="1" ht="12.75" customHeight="1">
      <c r="A27" s="1030" t="s">
        <v>164</v>
      </c>
      <c r="B27" s="1031"/>
      <c r="C27" s="1031"/>
      <c r="D27" s="401" t="s">
        <v>165</v>
      </c>
      <c r="E27" s="1030" t="s">
        <v>164</v>
      </c>
      <c r="F27" s="1023"/>
      <c r="G27" s="1023"/>
      <c r="H27" s="1023"/>
      <c r="I27" s="1109" t="s">
        <v>76</v>
      </c>
      <c r="J27" s="1139"/>
      <c r="K27" s="1106"/>
      <c r="L27" s="1030" t="s">
        <v>164</v>
      </c>
      <c r="M27" s="1023"/>
      <c r="N27" s="1110" t="s">
        <v>77</v>
      </c>
      <c r="O27" s="1111"/>
    </row>
    <row r="28" spans="1:15" s="387" customFormat="1" ht="12.75" customHeight="1">
      <c r="A28" s="1030" t="s">
        <v>46</v>
      </c>
      <c r="B28" s="1031"/>
      <c r="C28" s="1031"/>
      <c r="D28" s="401" t="s">
        <v>84</v>
      </c>
      <c r="E28" s="1030" t="s">
        <v>47</v>
      </c>
      <c r="F28" s="1023"/>
      <c r="G28" s="1023"/>
      <c r="H28" s="1023"/>
      <c r="I28" s="1109" t="s">
        <v>48</v>
      </c>
      <c r="J28" s="1139"/>
      <c r="K28" s="1106"/>
      <c r="L28" s="1030" t="s">
        <v>166</v>
      </c>
      <c r="M28" s="1023"/>
      <c r="N28" s="1110" t="s">
        <v>808</v>
      </c>
      <c r="O28" s="1111"/>
    </row>
    <row r="29" spans="1:15" s="387" customFormat="1" ht="12.75" customHeight="1" thickBot="1">
      <c r="A29" s="1035" t="s">
        <v>225</v>
      </c>
      <c r="B29" s="1036"/>
      <c r="C29" s="1036"/>
      <c r="D29" s="403" t="s">
        <v>809</v>
      </c>
      <c r="E29" s="1035" t="s">
        <v>225</v>
      </c>
      <c r="F29" s="1036"/>
      <c r="G29" s="1037"/>
      <c r="H29" s="1037"/>
      <c r="I29" s="1112" t="s">
        <v>3550</v>
      </c>
      <c r="J29" s="1112"/>
      <c r="K29" s="1138"/>
      <c r="L29" s="1035" t="s">
        <v>225</v>
      </c>
      <c r="M29" s="1037"/>
      <c r="N29" s="1037" t="s">
        <v>3550</v>
      </c>
      <c r="O29" s="1038"/>
    </row>
    <row r="30" spans="1:15" s="387" customFormat="1" ht="12.75" customHeight="1">
      <c r="D30" s="399"/>
      <c r="E30" s="399"/>
      <c r="F30" s="1039"/>
      <c r="G30" s="1023"/>
      <c r="H30" s="1023"/>
      <c r="I30" s="1023"/>
      <c r="J30" s="1023"/>
      <c r="K30" s="778"/>
      <c r="L30" s="778"/>
      <c r="M30" s="392"/>
    </row>
    <row r="31" spans="1:15" ht="15" thickBot="1">
      <c r="B31" s="404"/>
      <c r="C31" s="404"/>
      <c r="D31" s="387"/>
      <c r="E31" s="387"/>
      <c r="F31" s="616"/>
      <c r="G31" s="616"/>
      <c r="H31" s="392"/>
      <c r="I31" s="387"/>
      <c r="J31" s="387"/>
      <c r="K31" s="397"/>
      <c r="L31" s="387"/>
    </row>
    <row r="32" spans="1:15" ht="13.5" thickBot="1">
      <c r="B32" s="404"/>
      <c r="C32" s="404"/>
      <c r="D32" s="387"/>
      <c r="E32" s="387"/>
      <c r="F32" s="1088" t="s">
        <v>167</v>
      </c>
      <c r="G32" s="1041"/>
      <c r="H32" s="1042" t="s">
        <v>168</v>
      </c>
      <c r="I32" s="1043"/>
      <c r="J32" s="1116"/>
      <c r="K32" s="1044"/>
      <c r="L32" s="1044"/>
      <c r="M32" s="1044"/>
      <c r="N32" s="1044"/>
      <c r="O32" s="1045"/>
    </row>
    <row r="33" spans="1:16" ht="58.5" customHeight="1" thickBot="1">
      <c r="A33" s="411" t="s">
        <v>122</v>
      </c>
      <c r="B33" s="411" t="s">
        <v>169</v>
      </c>
      <c r="C33" s="412" t="s">
        <v>170</v>
      </c>
      <c r="D33" s="412" t="s">
        <v>171</v>
      </c>
      <c r="E33" s="412" t="s">
        <v>172</v>
      </c>
      <c r="F33" s="412" t="s">
        <v>173</v>
      </c>
      <c r="G33" s="411" t="s">
        <v>174</v>
      </c>
      <c r="H33" s="412" t="s">
        <v>175</v>
      </c>
      <c r="I33" s="411" t="s">
        <v>174</v>
      </c>
      <c r="J33" s="848" t="s">
        <v>176</v>
      </c>
      <c r="K33" s="411" t="s">
        <v>174</v>
      </c>
      <c r="L33" s="412" t="s">
        <v>177</v>
      </c>
      <c r="M33" s="411" t="s">
        <v>174</v>
      </c>
      <c r="N33" s="412" t="s">
        <v>178</v>
      </c>
      <c r="O33" s="411" t="s">
        <v>174</v>
      </c>
    </row>
    <row r="34" spans="1:16" s="388" customFormat="1" ht="13.5" thickBot="1">
      <c r="A34" s="1046">
        <v>13</v>
      </c>
      <c r="B34" s="1136"/>
      <c r="C34" s="839" t="s">
        <v>4463</v>
      </c>
      <c r="D34" s="838" t="s">
        <v>4464</v>
      </c>
      <c r="E34" s="837">
        <v>19480</v>
      </c>
      <c r="F34" s="883">
        <f>SUM(E34:E36)*(1-74%)</f>
        <v>5157.62</v>
      </c>
      <c r="G34" s="1050">
        <f>F34*B34</f>
        <v>0</v>
      </c>
      <c r="H34" s="884">
        <f>F34*0.0832</f>
        <v>429.11398399999996</v>
      </c>
      <c r="I34" s="1050">
        <f>H34*B34</f>
        <v>0</v>
      </c>
      <c r="J34" s="885">
        <f>F34*0.0313</f>
        <v>161.43350599999999</v>
      </c>
      <c r="K34" s="1194">
        <f>J34*B34</f>
        <v>0</v>
      </c>
      <c r="L34" s="417">
        <f>F34*0.0256</f>
        <v>132.03507200000001</v>
      </c>
      <c r="M34" s="1050">
        <f>L34*B34</f>
        <v>0</v>
      </c>
      <c r="N34" s="417">
        <f>F34*0.0213</f>
        <v>109.85730599999999</v>
      </c>
      <c r="O34" s="1050">
        <f>N34*B34</f>
        <v>0</v>
      </c>
    </row>
    <row r="35" spans="1:16" ht="15" thickBot="1">
      <c r="A35" s="1047"/>
      <c r="B35" s="1137"/>
      <c r="C35" s="834" t="s">
        <v>714</v>
      </c>
      <c r="D35" s="833" t="s">
        <v>670</v>
      </c>
      <c r="E35" s="832">
        <v>282</v>
      </c>
      <c r="F35" s="422" t="s">
        <v>162</v>
      </c>
      <c r="G35" s="1189"/>
      <c r="H35" s="422" t="s">
        <v>162</v>
      </c>
      <c r="I35" s="1189"/>
      <c r="J35" s="847" t="s">
        <v>162</v>
      </c>
      <c r="K35" s="1195"/>
      <c r="L35" s="423" t="s">
        <v>162</v>
      </c>
      <c r="M35" s="1137"/>
      <c r="N35" s="423" t="s">
        <v>162</v>
      </c>
      <c r="O35" s="1137"/>
    </row>
    <row r="36" spans="1:16" ht="13.5" thickBot="1">
      <c r="A36" s="1048"/>
      <c r="B36" s="1049"/>
      <c r="C36" s="764" t="s">
        <v>179</v>
      </c>
      <c r="D36" s="795" t="s">
        <v>180</v>
      </c>
      <c r="E36" s="830">
        <v>75</v>
      </c>
      <c r="F36" s="422" t="s">
        <v>162</v>
      </c>
      <c r="G36" s="1190"/>
      <c r="H36" s="422" t="s">
        <v>162</v>
      </c>
      <c r="I36" s="1190"/>
      <c r="J36" s="847" t="s">
        <v>162</v>
      </c>
      <c r="K36" s="1195"/>
      <c r="L36" s="423" t="s">
        <v>162</v>
      </c>
      <c r="M36" s="1137"/>
      <c r="N36" s="423" t="s">
        <v>162</v>
      </c>
      <c r="O36" s="1182"/>
    </row>
    <row r="37" spans="1:16" ht="13.5" thickBot="1">
      <c r="A37" s="846"/>
      <c r="B37" s="430"/>
      <c r="C37" s="431"/>
      <c r="D37" s="757"/>
      <c r="E37" s="845"/>
      <c r="F37" s="434"/>
      <c r="G37" s="855"/>
      <c r="H37" s="434"/>
      <c r="I37" s="855"/>
      <c r="J37" s="434"/>
      <c r="K37" s="856"/>
      <c r="L37" s="857"/>
      <c r="M37" s="858"/>
      <c r="N37" s="858"/>
      <c r="O37" s="859"/>
    </row>
    <row r="38" spans="1:16" s="388" customFormat="1" ht="13.5" thickBot="1">
      <c r="A38" s="1046" t="s">
        <v>85</v>
      </c>
      <c r="B38" s="1136"/>
      <c r="C38" s="839" t="s">
        <v>4463</v>
      </c>
      <c r="D38" s="838" t="s">
        <v>4464</v>
      </c>
      <c r="E38" s="837">
        <v>19480</v>
      </c>
      <c r="F38" s="883">
        <f>SUM(E38:E40)*(1-74%)</f>
        <v>5157.62</v>
      </c>
      <c r="G38" s="1050">
        <f>F38*B38</f>
        <v>0</v>
      </c>
      <c r="H38" s="884">
        <f>F38*0.0832+I26/12</f>
        <v>479.11398399999996</v>
      </c>
      <c r="I38" s="1050">
        <f>H38*B38</f>
        <v>0</v>
      </c>
      <c r="J38" s="885">
        <f>F38*0.0313+I26/12</f>
        <v>211.43350599999999</v>
      </c>
      <c r="K38" s="1194">
        <f>J38*B38</f>
        <v>0</v>
      </c>
      <c r="L38" s="417">
        <f>F38*0.0256+I26/12</f>
        <v>182.03507200000001</v>
      </c>
      <c r="M38" s="1050">
        <f>L38*B38</f>
        <v>0</v>
      </c>
      <c r="N38" s="417">
        <f>F38*0.0213+I26/12</f>
        <v>159.85730599999999</v>
      </c>
      <c r="O38" s="1050">
        <f>N38*B38</f>
        <v>0</v>
      </c>
    </row>
    <row r="39" spans="1:16" ht="15" thickBot="1">
      <c r="A39" s="1047"/>
      <c r="B39" s="1137"/>
      <c r="C39" s="834" t="s">
        <v>714</v>
      </c>
      <c r="D39" s="833" t="s">
        <v>670</v>
      </c>
      <c r="E39" s="832">
        <v>282</v>
      </c>
      <c r="F39" s="422" t="s">
        <v>162</v>
      </c>
      <c r="G39" s="1130"/>
      <c r="H39" s="52" t="s">
        <v>162</v>
      </c>
      <c r="I39" s="1130"/>
      <c r="J39" s="831" t="s">
        <v>162</v>
      </c>
      <c r="K39" s="1132"/>
      <c r="L39" s="53" t="s">
        <v>162</v>
      </c>
      <c r="M39" s="1117"/>
      <c r="N39" s="53" t="s">
        <v>162</v>
      </c>
      <c r="O39" s="1117"/>
    </row>
    <row r="40" spans="1:16" ht="13.5" thickBot="1">
      <c r="A40" s="1048"/>
      <c r="B40" s="1049"/>
      <c r="C40" s="764" t="s">
        <v>179</v>
      </c>
      <c r="D40" s="795" t="s">
        <v>180</v>
      </c>
      <c r="E40" s="830">
        <v>75</v>
      </c>
      <c r="F40" s="422" t="s">
        <v>162</v>
      </c>
      <c r="G40" s="1190"/>
      <c r="H40" s="422" t="s">
        <v>162</v>
      </c>
      <c r="I40" s="1190"/>
      <c r="J40" s="847" t="s">
        <v>162</v>
      </c>
      <c r="K40" s="1195"/>
      <c r="L40" s="423" t="s">
        <v>162</v>
      </c>
      <c r="M40" s="1137"/>
      <c r="N40" s="423" t="s">
        <v>162</v>
      </c>
      <c r="O40" s="1182"/>
    </row>
    <row r="41" spans="1:16" ht="13.5" thickBot="1">
      <c r="A41" s="846"/>
      <c r="B41" s="430"/>
      <c r="C41" s="431"/>
      <c r="D41" s="757"/>
      <c r="E41" s="845"/>
      <c r="F41" s="54"/>
      <c r="G41" s="844"/>
      <c r="H41" s="54"/>
      <c r="I41" s="844"/>
      <c r="J41" s="54"/>
      <c r="K41" s="843"/>
      <c r="L41" s="842"/>
      <c r="M41" s="841"/>
      <c r="N41" s="841"/>
      <c r="O41" s="840"/>
    </row>
    <row r="42" spans="1:16" s="388" customFormat="1" ht="13.5" thickBot="1">
      <c r="A42" s="1046" t="s">
        <v>86</v>
      </c>
      <c r="B42" s="1136"/>
      <c r="C42" s="839" t="s">
        <v>4463</v>
      </c>
      <c r="D42" s="838" t="s">
        <v>4464</v>
      </c>
      <c r="E42" s="837">
        <v>19480</v>
      </c>
      <c r="F42" s="883">
        <f>SUM(E42:E44)*(1-74%)</f>
        <v>5157.62</v>
      </c>
      <c r="G42" s="1062">
        <f>F42*B42</f>
        <v>0</v>
      </c>
      <c r="H42" s="836">
        <f>F42*0.0832+N26/12</f>
        <v>504.11398399999996</v>
      </c>
      <c r="I42" s="1062">
        <f>H42*B42</f>
        <v>0</v>
      </c>
      <c r="J42" s="835">
        <f>F42*0.0313+N26/12</f>
        <v>236.43350599999999</v>
      </c>
      <c r="K42" s="1131">
        <f>J42*B42</f>
        <v>0</v>
      </c>
      <c r="L42" s="51">
        <f>F42*0.0256+N26/12</f>
        <v>207.03507200000001</v>
      </c>
      <c r="M42" s="1062">
        <f>L42*B42</f>
        <v>0</v>
      </c>
      <c r="N42" s="51">
        <f>F42*0.0213+N26/12</f>
        <v>184.85730599999999</v>
      </c>
      <c r="O42" s="1062">
        <f>N42*B42</f>
        <v>0</v>
      </c>
    </row>
    <row r="43" spans="1:16" ht="15" thickBot="1">
      <c r="A43" s="1047"/>
      <c r="B43" s="1137"/>
      <c r="C43" s="834" t="s">
        <v>714</v>
      </c>
      <c r="D43" s="833" t="s">
        <v>670</v>
      </c>
      <c r="E43" s="832">
        <v>282</v>
      </c>
      <c r="F43" s="52" t="s">
        <v>162</v>
      </c>
      <c r="G43" s="1130"/>
      <c r="H43" s="52" t="s">
        <v>162</v>
      </c>
      <c r="I43" s="1130"/>
      <c r="J43" s="831" t="s">
        <v>162</v>
      </c>
      <c r="K43" s="1132"/>
      <c r="L43" s="53" t="s">
        <v>162</v>
      </c>
      <c r="M43" s="1117"/>
      <c r="N43" s="53" t="s">
        <v>162</v>
      </c>
      <c r="O43" s="1117"/>
    </row>
    <row r="44" spans="1:16" ht="13.5" thickBot="1">
      <c r="A44" s="1047"/>
      <c r="B44" s="1137"/>
      <c r="C44" s="764" t="s">
        <v>179</v>
      </c>
      <c r="D44" s="795" t="s">
        <v>180</v>
      </c>
      <c r="E44" s="830">
        <v>75</v>
      </c>
      <c r="F44" s="52" t="s">
        <v>162</v>
      </c>
      <c r="G44" s="1130"/>
      <c r="H44" s="58" t="s">
        <v>162</v>
      </c>
      <c r="I44" s="1130"/>
      <c r="J44" s="829" t="s">
        <v>162</v>
      </c>
      <c r="K44" s="1133"/>
      <c r="L44" s="828" t="s">
        <v>162</v>
      </c>
      <c r="M44" s="1117"/>
      <c r="N44" s="828" t="s">
        <v>162</v>
      </c>
      <c r="O44" s="1127"/>
    </row>
    <row r="45" spans="1:16" ht="13.5" customHeight="1" thickBot="1">
      <c r="A45" s="1135" t="s">
        <v>182</v>
      </c>
      <c r="B45" s="1044"/>
      <c r="C45" s="1044"/>
      <c r="D45" s="1044"/>
      <c r="E45" s="1044"/>
      <c r="F45" s="1055"/>
      <c r="G45" s="1055"/>
      <c r="H45" s="1055"/>
      <c r="I45" s="1055"/>
      <c r="J45" s="1055"/>
      <c r="K45" s="1055"/>
      <c r="L45" s="1055"/>
      <c r="M45" s="1055"/>
      <c r="N45" s="1055"/>
      <c r="O45" s="1056"/>
    </row>
    <row r="46" spans="1:16" ht="13.5" thickBot="1">
      <c r="A46" s="1144"/>
      <c r="B46" s="438"/>
      <c r="C46" s="824" t="s">
        <v>209</v>
      </c>
      <c r="D46" s="727" t="s">
        <v>66</v>
      </c>
      <c r="E46" s="693">
        <v>975.85567010309285</v>
      </c>
      <c r="F46" s="59">
        <f t="shared" ref="F46:F102" si="0">E46*(1-40%)</f>
        <v>585.51340206185569</v>
      </c>
      <c r="G46" s="61">
        <f t="shared" ref="G46:G102" si="1">F46*B46</f>
        <v>0</v>
      </c>
      <c r="H46" s="60">
        <f t="shared" ref="H46:H102" si="2">F46*0.0832</f>
        <v>48.714715051546392</v>
      </c>
      <c r="I46" s="61">
        <f t="shared" ref="I46:I102" si="3">H46*B46</f>
        <v>0</v>
      </c>
      <c r="J46" s="820">
        <f t="shared" ref="J46:J102" si="4">F46*0.0313</f>
        <v>18.326569484536083</v>
      </c>
      <c r="K46" s="61">
        <f t="shared" ref="K46:K102" si="5">J46*B46</f>
        <v>0</v>
      </c>
      <c r="L46" s="60">
        <f t="shared" ref="L46:L102" si="6">F46*0.0256</f>
        <v>14.989143092783506</v>
      </c>
      <c r="M46" s="61">
        <f t="shared" ref="M46:M102" si="7">L46*B46</f>
        <v>0</v>
      </c>
      <c r="N46" s="820">
        <f t="shared" ref="N46:N102" si="8">F46*0.0213</f>
        <v>12.471435463917526</v>
      </c>
      <c r="O46" s="61">
        <f t="shared" ref="O46:O102" si="9">N46*B46</f>
        <v>0</v>
      </c>
      <c r="P46" s="816"/>
    </row>
    <row r="47" spans="1:16" ht="13.5" thickBot="1">
      <c r="A47" s="1145"/>
      <c r="B47" s="441"/>
      <c r="C47" s="419" t="s">
        <v>486</v>
      </c>
      <c r="D47" s="825" t="s">
        <v>671</v>
      </c>
      <c r="E47" s="693">
        <v>134.01030927835052</v>
      </c>
      <c r="F47" s="59">
        <f t="shared" si="0"/>
        <v>80.406185567010311</v>
      </c>
      <c r="G47" s="62">
        <f t="shared" si="1"/>
        <v>0</v>
      </c>
      <c r="H47" s="60">
        <f t="shared" si="2"/>
        <v>6.6897946391752576</v>
      </c>
      <c r="I47" s="61">
        <f t="shared" si="3"/>
        <v>0</v>
      </c>
      <c r="J47" s="820">
        <f t="shared" si="4"/>
        <v>2.5167136082474229</v>
      </c>
      <c r="K47" s="61">
        <f t="shared" si="5"/>
        <v>0</v>
      </c>
      <c r="L47" s="60">
        <f t="shared" si="6"/>
        <v>2.0583983505154642</v>
      </c>
      <c r="M47" s="61">
        <f t="shared" si="7"/>
        <v>0</v>
      </c>
      <c r="N47" s="820">
        <f t="shared" si="8"/>
        <v>1.7126517525773195</v>
      </c>
      <c r="O47" s="61">
        <f t="shared" si="9"/>
        <v>0</v>
      </c>
      <c r="P47" s="816"/>
    </row>
    <row r="48" spans="1:16" ht="13.5" thickBot="1">
      <c r="A48" s="1145"/>
      <c r="B48" s="441"/>
      <c r="C48" s="824" t="s">
        <v>3491</v>
      </c>
      <c r="D48" s="825" t="s">
        <v>3568</v>
      </c>
      <c r="E48" s="693">
        <v>411.34020618556701</v>
      </c>
      <c r="F48" s="59">
        <f t="shared" si="0"/>
        <v>246.8041237113402</v>
      </c>
      <c r="G48" s="62">
        <f t="shared" si="1"/>
        <v>0</v>
      </c>
      <c r="H48" s="60">
        <f t="shared" si="2"/>
        <v>20.534103092783504</v>
      </c>
      <c r="I48" s="61">
        <f t="shared" si="3"/>
        <v>0</v>
      </c>
      <c r="J48" s="820">
        <f t="shared" si="4"/>
        <v>7.7249690721649484</v>
      </c>
      <c r="K48" s="61">
        <f t="shared" si="5"/>
        <v>0</v>
      </c>
      <c r="L48" s="60">
        <f t="shared" si="6"/>
        <v>6.3181855670103095</v>
      </c>
      <c r="M48" s="61">
        <f t="shared" si="7"/>
        <v>0</v>
      </c>
      <c r="N48" s="820">
        <f t="shared" si="8"/>
        <v>5.2569278350515463</v>
      </c>
      <c r="O48" s="61">
        <f t="shared" si="9"/>
        <v>0</v>
      </c>
      <c r="P48" s="816"/>
    </row>
    <row r="49" spans="1:16" ht="13.5" thickBot="1">
      <c r="A49" s="1145"/>
      <c r="B49" s="441"/>
      <c r="C49" s="419" t="s">
        <v>472</v>
      </c>
      <c r="D49" s="825" t="s">
        <v>720</v>
      </c>
      <c r="E49" s="693">
        <v>257.73195876288662</v>
      </c>
      <c r="F49" s="442">
        <f t="shared" si="0"/>
        <v>154.63917525773198</v>
      </c>
      <c r="G49" s="62">
        <f t="shared" si="1"/>
        <v>0</v>
      </c>
      <c r="H49" s="443">
        <f t="shared" si="2"/>
        <v>12.865979381443299</v>
      </c>
      <c r="I49" s="61">
        <f t="shared" si="3"/>
        <v>0</v>
      </c>
      <c r="J49" s="466">
        <f t="shared" si="4"/>
        <v>4.8402061855670109</v>
      </c>
      <c r="K49" s="61">
        <f t="shared" si="5"/>
        <v>0</v>
      </c>
      <c r="L49" s="443">
        <f t="shared" si="6"/>
        <v>3.9587628865979387</v>
      </c>
      <c r="M49" s="61">
        <f t="shared" si="7"/>
        <v>0</v>
      </c>
      <c r="N49" s="466">
        <f t="shared" si="8"/>
        <v>3.293814432989691</v>
      </c>
      <c r="O49" s="61">
        <f t="shared" si="9"/>
        <v>0</v>
      </c>
      <c r="P49" s="816"/>
    </row>
    <row r="50" spans="1:16" ht="13.5" thickBot="1">
      <c r="A50" s="1145"/>
      <c r="B50" s="441"/>
      <c r="C50" s="419" t="s">
        <v>689</v>
      </c>
      <c r="D50" s="825" t="s">
        <v>712</v>
      </c>
      <c r="E50" s="693">
        <v>412.37113402061857</v>
      </c>
      <c r="F50" s="442">
        <f t="shared" si="0"/>
        <v>247.42268041237114</v>
      </c>
      <c r="G50" s="444">
        <f t="shared" si="1"/>
        <v>0</v>
      </c>
      <c r="H50" s="443">
        <f t="shared" si="2"/>
        <v>20.585567010309276</v>
      </c>
      <c r="I50" s="465">
        <f t="shared" si="3"/>
        <v>0</v>
      </c>
      <c r="J50" s="466">
        <f t="shared" si="4"/>
        <v>7.7443298969072165</v>
      </c>
      <c r="K50" s="465">
        <f t="shared" si="5"/>
        <v>0</v>
      </c>
      <c r="L50" s="443">
        <f t="shared" si="6"/>
        <v>6.3340206185567016</v>
      </c>
      <c r="M50" s="465">
        <f t="shared" si="7"/>
        <v>0</v>
      </c>
      <c r="N50" s="466">
        <f t="shared" si="8"/>
        <v>5.2701030927835051</v>
      </c>
      <c r="O50" s="465">
        <f t="shared" si="9"/>
        <v>0</v>
      </c>
      <c r="P50" s="816"/>
    </row>
    <row r="51" spans="1:16" ht="13.5" thickBot="1">
      <c r="A51" s="1145"/>
      <c r="B51" s="441"/>
      <c r="C51" s="419" t="s">
        <v>690</v>
      </c>
      <c r="D51" s="420" t="s">
        <v>721</v>
      </c>
      <c r="E51" s="693">
        <v>514.43298969072168</v>
      </c>
      <c r="F51" s="442">
        <f t="shared" si="0"/>
        <v>308.65979381443299</v>
      </c>
      <c r="G51" s="444">
        <f t="shared" si="1"/>
        <v>0</v>
      </c>
      <c r="H51" s="443">
        <f t="shared" si="2"/>
        <v>25.680494845360823</v>
      </c>
      <c r="I51" s="465">
        <f t="shared" si="3"/>
        <v>0</v>
      </c>
      <c r="J51" s="466">
        <f t="shared" si="4"/>
        <v>9.6610515463917537</v>
      </c>
      <c r="K51" s="465">
        <f t="shared" si="5"/>
        <v>0</v>
      </c>
      <c r="L51" s="443">
        <f t="shared" si="6"/>
        <v>7.9016907216494845</v>
      </c>
      <c r="M51" s="465">
        <f t="shared" si="7"/>
        <v>0</v>
      </c>
      <c r="N51" s="466">
        <f t="shared" si="8"/>
        <v>6.5744536082474223</v>
      </c>
      <c r="O51" s="465">
        <f t="shared" si="9"/>
        <v>0</v>
      </c>
      <c r="P51" s="816"/>
    </row>
    <row r="52" spans="1:16" ht="13.5" thickBot="1">
      <c r="A52" s="1145"/>
      <c r="B52" s="441"/>
      <c r="C52" s="419" t="s">
        <v>198</v>
      </c>
      <c r="D52" s="825" t="s">
        <v>815</v>
      </c>
      <c r="E52" s="693">
        <v>339.17525773195877</v>
      </c>
      <c r="F52" s="442">
        <f>E52*(1-40%)</f>
        <v>203.50515463917526</v>
      </c>
      <c r="G52" s="62">
        <f>F52*B52</f>
        <v>0</v>
      </c>
      <c r="H52" s="443">
        <f>F52*0.0832</f>
        <v>16.931628865979381</v>
      </c>
      <c r="I52" s="61">
        <f>H52*B52</f>
        <v>0</v>
      </c>
      <c r="J52" s="466">
        <f>F52*0.0313</f>
        <v>6.3697113402061856</v>
      </c>
      <c r="K52" s="61">
        <f>J52*B52</f>
        <v>0</v>
      </c>
      <c r="L52" s="443">
        <f>F52*0.0256</f>
        <v>5.2097319587628865</v>
      </c>
      <c r="M52" s="61">
        <f>L52*B52</f>
        <v>0</v>
      </c>
      <c r="N52" s="466">
        <f>F52*0.0213</f>
        <v>4.3346597938144331</v>
      </c>
      <c r="O52" s="61">
        <f>N52*B52</f>
        <v>0</v>
      </c>
      <c r="P52" s="816"/>
    </row>
    <row r="53" spans="1:16" ht="13.5" thickBot="1">
      <c r="A53" s="1145"/>
      <c r="B53" s="441"/>
      <c r="C53" s="419" t="s">
        <v>542</v>
      </c>
      <c r="D53" s="825" t="s">
        <v>3607</v>
      </c>
      <c r="E53" s="693">
        <v>1025.7731958762886</v>
      </c>
      <c r="F53" s="442">
        <f>E53*(1-40%)</f>
        <v>615.46391752577313</v>
      </c>
      <c r="G53" s="444">
        <f>F53*B53</f>
        <v>0</v>
      </c>
      <c r="H53" s="443">
        <f>F53*0.0832</f>
        <v>51.20659793814432</v>
      </c>
      <c r="I53" s="465">
        <f>H53*B53</f>
        <v>0</v>
      </c>
      <c r="J53" s="466">
        <f>F53*0.0313</f>
        <v>19.2640206185567</v>
      </c>
      <c r="K53" s="465">
        <f>J53*B53</f>
        <v>0</v>
      </c>
      <c r="L53" s="443">
        <f>F53*0.0256</f>
        <v>15.755876288659794</v>
      </c>
      <c r="M53" s="465">
        <f>L53*B53</f>
        <v>0</v>
      </c>
      <c r="N53" s="466">
        <f>F53*0.0213</f>
        <v>13.109381443298968</v>
      </c>
      <c r="O53" s="465">
        <f>N53*B53</f>
        <v>0</v>
      </c>
      <c r="P53" s="816"/>
    </row>
    <row r="54" spans="1:16" ht="26.25" thickBot="1">
      <c r="A54" s="1145"/>
      <c r="B54" s="441"/>
      <c r="C54" s="419" t="s">
        <v>89</v>
      </c>
      <c r="D54" s="420" t="s">
        <v>3608</v>
      </c>
      <c r="E54" s="693">
        <v>3505.1546391752577</v>
      </c>
      <c r="F54" s="442">
        <f>E54*(1-40%)</f>
        <v>2103.0927835051543</v>
      </c>
      <c r="G54" s="444">
        <f>F54*B54</f>
        <v>0</v>
      </c>
      <c r="H54" s="443">
        <f>F54*0.0832</f>
        <v>174.97731958762884</v>
      </c>
      <c r="I54" s="465">
        <f>H54*B54</f>
        <v>0</v>
      </c>
      <c r="J54" s="466">
        <f>F54*0.0313</f>
        <v>65.826804123711327</v>
      </c>
      <c r="K54" s="465">
        <f>J54*B54</f>
        <v>0</v>
      </c>
      <c r="L54" s="443">
        <f>F54*0.0256</f>
        <v>53.839175257731952</v>
      </c>
      <c r="M54" s="465">
        <f>L54*B54</f>
        <v>0</v>
      </c>
      <c r="N54" s="466">
        <f>F54*0.0213</f>
        <v>44.795876288659784</v>
      </c>
      <c r="O54" s="465">
        <f>N54*B54</f>
        <v>0</v>
      </c>
      <c r="P54" s="816"/>
    </row>
    <row r="55" spans="1:16" ht="13.5" thickBot="1">
      <c r="A55" s="1145"/>
      <c r="B55" s="441"/>
      <c r="C55" s="824" t="s">
        <v>272</v>
      </c>
      <c r="D55" s="420" t="s">
        <v>3609</v>
      </c>
      <c r="E55" s="693">
        <v>1134.020618556701</v>
      </c>
      <c r="F55" s="442">
        <f t="shared" si="0"/>
        <v>680.41237113402065</v>
      </c>
      <c r="G55" s="444">
        <f t="shared" si="1"/>
        <v>0</v>
      </c>
      <c r="H55" s="443">
        <f t="shared" si="2"/>
        <v>56.610309278350513</v>
      </c>
      <c r="I55" s="465">
        <f t="shared" si="3"/>
        <v>0</v>
      </c>
      <c r="J55" s="466">
        <f t="shared" si="4"/>
        <v>21.296907216494848</v>
      </c>
      <c r="K55" s="465">
        <f t="shared" si="5"/>
        <v>0</v>
      </c>
      <c r="L55" s="443">
        <f t="shared" si="6"/>
        <v>17.41855670103093</v>
      </c>
      <c r="M55" s="465">
        <f t="shared" si="7"/>
        <v>0</v>
      </c>
      <c r="N55" s="466">
        <f t="shared" si="8"/>
        <v>14.492783505154639</v>
      </c>
      <c r="O55" s="465">
        <f t="shared" si="9"/>
        <v>0</v>
      </c>
      <c r="P55" s="816"/>
    </row>
    <row r="56" spans="1:16" ht="13.5" thickBot="1">
      <c r="A56" s="1145"/>
      <c r="B56" s="441"/>
      <c r="C56" s="824" t="s">
        <v>487</v>
      </c>
      <c r="D56" s="825" t="s">
        <v>3610</v>
      </c>
      <c r="E56" s="693">
        <v>1025.7731958762886</v>
      </c>
      <c r="F56" s="442">
        <f t="shared" si="0"/>
        <v>615.46391752577313</v>
      </c>
      <c r="G56" s="444">
        <f t="shared" si="1"/>
        <v>0</v>
      </c>
      <c r="H56" s="443">
        <f t="shared" si="2"/>
        <v>51.20659793814432</v>
      </c>
      <c r="I56" s="465">
        <f t="shared" si="3"/>
        <v>0</v>
      </c>
      <c r="J56" s="466">
        <f t="shared" si="4"/>
        <v>19.2640206185567</v>
      </c>
      <c r="K56" s="465">
        <f t="shared" si="5"/>
        <v>0</v>
      </c>
      <c r="L56" s="443">
        <f t="shared" si="6"/>
        <v>15.755876288659794</v>
      </c>
      <c r="M56" s="465">
        <f t="shared" si="7"/>
        <v>0</v>
      </c>
      <c r="N56" s="466">
        <f t="shared" si="8"/>
        <v>13.109381443298968</v>
      </c>
      <c r="O56" s="465">
        <f t="shared" si="9"/>
        <v>0</v>
      </c>
      <c r="P56" s="816"/>
    </row>
    <row r="57" spans="1:16" ht="13.5" thickBot="1">
      <c r="A57" s="1145"/>
      <c r="B57" s="447"/>
      <c r="C57" s="886" t="s">
        <v>488</v>
      </c>
      <c r="D57" s="887" t="s">
        <v>3611</v>
      </c>
      <c r="E57" s="693">
        <v>5463.9175257731958</v>
      </c>
      <c r="F57" s="442">
        <f t="shared" si="0"/>
        <v>3278.3505154639174</v>
      </c>
      <c r="G57" s="444">
        <f t="shared" si="1"/>
        <v>0</v>
      </c>
      <c r="H57" s="443">
        <f t="shared" si="2"/>
        <v>272.75876288659794</v>
      </c>
      <c r="I57" s="465">
        <f t="shared" si="3"/>
        <v>0</v>
      </c>
      <c r="J57" s="466">
        <f t="shared" si="4"/>
        <v>102.61237113402062</v>
      </c>
      <c r="K57" s="465">
        <f t="shared" si="5"/>
        <v>0</v>
      </c>
      <c r="L57" s="443">
        <f t="shared" si="6"/>
        <v>83.925773195876289</v>
      </c>
      <c r="M57" s="465">
        <f t="shared" si="7"/>
        <v>0</v>
      </c>
      <c r="N57" s="466">
        <f t="shared" si="8"/>
        <v>69.828865979381433</v>
      </c>
      <c r="O57" s="465">
        <f t="shared" si="9"/>
        <v>0</v>
      </c>
      <c r="P57" s="816"/>
    </row>
    <row r="58" spans="1:16" ht="13.5" thickBot="1">
      <c r="A58" s="1145"/>
      <c r="B58" s="438"/>
      <c r="C58" s="886" t="s">
        <v>484</v>
      </c>
      <c r="D58" s="887" t="s">
        <v>409</v>
      </c>
      <c r="E58" s="693">
        <v>206.18556701030928</v>
      </c>
      <c r="F58" s="442">
        <f t="shared" si="0"/>
        <v>123.71134020618557</v>
      </c>
      <c r="G58" s="444">
        <f t="shared" si="1"/>
        <v>0</v>
      </c>
      <c r="H58" s="443">
        <f t="shared" si="2"/>
        <v>10.292783505154638</v>
      </c>
      <c r="I58" s="465">
        <f t="shared" si="3"/>
        <v>0</v>
      </c>
      <c r="J58" s="466">
        <f t="shared" si="4"/>
        <v>3.8721649484536083</v>
      </c>
      <c r="K58" s="465">
        <f t="shared" si="5"/>
        <v>0</v>
      </c>
      <c r="L58" s="443">
        <f t="shared" si="6"/>
        <v>3.1670103092783508</v>
      </c>
      <c r="M58" s="465">
        <f t="shared" si="7"/>
        <v>0</v>
      </c>
      <c r="N58" s="466">
        <f t="shared" si="8"/>
        <v>2.6350515463917525</v>
      </c>
      <c r="O58" s="465">
        <f t="shared" si="9"/>
        <v>0</v>
      </c>
      <c r="P58" s="816"/>
    </row>
    <row r="59" spans="1:16" ht="26.25" thickBot="1">
      <c r="A59" s="1145"/>
      <c r="B59" s="438"/>
      <c r="C59" s="886" t="s">
        <v>485</v>
      </c>
      <c r="D59" s="887" t="s">
        <v>3511</v>
      </c>
      <c r="E59" s="693">
        <v>287.62886597938143</v>
      </c>
      <c r="F59" s="442">
        <f t="shared" si="0"/>
        <v>172.57731958762886</v>
      </c>
      <c r="G59" s="465">
        <f t="shared" si="1"/>
        <v>0</v>
      </c>
      <c r="H59" s="443">
        <f t="shared" si="2"/>
        <v>14.358432989690721</v>
      </c>
      <c r="I59" s="465">
        <f t="shared" si="3"/>
        <v>0</v>
      </c>
      <c r="J59" s="466">
        <f t="shared" si="4"/>
        <v>5.4016701030927834</v>
      </c>
      <c r="K59" s="465">
        <f t="shared" si="5"/>
        <v>0</v>
      </c>
      <c r="L59" s="443">
        <f t="shared" si="6"/>
        <v>4.417979381443299</v>
      </c>
      <c r="M59" s="465">
        <f t="shared" si="7"/>
        <v>0</v>
      </c>
      <c r="N59" s="466">
        <f t="shared" si="8"/>
        <v>3.6758969072164946</v>
      </c>
      <c r="O59" s="465">
        <f t="shared" si="9"/>
        <v>0</v>
      </c>
      <c r="P59" s="816"/>
    </row>
    <row r="60" spans="1:16" ht="13.5" thickBot="1">
      <c r="A60" s="1145"/>
      <c r="B60" s="438"/>
      <c r="C60" s="419" t="s">
        <v>3489</v>
      </c>
      <c r="D60" s="420" t="s">
        <v>3564</v>
      </c>
      <c r="E60" s="693">
        <v>875.25773195876286</v>
      </c>
      <c r="F60" s="442">
        <f t="shared" si="0"/>
        <v>525.15463917525767</v>
      </c>
      <c r="G60" s="465">
        <f t="shared" si="1"/>
        <v>0</v>
      </c>
      <c r="H60" s="443">
        <f t="shared" si="2"/>
        <v>43.692865979381438</v>
      </c>
      <c r="I60" s="465">
        <f t="shared" si="3"/>
        <v>0</v>
      </c>
      <c r="J60" s="466">
        <f t="shared" si="4"/>
        <v>16.437340206185567</v>
      </c>
      <c r="K60" s="465">
        <f t="shared" si="5"/>
        <v>0</v>
      </c>
      <c r="L60" s="443">
        <f t="shared" si="6"/>
        <v>13.443958762886597</v>
      </c>
      <c r="M60" s="465">
        <f t="shared" si="7"/>
        <v>0</v>
      </c>
      <c r="N60" s="466">
        <f t="shared" si="8"/>
        <v>11.185793814432989</v>
      </c>
      <c r="O60" s="465">
        <f t="shared" si="9"/>
        <v>0</v>
      </c>
      <c r="P60" s="816"/>
    </row>
    <row r="61" spans="1:16" ht="13.5" thickBot="1">
      <c r="A61" s="1145"/>
      <c r="B61" s="438"/>
      <c r="C61" s="824" t="s">
        <v>87</v>
      </c>
      <c r="D61" s="420" t="s">
        <v>722</v>
      </c>
      <c r="E61" s="693">
        <v>1389.6907216494847</v>
      </c>
      <c r="F61" s="442">
        <f t="shared" si="0"/>
        <v>833.81443298969077</v>
      </c>
      <c r="G61" s="465">
        <f t="shared" si="1"/>
        <v>0</v>
      </c>
      <c r="H61" s="443">
        <f t="shared" si="2"/>
        <v>69.373360824742264</v>
      </c>
      <c r="I61" s="465">
        <f t="shared" si="3"/>
        <v>0</v>
      </c>
      <c r="J61" s="466">
        <f t="shared" si="4"/>
        <v>26.098391752577321</v>
      </c>
      <c r="K61" s="465">
        <f t="shared" si="5"/>
        <v>0</v>
      </c>
      <c r="L61" s="443">
        <f t="shared" si="6"/>
        <v>21.345649484536086</v>
      </c>
      <c r="M61" s="465">
        <f t="shared" si="7"/>
        <v>0</v>
      </c>
      <c r="N61" s="466">
        <f t="shared" si="8"/>
        <v>17.760247422680415</v>
      </c>
      <c r="O61" s="465">
        <f t="shared" si="9"/>
        <v>0</v>
      </c>
      <c r="P61" s="816"/>
    </row>
    <row r="62" spans="1:16" ht="13.5" thickBot="1">
      <c r="A62" s="1145"/>
      <c r="B62" s="438"/>
      <c r="C62" s="824" t="s">
        <v>474</v>
      </c>
      <c r="D62" s="825" t="s">
        <v>723</v>
      </c>
      <c r="E62" s="693">
        <v>229.48453608247422</v>
      </c>
      <c r="F62" s="442">
        <f t="shared" si="0"/>
        <v>137.69072164948452</v>
      </c>
      <c r="G62" s="465">
        <f t="shared" si="1"/>
        <v>0</v>
      </c>
      <c r="H62" s="443">
        <f t="shared" si="2"/>
        <v>11.45586804123711</v>
      </c>
      <c r="I62" s="465">
        <f t="shared" si="3"/>
        <v>0</v>
      </c>
      <c r="J62" s="466">
        <f t="shared" si="4"/>
        <v>4.3097195876288659</v>
      </c>
      <c r="K62" s="465">
        <f t="shared" si="5"/>
        <v>0</v>
      </c>
      <c r="L62" s="443">
        <f t="shared" si="6"/>
        <v>3.5248824742268039</v>
      </c>
      <c r="M62" s="465">
        <f t="shared" si="7"/>
        <v>0</v>
      </c>
      <c r="N62" s="466">
        <f t="shared" si="8"/>
        <v>2.9328123711340202</v>
      </c>
      <c r="O62" s="465">
        <f t="shared" si="9"/>
        <v>0</v>
      </c>
      <c r="P62" s="816"/>
    </row>
    <row r="63" spans="1:16" ht="13.5" thickBot="1">
      <c r="A63" s="1145"/>
      <c r="B63" s="438"/>
      <c r="C63" s="419">
        <v>45206712</v>
      </c>
      <c r="D63" s="727" t="s">
        <v>3784</v>
      </c>
      <c r="E63" s="693">
        <v>2577.319587628866</v>
      </c>
      <c r="F63" s="442">
        <f t="shared" si="0"/>
        <v>1546.3917525773195</v>
      </c>
      <c r="G63" s="444">
        <f t="shared" si="1"/>
        <v>0</v>
      </c>
      <c r="H63" s="443">
        <f t="shared" si="2"/>
        <v>128.65979381443299</v>
      </c>
      <c r="I63" s="465">
        <f t="shared" si="3"/>
        <v>0</v>
      </c>
      <c r="J63" s="466">
        <f t="shared" si="4"/>
        <v>48.402061855670105</v>
      </c>
      <c r="K63" s="465">
        <f t="shared" si="5"/>
        <v>0</v>
      </c>
      <c r="L63" s="443">
        <f t="shared" si="6"/>
        <v>39.587628865979383</v>
      </c>
      <c r="M63" s="465">
        <f t="shared" si="7"/>
        <v>0</v>
      </c>
      <c r="N63" s="466">
        <f t="shared" si="8"/>
        <v>32.938144329896907</v>
      </c>
      <c r="O63" s="465">
        <f t="shared" si="9"/>
        <v>0</v>
      </c>
      <c r="P63" s="816"/>
    </row>
    <row r="64" spans="1:16" ht="13.5" thickBot="1">
      <c r="A64" s="1145"/>
      <c r="B64" s="438"/>
      <c r="C64" s="824">
        <v>45206719</v>
      </c>
      <c r="D64" s="825" t="s">
        <v>3613</v>
      </c>
      <c r="E64" s="693">
        <v>3092.7835051546394</v>
      </c>
      <c r="F64" s="442">
        <f t="shared" si="0"/>
        <v>1855.6701030927836</v>
      </c>
      <c r="G64" s="444">
        <f t="shared" si="1"/>
        <v>0</v>
      </c>
      <c r="H64" s="443">
        <f t="shared" si="2"/>
        <v>154.39175257731958</v>
      </c>
      <c r="I64" s="465">
        <f t="shared" si="3"/>
        <v>0</v>
      </c>
      <c r="J64" s="466">
        <f t="shared" si="4"/>
        <v>58.082474226804131</v>
      </c>
      <c r="K64" s="465">
        <f t="shared" si="5"/>
        <v>0</v>
      </c>
      <c r="L64" s="443">
        <f t="shared" si="6"/>
        <v>47.505154639175259</v>
      </c>
      <c r="M64" s="465">
        <f t="shared" si="7"/>
        <v>0</v>
      </c>
      <c r="N64" s="466">
        <f t="shared" si="8"/>
        <v>39.52577319587629</v>
      </c>
      <c r="O64" s="465">
        <f t="shared" si="9"/>
        <v>0</v>
      </c>
      <c r="P64" s="816"/>
    </row>
    <row r="65" spans="1:16" ht="26.25" thickBot="1">
      <c r="A65" s="1145"/>
      <c r="B65" s="438"/>
      <c r="C65" s="888" t="s">
        <v>490</v>
      </c>
      <c r="D65" s="889" t="s">
        <v>3505</v>
      </c>
      <c r="E65" s="442">
        <v>1103.0927835051546</v>
      </c>
      <c r="F65" s="442">
        <f t="shared" si="0"/>
        <v>661.85567010309273</v>
      </c>
      <c r="G65" s="444">
        <f t="shared" si="1"/>
        <v>0</v>
      </c>
      <c r="H65" s="443">
        <f t="shared" si="2"/>
        <v>55.06639175257731</v>
      </c>
      <c r="I65" s="465">
        <f t="shared" si="3"/>
        <v>0</v>
      </c>
      <c r="J65" s="466">
        <f t="shared" si="4"/>
        <v>20.716082474226802</v>
      </c>
      <c r="K65" s="465">
        <f t="shared" si="5"/>
        <v>0</v>
      </c>
      <c r="L65" s="443">
        <f t="shared" si="6"/>
        <v>16.943505154639176</v>
      </c>
      <c r="M65" s="465">
        <f t="shared" si="7"/>
        <v>0</v>
      </c>
      <c r="N65" s="466">
        <f t="shared" si="8"/>
        <v>14.097525773195875</v>
      </c>
      <c r="O65" s="465">
        <f t="shared" si="9"/>
        <v>0</v>
      </c>
      <c r="P65" s="816"/>
    </row>
    <row r="66" spans="1:16" ht="13.5" thickBot="1">
      <c r="A66" s="1145"/>
      <c r="B66" s="441"/>
      <c r="C66" s="824" t="s">
        <v>455</v>
      </c>
      <c r="D66" s="825" t="s">
        <v>3506</v>
      </c>
      <c r="E66" s="693">
        <v>1101.5257731958764</v>
      </c>
      <c r="F66" s="442">
        <f t="shared" si="0"/>
        <v>660.91546391752581</v>
      </c>
      <c r="G66" s="444">
        <f t="shared" si="1"/>
        <v>0</v>
      </c>
      <c r="H66" s="443">
        <f t="shared" si="2"/>
        <v>54.988166597938147</v>
      </c>
      <c r="I66" s="465">
        <f t="shared" si="3"/>
        <v>0</v>
      </c>
      <c r="J66" s="466">
        <f t="shared" si="4"/>
        <v>20.686654020618558</v>
      </c>
      <c r="K66" s="465">
        <f t="shared" si="5"/>
        <v>0</v>
      </c>
      <c r="L66" s="443">
        <f t="shared" si="6"/>
        <v>16.919435876288663</v>
      </c>
      <c r="M66" s="465">
        <f t="shared" si="7"/>
        <v>0</v>
      </c>
      <c r="N66" s="466">
        <f t="shared" si="8"/>
        <v>14.0774993814433</v>
      </c>
      <c r="O66" s="465">
        <f t="shared" si="9"/>
        <v>0</v>
      </c>
      <c r="P66" s="816"/>
    </row>
    <row r="67" spans="1:16" ht="13.5" thickBot="1">
      <c r="A67" s="1145"/>
      <c r="B67" s="438"/>
      <c r="C67" s="824" t="s">
        <v>3575</v>
      </c>
      <c r="D67" s="825" t="s">
        <v>3569</v>
      </c>
      <c r="E67" s="693">
        <v>1601.0309278350517</v>
      </c>
      <c r="F67" s="442">
        <f t="shared" si="0"/>
        <v>960.61855670103091</v>
      </c>
      <c r="G67" s="444">
        <f t="shared" si="1"/>
        <v>0</v>
      </c>
      <c r="H67" s="443">
        <f t="shared" si="2"/>
        <v>79.923463917525766</v>
      </c>
      <c r="I67" s="465">
        <f t="shared" si="3"/>
        <v>0</v>
      </c>
      <c r="J67" s="466">
        <f t="shared" si="4"/>
        <v>30.06736082474227</v>
      </c>
      <c r="K67" s="465">
        <f t="shared" si="5"/>
        <v>0</v>
      </c>
      <c r="L67" s="443">
        <f t="shared" si="6"/>
        <v>24.591835051546393</v>
      </c>
      <c r="M67" s="465">
        <f t="shared" si="7"/>
        <v>0</v>
      </c>
      <c r="N67" s="466">
        <f t="shared" si="8"/>
        <v>20.461175257731959</v>
      </c>
      <c r="O67" s="465">
        <f t="shared" si="9"/>
        <v>0</v>
      </c>
      <c r="P67" s="816"/>
    </row>
    <row r="68" spans="1:16" ht="26.25" thickBot="1">
      <c r="A68" s="1145"/>
      <c r="B68" s="440"/>
      <c r="C68" s="824" t="s">
        <v>3782</v>
      </c>
      <c r="D68" s="825" t="s">
        <v>3785</v>
      </c>
      <c r="E68" s="693">
        <v>2020.340206185567</v>
      </c>
      <c r="F68" s="442">
        <f t="shared" si="0"/>
        <v>1212.2041237113401</v>
      </c>
      <c r="G68" s="444">
        <f t="shared" si="1"/>
        <v>0</v>
      </c>
      <c r="H68" s="443">
        <f t="shared" si="2"/>
        <v>100.8553830927835</v>
      </c>
      <c r="I68" s="465">
        <f t="shared" si="3"/>
        <v>0</v>
      </c>
      <c r="J68" s="466">
        <f t="shared" si="4"/>
        <v>37.941989072164951</v>
      </c>
      <c r="K68" s="465">
        <f t="shared" si="5"/>
        <v>0</v>
      </c>
      <c r="L68" s="443">
        <f t="shared" si="6"/>
        <v>31.032425567010307</v>
      </c>
      <c r="M68" s="465">
        <f t="shared" si="7"/>
        <v>0</v>
      </c>
      <c r="N68" s="466">
        <f t="shared" si="8"/>
        <v>25.819947835051543</v>
      </c>
      <c r="O68" s="465">
        <f t="shared" si="9"/>
        <v>0</v>
      </c>
      <c r="P68" s="816"/>
    </row>
    <row r="69" spans="1:16" ht="26.25" thickBot="1">
      <c r="A69" s="1145"/>
      <c r="B69" s="441"/>
      <c r="C69" s="824" t="s">
        <v>3783</v>
      </c>
      <c r="D69" s="420" t="s">
        <v>3786</v>
      </c>
      <c r="E69" s="693">
        <v>3510.0309278350514</v>
      </c>
      <c r="F69" s="442">
        <f t="shared" si="0"/>
        <v>2106.0185567010308</v>
      </c>
      <c r="G69" s="444">
        <f t="shared" si="1"/>
        <v>0</v>
      </c>
      <c r="H69" s="443">
        <f t="shared" si="2"/>
        <v>175.22074391752577</v>
      </c>
      <c r="I69" s="465">
        <f t="shared" si="3"/>
        <v>0</v>
      </c>
      <c r="J69" s="466">
        <f t="shared" si="4"/>
        <v>65.918380824742272</v>
      </c>
      <c r="K69" s="465">
        <f t="shared" si="5"/>
        <v>0</v>
      </c>
      <c r="L69" s="443">
        <f t="shared" si="6"/>
        <v>53.914075051546391</v>
      </c>
      <c r="M69" s="465">
        <f t="shared" si="7"/>
        <v>0</v>
      </c>
      <c r="N69" s="466">
        <f t="shared" si="8"/>
        <v>44.858195257731957</v>
      </c>
      <c r="O69" s="465">
        <f t="shared" si="9"/>
        <v>0</v>
      </c>
      <c r="P69" s="816"/>
    </row>
    <row r="70" spans="1:16" ht="13.5" thickBot="1">
      <c r="A70" s="1145"/>
      <c r="B70" s="438"/>
      <c r="C70" s="824" t="s">
        <v>691</v>
      </c>
      <c r="D70" s="825" t="s">
        <v>3614</v>
      </c>
      <c r="E70" s="693">
        <v>4286.5979381443303</v>
      </c>
      <c r="F70" s="442">
        <f t="shared" si="0"/>
        <v>2571.9587628865979</v>
      </c>
      <c r="G70" s="444">
        <f t="shared" si="1"/>
        <v>0</v>
      </c>
      <c r="H70" s="443">
        <f t="shared" si="2"/>
        <v>213.98696907216492</v>
      </c>
      <c r="I70" s="465">
        <f t="shared" si="3"/>
        <v>0</v>
      </c>
      <c r="J70" s="466">
        <f t="shared" si="4"/>
        <v>80.502309278350523</v>
      </c>
      <c r="K70" s="465">
        <f t="shared" si="5"/>
        <v>0</v>
      </c>
      <c r="L70" s="443">
        <f t="shared" si="6"/>
        <v>65.842144329896911</v>
      </c>
      <c r="M70" s="465">
        <f t="shared" si="7"/>
        <v>0</v>
      </c>
      <c r="N70" s="466">
        <f t="shared" si="8"/>
        <v>54.782721649484536</v>
      </c>
      <c r="O70" s="465">
        <f t="shared" si="9"/>
        <v>0</v>
      </c>
      <c r="P70" s="816"/>
    </row>
    <row r="71" spans="1:16" s="734" customFormat="1" ht="26.25" thickBot="1">
      <c r="A71" s="1145"/>
      <c r="B71" s="805"/>
      <c r="C71" s="811" t="s">
        <v>3574</v>
      </c>
      <c r="D71" s="890" t="s">
        <v>3787</v>
      </c>
      <c r="E71" s="877">
        <v>308.2474226804124</v>
      </c>
      <c r="F71" s="442">
        <f t="shared" si="0"/>
        <v>184.94845360824743</v>
      </c>
      <c r="G71" s="444">
        <f t="shared" si="1"/>
        <v>0</v>
      </c>
      <c r="H71" s="443">
        <f t="shared" si="2"/>
        <v>15.387711340206186</v>
      </c>
      <c r="I71" s="465">
        <f t="shared" si="3"/>
        <v>0</v>
      </c>
      <c r="J71" s="443">
        <f t="shared" si="4"/>
        <v>5.788886597938145</v>
      </c>
      <c r="K71" s="465">
        <f t="shared" si="5"/>
        <v>0</v>
      </c>
      <c r="L71" s="443">
        <f t="shared" si="6"/>
        <v>4.7346804123711346</v>
      </c>
      <c r="M71" s="465">
        <f t="shared" si="7"/>
        <v>0</v>
      </c>
      <c r="N71" s="443">
        <f t="shared" si="8"/>
        <v>3.9394020618556702</v>
      </c>
      <c r="O71" s="465">
        <f t="shared" si="9"/>
        <v>0</v>
      </c>
      <c r="P71" s="816"/>
    </row>
    <row r="72" spans="1:16" s="729" customFormat="1" ht="13.5" thickBot="1">
      <c r="A72" s="1145"/>
      <c r="B72" s="805"/>
      <c r="C72" s="419" t="s">
        <v>436</v>
      </c>
      <c r="D72" s="825" t="s">
        <v>673</v>
      </c>
      <c r="E72" s="693">
        <v>515.46391752577324</v>
      </c>
      <c r="F72" s="442">
        <f t="shared" si="0"/>
        <v>309.27835051546396</v>
      </c>
      <c r="G72" s="444">
        <f t="shared" si="1"/>
        <v>0</v>
      </c>
      <c r="H72" s="443">
        <f t="shared" si="2"/>
        <v>25.731958762886599</v>
      </c>
      <c r="I72" s="465">
        <f t="shared" si="3"/>
        <v>0</v>
      </c>
      <c r="J72" s="443">
        <f t="shared" si="4"/>
        <v>9.6804123711340218</v>
      </c>
      <c r="K72" s="465">
        <f t="shared" si="5"/>
        <v>0</v>
      </c>
      <c r="L72" s="443">
        <f t="shared" si="6"/>
        <v>7.9175257731958775</v>
      </c>
      <c r="M72" s="465">
        <f t="shared" si="7"/>
        <v>0</v>
      </c>
      <c r="N72" s="443">
        <f t="shared" si="8"/>
        <v>6.587628865979382</v>
      </c>
      <c r="O72" s="465">
        <f t="shared" si="9"/>
        <v>0</v>
      </c>
      <c r="P72" s="816"/>
    </row>
    <row r="73" spans="1:16" ht="13.5" thickBot="1">
      <c r="A73" s="1145"/>
      <c r="B73" s="438"/>
      <c r="C73" s="824" t="s">
        <v>477</v>
      </c>
      <c r="D73" s="727" t="s">
        <v>3615</v>
      </c>
      <c r="E73" s="693">
        <v>88.659793814432987</v>
      </c>
      <c r="F73" s="442">
        <f t="shared" si="0"/>
        <v>53.19587628865979</v>
      </c>
      <c r="G73" s="444">
        <f t="shared" si="1"/>
        <v>0</v>
      </c>
      <c r="H73" s="443">
        <f t="shared" si="2"/>
        <v>4.4258969072164946</v>
      </c>
      <c r="I73" s="465">
        <f t="shared" si="3"/>
        <v>0</v>
      </c>
      <c r="J73" s="466">
        <f t="shared" si="4"/>
        <v>1.6650309278350515</v>
      </c>
      <c r="K73" s="465">
        <f t="shared" si="5"/>
        <v>0</v>
      </c>
      <c r="L73" s="443">
        <f t="shared" si="6"/>
        <v>1.3618144329896906</v>
      </c>
      <c r="M73" s="465">
        <f t="shared" si="7"/>
        <v>0</v>
      </c>
      <c r="N73" s="466">
        <f t="shared" si="8"/>
        <v>1.1330721649484534</v>
      </c>
      <c r="O73" s="465">
        <f t="shared" si="9"/>
        <v>0</v>
      </c>
      <c r="P73" s="816"/>
    </row>
    <row r="74" spans="1:16" ht="13.5" thickBot="1">
      <c r="A74" s="1145"/>
      <c r="B74" s="438"/>
      <c r="C74" s="824" t="s">
        <v>692</v>
      </c>
      <c r="D74" s="825" t="s">
        <v>3510</v>
      </c>
      <c r="E74" s="693">
        <v>126.80412371134021</v>
      </c>
      <c r="F74" s="442">
        <f t="shared" si="0"/>
        <v>76.082474226804123</v>
      </c>
      <c r="G74" s="444">
        <f t="shared" si="1"/>
        <v>0</v>
      </c>
      <c r="H74" s="443">
        <f t="shared" si="2"/>
        <v>6.3300618556701025</v>
      </c>
      <c r="I74" s="465">
        <f t="shared" si="3"/>
        <v>0</v>
      </c>
      <c r="J74" s="466">
        <f t="shared" si="4"/>
        <v>2.3813814432989693</v>
      </c>
      <c r="K74" s="465">
        <f t="shared" si="5"/>
        <v>0</v>
      </c>
      <c r="L74" s="443">
        <f t="shared" si="6"/>
        <v>1.9477113402061856</v>
      </c>
      <c r="M74" s="465">
        <f t="shared" si="7"/>
        <v>0</v>
      </c>
      <c r="N74" s="466">
        <f t="shared" si="8"/>
        <v>1.6205567010309279</v>
      </c>
      <c r="O74" s="465">
        <f t="shared" si="9"/>
        <v>0</v>
      </c>
      <c r="P74" s="816"/>
    </row>
    <row r="75" spans="1:16" ht="13.5" thickBot="1">
      <c r="A75" s="1145"/>
      <c r="B75" s="438"/>
      <c r="C75" s="419" t="s">
        <v>693</v>
      </c>
      <c r="D75" s="825" t="s">
        <v>674</v>
      </c>
      <c r="E75" s="693">
        <v>129.89690721649484</v>
      </c>
      <c r="F75" s="442">
        <f t="shared" si="0"/>
        <v>77.9381443298969</v>
      </c>
      <c r="G75" s="444">
        <f t="shared" si="1"/>
        <v>0</v>
      </c>
      <c r="H75" s="443">
        <f t="shared" si="2"/>
        <v>6.4844536082474216</v>
      </c>
      <c r="I75" s="465">
        <f t="shared" si="3"/>
        <v>0</v>
      </c>
      <c r="J75" s="466">
        <f t="shared" si="4"/>
        <v>2.4394639175257731</v>
      </c>
      <c r="K75" s="465">
        <f t="shared" si="5"/>
        <v>0</v>
      </c>
      <c r="L75" s="443">
        <f t="shared" si="6"/>
        <v>1.9952164948453608</v>
      </c>
      <c r="M75" s="465">
        <f t="shared" si="7"/>
        <v>0</v>
      </c>
      <c r="N75" s="466">
        <f t="shared" si="8"/>
        <v>1.6600824742268039</v>
      </c>
      <c r="O75" s="465">
        <f t="shared" si="9"/>
        <v>0</v>
      </c>
      <c r="P75" s="816"/>
    </row>
    <row r="76" spans="1:16" ht="26.25" thickBot="1">
      <c r="A76" s="1145"/>
      <c r="B76" s="441"/>
      <c r="C76" s="824" t="s">
        <v>438</v>
      </c>
      <c r="D76" s="825" t="s">
        <v>594</v>
      </c>
      <c r="E76" s="693">
        <v>1134.020618556701</v>
      </c>
      <c r="F76" s="442">
        <f t="shared" si="0"/>
        <v>680.41237113402065</v>
      </c>
      <c r="G76" s="444">
        <f t="shared" si="1"/>
        <v>0</v>
      </c>
      <c r="H76" s="443">
        <f t="shared" si="2"/>
        <v>56.610309278350513</v>
      </c>
      <c r="I76" s="465">
        <f t="shared" si="3"/>
        <v>0</v>
      </c>
      <c r="J76" s="466">
        <f t="shared" si="4"/>
        <v>21.296907216494848</v>
      </c>
      <c r="K76" s="465">
        <f t="shared" si="5"/>
        <v>0</v>
      </c>
      <c r="L76" s="443">
        <f t="shared" si="6"/>
        <v>17.41855670103093</v>
      </c>
      <c r="M76" s="465">
        <f t="shared" si="7"/>
        <v>0</v>
      </c>
      <c r="N76" s="466">
        <f t="shared" si="8"/>
        <v>14.492783505154639</v>
      </c>
      <c r="O76" s="465">
        <f t="shared" si="9"/>
        <v>0</v>
      </c>
      <c r="P76" s="816"/>
    </row>
    <row r="77" spans="1:16" ht="13.5" thickBot="1">
      <c r="A77" s="1145"/>
      <c r="B77" s="438"/>
      <c r="C77" s="824" t="s">
        <v>439</v>
      </c>
      <c r="D77" s="825" t="s">
        <v>595</v>
      </c>
      <c r="E77" s="693">
        <v>809.2783505154639</v>
      </c>
      <c r="F77" s="442">
        <f t="shared" si="0"/>
        <v>485.56701030927832</v>
      </c>
      <c r="G77" s="444">
        <f t="shared" si="1"/>
        <v>0</v>
      </c>
      <c r="H77" s="443">
        <f t="shared" si="2"/>
        <v>40.399175257731955</v>
      </c>
      <c r="I77" s="465">
        <f t="shared" si="3"/>
        <v>0</v>
      </c>
      <c r="J77" s="466">
        <f t="shared" si="4"/>
        <v>15.198247422680412</v>
      </c>
      <c r="K77" s="465">
        <f t="shared" si="5"/>
        <v>0</v>
      </c>
      <c r="L77" s="443">
        <f t="shared" si="6"/>
        <v>12.430515463917526</v>
      </c>
      <c r="M77" s="465">
        <f t="shared" si="7"/>
        <v>0</v>
      </c>
      <c r="N77" s="466">
        <f t="shared" si="8"/>
        <v>10.342577319587628</v>
      </c>
      <c r="O77" s="465">
        <f t="shared" si="9"/>
        <v>0</v>
      </c>
      <c r="P77" s="816"/>
    </row>
    <row r="78" spans="1:16" ht="13.5" thickBot="1">
      <c r="A78" s="1145"/>
      <c r="B78" s="438"/>
      <c r="C78" s="824" t="s">
        <v>440</v>
      </c>
      <c r="D78" s="825" t="s">
        <v>418</v>
      </c>
      <c r="E78" s="693">
        <v>688.45360824742261</v>
      </c>
      <c r="F78" s="442">
        <f t="shared" si="0"/>
        <v>413.07216494845358</v>
      </c>
      <c r="G78" s="444">
        <f t="shared" si="1"/>
        <v>0</v>
      </c>
      <c r="H78" s="443">
        <f t="shared" si="2"/>
        <v>34.367604123711338</v>
      </c>
      <c r="I78" s="465">
        <f t="shared" si="3"/>
        <v>0</v>
      </c>
      <c r="J78" s="466">
        <f t="shared" si="4"/>
        <v>12.929158762886598</v>
      </c>
      <c r="K78" s="465">
        <f t="shared" si="5"/>
        <v>0</v>
      </c>
      <c r="L78" s="443">
        <f t="shared" si="6"/>
        <v>10.574647422680412</v>
      </c>
      <c r="M78" s="465">
        <f t="shared" si="7"/>
        <v>0</v>
      </c>
      <c r="N78" s="466">
        <f t="shared" si="8"/>
        <v>8.7984371134020609</v>
      </c>
      <c r="O78" s="465">
        <f t="shared" si="9"/>
        <v>0</v>
      </c>
      <c r="P78" s="816"/>
    </row>
    <row r="79" spans="1:16" ht="13.5" thickBot="1">
      <c r="A79" s="1145"/>
      <c r="B79" s="447"/>
      <c r="C79" s="824" t="s">
        <v>441</v>
      </c>
      <c r="D79" s="825" t="s">
        <v>596</v>
      </c>
      <c r="E79" s="693">
        <v>846.39175257731961</v>
      </c>
      <c r="F79" s="442">
        <f t="shared" si="0"/>
        <v>507.83505154639175</v>
      </c>
      <c r="G79" s="444">
        <f t="shared" si="1"/>
        <v>0</v>
      </c>
      <c r="H79" s="443">
        <f t="shared" si="2"/>
        <v>42.251876288659794</v>
      </c>
      <c r="I79" s="465">
        <f t="shared" si="3"/>
        <v>0</v>
      </c>
      <c r="J79" s="466">
        <f t="shared" si="4"/>
        <v>15.895237113402063</v>
      </c>
      <c r="K79" s="465">
        <f t="shared" si="5"/>
        <v>0</v>
      </c>
      <c r="L79" s="443">
        <f t="shared" si="6"/>
        <v>13.000577319587629</v>
      </c>
      <c r="M79" s="465">
        <f t="shared" si="7"/>
        <v>0</v>
      </c>
      <c r="N79" s="466">
        <f t="shared" si="8"/>
        <v>10.816886597938144</v>
      </c>
      <c r="O79" s="465">
        <f t="shared" si="9"/>
        <v>0</v>
      </c>
      <c r="P79" s="816"/>
    </row>
    <row r="80" spans="1:16" ht="13.5" thickBot="1">
      <c r="A80" s="1145"/>
      <c r="B80" s="438"/>
      <c r="C80" s="806" t="s">
        <v>442</v>
      </c>
      <c r="D80" s="807" t="s">
        <v>597</v>
      </c>
      <c r="E80" s="621">
        <v>711.34020618556701</v>
      </c>
      <c r="F80" s="442">
        <f t="shared" si="0"/>
        <v>426.8041237113402</v>
      </c>
      <c r="G80" s="786">
        <f t="shared" si="1"/>
        <v>0</v>
      </c>
      <c r="H80" s="787">
        <f t="shared" si="2"/>
        <v>35.510103092783503</v>
      </c>
      <c r="I80" s="787">
        <f t="shared" si="3"/>
        <v>0</v>
      </c>
      <c r="J80" s="891">
        <f t="shared" si="4"/>
        <v>13.358969072164948</v>
      </c>
      <c r="K80" s="787">
        <f t="shared" si="5"/>
        <v>0</v>
      </c>
      <c r="L80" s="787">
        <f t="shared" si="6"/>
        <v>10.926185567010309</v>
      </c>
      <c r="M80" s="787">
        <f t="shared" si="7"/>
        <v>0</v>
      </c>
      <c r="N80" s="891">
        <f t="shared" si="8"/>
        <v>9.0909278350515468</v>
      </c>
      <c r="O80" s="787">
        <f t="shared" si="9"/>
        <v>0</v>
      </c>
      <c r="P80" s="816"/>
    </row>
    <row r="81" spans="1:16" ht="13.5" thickBot="1">
      <c r="A81" s="1145"/>
      <c r="B81" s="445"/>
      <c r="C81" s="419" t="s">
        <v>443</v>
      </c>
      <c r="D81" s="420" t="s">
        <v>598</v>
      </c>
      <c r="E81" s="448">
        <v>196.90721649484536</v>
      </c>
      <c r="F81" s="442">
        <f t="shared" si="0"/>
        <v>118.14432989690721</v>
      </c>
      <c r="G81" s="786">
        <f t="shared" si="1"/>
        <v>0</v>
      </c>
      <c r="H81" s="787">
        <f t="shared" si="2"/>
        <v>9.82960824742268</v>
      </c>
      <c r="I81" s="787">
        <f t="shared" si="3"/>
        <v>0</v>
      </c>
      <c r="J81" s="891">
        <f t="shared" si="4"/>
        <v>3.697917525773196</v>
      </c>
      <c r="K81" s="787">
        <f t="shared" si="5"/>
        <v>0</v>
      </c>
      <c r="L81" s="787">
        <f t="shared" si="6"/>
        <v>3.0244948453608247</v>
      </c>
      <c r="M81" s="787">
        <f t="shared" si="7"/>
        <v>0</v>
      </c>
      <c r="N81" s="891">
        <f t="shared" si="8"/>
        <v>2.5164742268041236</v>
      </c>
      <c r="O81" s="787">
        <f t="shared" si="9"/>
        <v>0</v>
      </c>
      <c r="P81" s="816"/>
    </row>
    <row r="82" spans="1:16" ht="13.5" thickBot="1">
      <c r="A82" s="1145"/>
      <c r="B82" s="441"/>
      <c r="C82" s="824" t="s">
        <v>444</v>
      </c>
      <c r="D82" s="420" t="s">
        <v>680</v>
      </c>
      <c r="E82" s="693">
        <v>688.45360824742261</v>
      </c>
      <c r="F82" s="442">
        <f t="shared" si="0"/>
        <v>413.07216494845358</v>
      </c>
      <c r="G82" s="444">
        <f t="shared" si="1"/>
        <v>0</v>
      </c>
      <c r="H82" s="443">
        <f t="shared" si="2"/>
        <v>34.367604123711338</v>
      </c>
      <c r="I82" s="465">
        <f t="shared" si="3"/>
        <v>0</v>
      </c>
      <c r="J82" s="466">
        <f t="shared" si="4"/>
        <v>12.929158762886598</v>
      </c>
      <c r="K82" s="465">
        <f t="shared" si="5"/>
        <v>0</v>
      </c>
      <c r="L82" s="443">
        <f t="shared" si="6"/>
        <v>10.574647422680412</v>
      </c>
      <c r="M82" s="465">
        <f t="shared" si="7"/>
        <v>0</v>
      </c>
      <c r="N82" s="466">
        <f t="shared" si="8"/>
        <v>8.7984371134020609</v>
      </c>
      <c r="O82" s="465">
        <f t="shared" si="9"/>
        <v>0</v>
      </c>
      <c r="P82" s="816"/>
    </row>
    <row r="83" spans="1:16" ht="13.5" thickBot="1">
      <c r="A83" s="1145"/>
      <c r="B83" s="447"/>
      <c r="C83" s="824" t="s">
        <v>445</v>
      </c>
      <c r="D83" s="825" t="s">
        <v>681</v>
      </c>
      <c r="E83" s="693">
        <v>257.73195876288662</v>
      </c>
      <c r="F83" s="442">
        <f t="shared" si="0"/>
        <v>154.63917525773198</v>
      </c>
      <c r="G83" s="444">
        <f t="shared" si="1"/>
        <v>0</v>
      </c>
      <c r="H83" s="443">
        <f t="shared" si="2"/>
        <v>12.865979381443299</v>
      </c>
      <c r="I83" s="465">
        <f t="shared" si="3"/>
        <v>0</v>
      </c>
      <c r="J83" s="466">
        <f t="shared" si="4"/>
        <v>4.8402061855670109</v>
      </c>
      <c r="K83" s="465">
        <f t="shared" si="5"/>
        <v>0</v>
      </c>
      <c r="L83" s="443">
        <f t="shared" si="6"/>
        <v>3.9587628865979387</v>
      </c>
      <c r="M83" s="465">
        <f t="shared" si="7"/>
        <v>0</v>
      </c>
      <c r="N83" s="466">
        <f t="shared" si="8"/>
        <v>3.293814432989691</v>
      </c>
      <c r="O83" s="465">
        <f t="shared" si="9"/>
        <v>0</v>
      </c>
      <c r="P83" s="816"/>
    </row>
    <row r="84" spans="1:16" ht="13.5" thickBot="1">
      <c r="A84" s="1145"/>
      <c r="B84" s="438"/>
      <c r="C84" s="824" t="s">
        <v>3487</v>
      </c>
      <c r="D84" s="420" t="s">
        <v>3507</v>
      </c>
      <c r="E84" s="693">
        <v>407.21649484536084</v>
      </c>
      <c r="F84" s="442">
        <f t="shared" si="0"/>
        <v>244.32989690721649</v>
      </c>
      <c r="G84" s="444">
        <f t="shared" si="1"/>
        <v>0</v>
      </c>
      <c r="H84" s="443">
        <f t="shared" si="2"/>
        <v>20.328247422680413</v>
      </c>
      <c r="I84" s="465">
        <f t="shared" si="3"/>
        <v>0</v>
      </c>
      <c r="J84" s="466">
        <f t="shared" si="4"/>
        <v>7.647525773195877</v>
      </c>
      <c r="K84" s="465">
        <f t="shared" si="5"/>
        <v>0</v>
      </c>
      <c r="L84" s="443">
        <f t="shared" si="6"/>
        <v>6.254845360824743</v>
      </c>
      <c r="M84" s="465">
        <f t="shared" si="7"/>
        <v>0</v>
      </c>
      <c r="N84" s="466">
        <f t="shared" si="8"/>
        <v>5.204226804123711</v>
      </c>
      <c r="O84" s="465">
        <f t="shared" si="9"/>
        <v>0</v>
      </c>
      <c r="P84" s="816"/>
    </row>
    <row r="85" spans="1:16" ht="13.5" thickBot="1">
      <c r="A85" s="1145"/>
      <c r="B85" s="438"/>
      <c r="C85" s="892" t="s">
        <v>694</v>
      </c>
      <c r="D85" s="790" t="s">
        <v>3527</v>
      </c>
      <c r="E85" s="693">
        <v>1835.8762886597938</v>
      </c>
      <c r="F85" s="442">
        <f t="shared" si="0"/>
        <v>1101.5257731958761</v>
      </c>
      <c r="G85" s="444">
        <f t="shared" si="1"/>
        <v>0</v>
      </c>
      <c r="H85" s="443">
        <f t="shared" si="2"/>
        <v>91.646944329896883</v>
      </c>
      <c r="I85" s="465">
        <f t="shared" si="3"/>
        <v>0</v>
      </c>
      <c r="J85" s="466">
        <f t="shared" si="4"/>
        <v>34.477756701030927</v>
      </c>
      <c r="K85" s="465">
        <f t="shared" si="5"/>
        <v>0</v>
      </c>
      <c r="L85" s="443">
        <f t="shared" si="6"/>
        <v>28.199059793814431</v>
      </c>
      <c r="M85" s="465">
        <f t="shared" si="7"/>
        <v>0</v>
      </c>
      <c r="N85" s="466">
        <f t="shared" si="8"/>
        <v>23.462498969072161</v>
      </c>
      <c r="O85" s="465">
        <f t="shared" si="9"/>
        <v>0</v>
      </c>
      <c r="P85" s="816"/>
    </row>
    <row r="86" spans="1:16" ht="13.5" thickBot="1">
      <c r="A86" s="1145"/>
      <c r="B86" s="447"/>
      <c r="C86" s="824" t="s">
        <v>454</v>
      </c>
      <c r="D86" s="420" t="s">
        <v>3526</v>
      </c>
      <c r="E86" s="693">
        <v>872.1649484536083</v>
      </c>
      <c r="F86" s="442">
        <f t="shared" si="0"/>
        <v>523.29896907216494</v>
      </c>
      <c r="G86" s="444">
        <f t="shared" si="1"/>
        <v>0</v>
      </c>
      <c r="H86" s="443">
        <f t="shared" si="2"/>
        <v>43.538474226804119</v>
      </c>
      <c r="I86" s="465">
        <f t="shared" si="3"/>
        <v>0</v>
      </c>
      <c r="J86" s="466">
        <f t="shared" si="4"/>
        <v>16.379257731958763</v>
      </c>
      <c r="K86" s="465">
        <f t="shared" si="5"/>
        <v>0</v>
      </c>
      <c r="L86" s="443">
        <f t="shared" si="6"/>
        <v>13.396453608247423</v>
      </c>
      <c r="M86" s="465">
        <f t="shared" si="7"/>
        <v>0</v>
      </c>
      <c r="N86" s="466">
        <f t="shared" si="8"/>
        <v>11.146268041237112</v>
      </c>
      <c r="O86" s="465">
        <f t="shared" si="9"/>
        <v>0</v>
      </c>
      <c r="P86" s="816"/>
    </row>
    <row r="87" spans="1:16" ht="13.5" thickBot="1">
      <c r="A87" s="1145"/>
      <c r="B87" s="447"/>
      <c r="C87" s="824" t="s">
        <v>70</v>
      </c>
      <c r="D87" s="420" t="s">
        <v>682</v>
      </c>
      <c r="E87" s="693">
        <v>61.855670103092784</v>
      </c>
      <c r="F87" s="442">
        <f t="shared" si="0"/>
        <v>37.113402061855666</v>
      </c>
      <c r="G87" s="444">
        <f t="shared" si="1"/>
        <v>0</v>
      </c>
      <c r="H87" s="443">
        <f t="shared" si="2"/>
        <v>3.0878350515463913</v>
      </c>
      <c r="I87" s="465">
        <f t="shared" si="3"/>
        <v>0</v>
      </c>
      <c r="J87" s="466">
        <f t="shared" si="4"/>
        <v>1.1616494845360823</v>
      </c>
      <c r="K87" s="465">
        <f t="shared" si="5"/>
        <v>0</v>
      </c>
      <c r="L87" s="443">
        <f t="shared" si="6"/>
        <v>0.95010309278350513</v>
      </c>
      <c r="M87" s="465">
        <f t="shared" si="7"/>
        <v>0</v>
      </c>
      <c r="N87" s="466">
        <f t="shared" si="8"/>
        <v>0.7905154639175257</v>
      </c>
      <c r="O87" s="465">
        <f t="shared" si="9"/>
        <v>0</v>
      </c>
      <c r="P87" s="816"/>
    </row>
    <row r="88" spans="1:16" ht="13.5" thickBot="1">
      <c r="A88" s="1145"/>
      <c r="B88" s="438"/>
      <c r="C88" s="824" t="s">
        <v>456</v>
      </c>
      <c r="D88" s="825" t="s">
        <v>683</v>
      </c>
      <c r="E88" s="693">
        <v>123.71134020618557</v>
      </c>
      <c r="F88" s="442">
        <f>E88*(1-40%)</f>
        <v>74.226804123711332</v>
      </c>
      <c r="G88" s="444">
        <f>F88*B88</f>
        <v>0</v>
      </c>
      <c r="H88" s="443">
        <f t="shared" si="2"/>
        <v>6.1756701030927825</v>
      </c>
      <c r="I88" s="465">
        <f>H88*B88</f>
        <v>0</v>
      </c>
      <c r="J88" s="466">
        <f t="shared" si="4"/>
        <v>2.3232989690721646</v>
      </c>
      <c r="K88" s="465">
        <f>J88*B88</f>
        <v>0</v>
      </c>
      <c r="L88" s="443">
        <f t="shared" si="6"/>
        <v>1.9002061855670103</v>
      </c>
      <c r="M88" s="465">
        <f>L88*B88</f>
        <v>0</v>
      </c>
      <c r="N88" s="466">
        <f t="shared" si="8"/>
        <v>1.5810309278350514</v>
      </c>
      <c r="O88" s="465">
        <f>N88*B88</f>
        <v>0</v>
      </c>
      <c r="P88" s="816"/>
    </row>
    <row r="89" spans="1:16" ht="13.5" thickBot="1">
      <c r="A89" s="1145"/>
      <c r="B89" s="438"/>
      <c r="C89" s="824" t="s">
        <v>69</v>
      </c>
      <c r="D89" s="825" t="s">
        <v>457</v>
      </c>
      <c r="E89" s="693">
        <v>96.907216494845358</v>
      </c>
      <c r="F89" s="442">
        <f>E89*(1-40%)</f>
        <v>58.144329896907209</v>
      </c>
      <c r="G89" s="444">
        <f>F89*B89</f>
        <v>0</v>
      </c>
      <c r="H89" s="443">
        <f t="shared" si="2"/>
        <v>4.8376082474226791</v>
      </c>
      <c r="I89" s="465">
        <f>H89*B89</f>
        <v>0</v>
      </c>
      <c r="J89" s="466">
        <f t="shared" si="4"/>
        <v>1.8199175257731957</v>
      </c>
      <c r="K89" s="465">
        <f>J89*B89</f>
        <v>0</v>
      </c>
      <c r="L89" s="443">
        <f t="shared" si="6"/>
        <v>1.4884948453608247</v>
      </c>
      <c r="M89" s="465">
        <f>L89*B89</f>
        <v>0</v>
      </c>
      <c r="N89" s="466">
        <f t="shared" si="8"/>
        <v>1.2384742268041236</v>
      </c>
      <c r="O89" s="465">
        <f>N89*B89</f>
        <v>0</v>
      </c>
      <c r="P89" s="816"/>
    </row>
    <row r="90" spans="1:16" ht="13.5" thickBot="1">
      <c r="A90" s="1145"/>
      <c r="B90" s="438"/>
      <c r="C90" s="824" t="s">
        <v>695</v>
      </c>
      <c r="D90" s="825" t="s">
        <v>3788</v>
      </c>
      <c r="E90" s="693">
        <v>941.23711340206194</v>
      </c>
      <c r="F90" s="442">
        <f>E90*(1-40%)</f>
        <v>564.74226804123714</v>
      </c>
      <c r="G90" s="444">
        <f>F90*B90</f>
        <v>0</v>
      </c>
      <c r="H90" s="443">
        <f t="shared" si="2"/>
        <v>46.986556701030928</v>
      </c>
      <c r="I90" s="465">
        <f>H90*B90</f>
        <v>0</v>
      </c>
      <c r="J90" s="466">
        <f t="shared" si="4"/>
        <v>17.676432989690724</v>
      </c>
      <c r="K90" s="465">
        <f>J90*B90</f>
        <v>0</v>
      </c>
      <c r="L90" s="443">
        <f t="shared" si="6"/>
        <v>14.457402061855671</v>
      </c>
      <c r="M90" s="465">
        <f>L90*B90</f>
        <v>0</v>
      </c>
      <c r="N90" s="466">
        <f t="shared" si="8"/>
        <v>12.02901030927835</v>
      </c>
      <c r="O90" s="465">
        <f>N90*B90</f>
        <v>0</v>
      </c>
      <c r="P90" s="816"/>
    </row>
    <row r="91" spans="1:16" ht="13.5" thickBot="1">
      <c r="A91" s="1145"/>
      <c r="B91" s="440"/>
      <c r="C91" s="824" t="s">
        <v>696</v>
      </c>
      <c r="D91" s="825" t="s">
        <v>3789</v>
      </c>
      <c r="E91" s="693">
        <v>1227.8350515463917</v>
      </c>
      <c r="F91" s="442">
        <f>E91*(1-40%)</f>
        <v>736.70103092783495</v>
      </c>
      <c r="G91" s="444">
        <f>F91*B91</f>
        <v>0</v>
      </c>
      <c r="H91" s="443">
        <f t="shared" si="2"/>
        <v>61.293525773195867</v>
      </c>
      <c r="I91" s="465">
        <f>H91*B91</f>
        <v>0</v>
      </c>
      <c r="J91" s="466">
        <f t="shared" si="4"/>
        <v>23.058742268041236</v>
      </c>
      <c r="K91" s="465">
        <f>J91*B91</f>
        <v>0</v>
      </c>
      <c r="L91" s="443">
        <f t="shared" si="6"/>
        <v>18.859546391752577</v>
      </c>
      <c r="M91" s="465">
        <f>L91*B91</f>
        <v>0</v>
      </c>
      <c r="N91" s="466">
        <f t="shared" si="8"/>
        <v>15.691731958762883</v>
      </c>
      <c r="O91" s="465">
        <f>N91*B91</f>
        <v>0</v>
      </c>
      <c r="P91" s="816"/>
    </row>
    <row r="92" spans="1:16" ht="13.5" thickBot="1">
      <c r="A92" s="1145"/>
      <c r="B92" s="438"/>
      <c r="C92" s="824" t="s">
        <v>697</v>
      </c>
      <c r="D92" s="420" t="s">
        <v>3790</v>
      </c>
      <c r="E92" s="693">
        <v>1445.3608247422681</v>
      </c>
      <c r="F92" s="442">
        <f t="shared" si="0"/>
        <v>867.21649484536078</v>
      </c>
      <c r="G92" s="444">
        <f t="shared" si="1"/>
        <v>0</v>
      </c>
      <c r="H92" s="443">
        <f t="shared" si="2"/>
        <v>72.15241237113402</v>
      </c>
      <c r="I92" s="465">
        <f t="shared" si="3"/>
        <v>0</v>
      </c>
      <c r="J92" s="466">
        <f t="shared" si="4"/>
        <v>27.143876288659794</v>
      </c>
      <c r="K92" s="465">
        <f t="shared" si="5"/>
        <v>0</v>
      </c>
      <c r="L92" s="443">
        <f t="shared" si="6"/>
        <v>22.200742268041235</v>
      </c>
      <c r="M92" s="465">
        <f t="shared" si="7"/>
        <v>0</v>
      </c>
      <c r="N92" s="466">
        <f t="shared" si="8"/>
        <v>18.471711340206184</v>
      </c>
      <c r="O92" s="465">
        <f t="shared" si="9"/>
        <v>0</v>
      </c>
      <c r="P92" s="816"/>
    </row>
    <row r="93" spans="1:16" ht="13.5" thickBot="1">
      <c r="A93" s="1145"/>
      <c r="B93" s="438"/>
      <c r="C93" s="824" t="s">
        <v>3504</v>
      </c>
      <c r="D93" s="825" t="s">
        <v>3791</v>
      </c>
      <c r="E93" s="693">
        <v>1720.6185567010309</v>
      </c>
      <c r="F93" s="442">
        <f t="shared" si="0"/>
        <v>1032.3711340206185</v>
      </c>
      <c r="G93" s="444">
        <f t="shared" si="1"/>
        <v>0</v>
      </c>
      <c r="H93" s="443">
        <f t="shared" si="2"/>
        <v>85.893278350515445</v>
      </c>
      <c r="I93" s="465">
        <f t="shared" si="3"/>
        <v>0</v>
      </c>
      <c r="J93" s="466">
        <f t="shared" si="4"/>
        <v>32.313216494845356</v>
      </c>
      <c r="K93" s="465">
        <f t="shared" si="5"/>
        <v>0</v>
      </c>
      <c r="L93" s="443">
        <f t="shared" si="6"/>
        <v>26.428701030927833</v>
      </c>
      <c r="M93" s="465">
        <f t="shared" si="7"/>
        <v>0</v>
      </c>
      <c r="N93" s="466">
        <f t="shared" si="8"/>
        <v>21.989505154639172</v>
      </c>
      <c r="O93" s="465">
        <f t="shared" si="9"/>
        <v>0</v>
      </c>
      <c r="P93" s="816"/>
    </row>
    <row r="94" spans="1:16" ht="13.5" thickBot="1">
      <c r="A94" s="1145"/>
      <c r="B94" s="438"/>
      <c r="C94" s="824" t="s">
        <v>450</v>
      </c>
      <c r="D94" s="825" t="s">
        <v>3570</v>
      </c>
      <c r="E94" s="693">
        <v>604.12371134020623</v>
      </c>
      <c r="F94" s="442">
        <f t="shared" si="0"/>
        <v>362.4742268041237</v>
      </c>
      <c r="G94" s="444">
        <f t="shared" si="1"/>
        <v>0</v>
      </c>
      <c r="H94" s="443">
        <f t="shared" si="2"/>
        <v>30.157855670103089</v>
      </c>
      <c r="I94" s="465">
        <f t="shared" si="3"/>
        <v>0</v>
      </c>
      <c r="J94" s="466">
        <f t="shared" si="4"/>
        <v>11.345443298969073</v>
      </c>
      <c r="K94" s="465">
        <f t="shared" si="5"/>
        <v>0</v>
      </c>
      <c r="L94" s="443">
        <f t="shared" si="6"/>
        <v>9.2793402061855677</v>
      </c>
      <c r="M94" s="465">
        <f t="shared" si="7"/>
        <v>0</v>
      </c>
      <c r="N94" s="466">
        <f t="shared" si="8"/>
        <v>7.7207010309278346</v>
      </c>
      <c r="O94" s="465">
        <f t="shared" si="9"/>
        <v>0</v>
      </c>
      <c r="P94" s="816"/>
    </row>
    <row r="95" spans="1:16" s="413" customFormat="1" ht="13.5" thickBot="1">
      <c r="A95" s="1145"/>
      <c r="B95" s="441"/>
      <c r="C95" s="871" t="s">
        <v>3499</v>
      </c>
      <c r="D95" s="420" t="s">
        <v>3522</v>
      </c>
      <c r="E95" s="693">
        <v>604.12371134020623</v>
      </c>
      <c r="F95" s="693">
        <f t="shared" si="0"/>
        <v>362.4742268041237</v>
      </c>
      <c r="G95" s="786">
        <f t="shared" si="1"/>
        <v>0</v>
      </c>
      <c r="H95" s="787">
        <f t="shared" si="2"/>
        <v>30.157855670103089</v>
      </c>
      <c r="I95" s="787">
        <f t="shared" si="3"/>
        <v>0</v>
      </c>
      <c r="J95" s="787">
        <f t="shared" si="4"/>
        <v>11.345443298969073</v>
      </c>
      <c r="K95" s="787">
        <f t="shared" si="5"/>
        <v>0</v>
      </c>
      <c r="L95" s="787">
        <f t="shared" si="6"/>
        <v>9.2793402061855677</v>
      </c>
      <c r="M95" s="787">
        <f t="shared" si="7"/>
        <v>0</v>
      </c>
      <c r="N95" s="787">
        <f t="shared" si="8"/>
        <v>7.7207010309278346</v>
      </c>
      <c r="O95" s="787">
        <f t="shared" si="9"/>
        <v>0</v>
      </c>
      <c r="P95" s="816"/>
    </row>
    <row r="96" spans="1:16" ht="13.5" thickBot="1">
      <c r="A96" s="1145"/>
      <c r="B96" s="438"/>
      <c r="C96" s="824" t="s">
        <v>698</v>
      </c>
      <c r="D96" s="825" t="s">
        <v>3565</v>
      </c>
      <c r="E96" s="693">
        <v>1262.8865979381444</v>
      </c>
      <c r="F96" s="442">
        <f t="shared" si="0"/>
        <v>757.73195876288662</v>
      </c>
      <c r="G96" s="444">
        <f t="shared" si="1"/>
        <v>0</v>
      </c>
      <c r="H96" s="443">
        <f t="shared" si="2"/>
        <v>63.043298969072161</v>
      </c>
      <c r="I96" s="465">
        <f t="shared" si="3"/>
        <v>0</v>
      </c>
      <c r="J96" s="466">
        <f t="shared" si="4"/>
        <v>23.717010309278351</v>
      </c>
      <c r="K96" s="465">
        <f t="shared" si="5"/>
        <v>0</v>
      </c>
      <c r="L96" s="443">
        <f t="shared" si="6"/>
        <v>19.397938144329899</v>
      </c>
      <c r="M96" s="465">
        <f t="shared" si="7"/>
        <v>0</v>
      </c>
      <c r="N96" s="466">
        <f t="shared" si="8"/>
        <v>16.139690721649483</v>
      </c>
      <c r="O96" s="465">
        <f t="shared" si="9"/>
        <v>0</v>
      </c>
      <c r="P96" s="816"/>
    </row>
    <row r="97" spans="1:16" ht="13.5" thickBot="1">
      <c r="A97" s="1145"/>
      <c r="B97" s="440"/>
      <c r="C97" s="824" t="s">
        <v>478</v>
      </c>
      <c r="D97" s="825" t="s">
        <v>3792</v>
      </c>
      <c r="E97" s="693">
        <v>27.319587628865982</v>
      </c>
      <c r="F97" s="442">
        <f t="shared" si="0"/>
        <v>16.39175257731959</v>
      </c>
      <c r="G97" s="444">
        <f t="shared" si="1"/>
        <v>0</v>
      </c>
      <c r="H97" s="443">
        <f t="shared" si="2"/>
        <v>1.3637938144329897</v>
      </c>
      <c r="I97" s="465">
        <f t="shared" si="3"/>
        <v>0</v>
      </c>
      <c r="J97" s="466">
        <f t="shared" si="4"/>
        <v>0.51306185567010321</v>
      </c>
      <c r="K97" s="465">
        <f t="shared" si="5"/>
        <v>0</v>
      </c>
      <c r="L97" s="443">
        <f t="shared" si="6"/>
        <v>0.41962886597938154</v>
      </c>
      <c r="M97" s="465">
        <f t="shared" si="7"/>
        <v>0</v>
      </c>
      <c r="N97" s="466">
        <f t="shared" si="8"/>
        <v>0.34914432989690725</v>
      </c>
      <c r="O97" s="465">
        <f t="shared" si="9"/>
        <v>0</v>
      </c>
      <c r="P97" s="816"/>
    </row>
    <row r="98" spans="1:16" ht="13.5" thickBot="1">
      <c r="A98" s="1145"/>
      <c r="B98" s="441"/>
      <c r="C98" s="419" t="s">
        <v>33</v>
      </c>
      <c r="D98" s="825" t="s">
        <v>3793</v>
      </c>
      <c r="E98" s="693">
        <v>30.927835051546392</v>
      </c>
      <c r="F98" s="442">
        <f t="shared" si="0"/>
        <v>18.556701030927833</v>
      </c>
      <c r="G98" s="444">
        <f t="shared" si="1"/>
        <v>0</v>
      </c>
      <c r="H98" s="443">
        <f t="shared" si="2"/>
        <v>1.5439175257731956</v>
      </c>
      <c r="I98" s="465">
        <f t="shared" si="3"/>
        <v>0</v>
      </c>
      <c r="J98" s="466">
        <f t="shared" si="4"/>
        <v>0.58082474226804115</v>
      </c>
      <c r="K98" s="465">
        <f t="shared" si="5"/>
        <v>0</v>
      </c>
      <c r="L98" s="443">
        <f t="shared" si="6"/>
        <v>0.47505154639175257</v>
      </c>
      <c r="M98" s="465">
        <f t="shared" si="7"/>
        <v>0</v>
      </c>
      <c r="N98" s="466">
        <f t="shared" si="8"/>
        <v>0.39525773195876285</v>
      </c>
      <c r="O98" s="465">
        <f t="shared" si="9"/>
        <v>0</v>
      </c>
      <c r="P98" s="816"/>
    </row>
    <row r="99" spans="1:16" ht="13.5" thickBot="1">
      <c r="A99" s="1145"/>
      <c r="B99" s="438"/>
      <c r="C99" s="824" t="s">
        <v>699</v>
      </c>
      <c r="D99" s="420" t="s">
        <v>3616</v>
      </c>
      <c r="E99" s="693">
        <v>586.59793814432987</v>
      </c>
      <c r="F99" s="442">
        <f t="shared" si="0"/>
        <v>351.95876288659792</v>
      </c>
      <c r="G99" s="444">
        <f t="shared" si="1"/>
        <v>0</v>
      </c>
      <c r="H99" s="443">
        <f t="shared" si="2"/>
        <v>29.282969072164946</v>
      </c>
      <c r="I99" s="465">
        <f t="shared" si="3"/>
        <v>0</v>
      </c>
      <c r="J99" s="466">
        <f t="shared" si="4"/>
        <v>11.016309278350516</v>
      </c>
      <c r="K99" s="465">
        <f t="shared" si="5"/>
        <v>0</v>
      </c>
      <c r="L99" s="443">
        <f t="shared" si="6"/>
        <v>9.0101443298969066</v>
      </c>
      <c r="M99" s="465">
        <f t="shared" si="7"/>
        <v>0</v>
      </c>
      <c r="N99" s="466">
        <f t="shared" si="8"/>
        <v>7.4967216494845355</v>
      </c>
      <c r="O99" s="465">
        <f t="shared" si="9"/>
        <v>0</v>
      </c>
      <c r="P99" s="816"/>
    </row>
    <row r="100" spans="1:16" ht="13.5" thickBot="1">
      <c r="A100" s="1145"/>
      <c r="B100" s="441"/>
      <c r="C100" s="824" t="s">
        <v>700</v>
      </c>
      <c r="D100" s="825" t="s">
        <v>3566</v>
      </c>
      <c r="E100" s="693">
        <v>268.04123711340208</v>
      </c>
      <c r="F100" s="442">
        <f t="shared" si="0"/>
        <v>160.82474226804123</v>
      </c>
      <c r="G100" s="444">
        <f t="shared" si="1"/>
        <v>0</v>
      </c>
      <c r="H100" s="443">
        <f t="shared" si="2"/>
        <v>13.38061855670103</v>
      </c>
      <c r="I100" s="465">
        <f t="shared" si="3"/>
        <v>0</v>
      </c>
      <c r="J100" s="466">
        <f t="shared" si="4"/>
        <v>5.0338144329896908</v>
      </c>
      <c r="K100" s="465">
        <f t="shared" si="5"/>
        <v>0</v>
      </c>
      <c r="L100" s="443">
        <f t="shared" si="6"/>
        <v>4.1171134020618556</v>
      </c>
      <c r="M100" s="465">
        <f t="shared" si="7"/>
        <v>0</v>
      </c>
      <c r="N100" s="466">
        <f t="shared" si="8"/>
        <v>3.4255670103092783</v>
      </c>
      <c r="O100" s="465">
        <f t="shared" si="9"/>
        <v>0</v>
      </c>
      <c r="P100" s="816"/>
    </row>
    <row r="101" spans="1:16" ht="13.5" thickBot="1">
      <c r="A101" s="1145"/>
      <c r="B101" s="438"/>
      <c r="C101" s="824" t="s">
        <v>701</v>
      </c>
      <c r="D101" s="825" t="s">
        <v>3617</v>
      </c>
      <c r="E101" s="693">
        <v>305.15463917525773</v>
      </c>
      <c r="F101" s="442">
        <f t="shared" si="0"/>
        <v>183.09278350515464</v>
      </c>
      <c r="G101" s="444">
        <f t="shared" si="1"/>
        <v>0</v>
      </c>
      <c r="H101" s="443">
        <f t="shared" si="2"/>
        <v>15.233319587628866</v>
      </c>
      <c r="I101" s="465">
        <f t="shared" si="3"/>
        <v>0</v>
      </c>
      <c r="J101" s="466">
        <f t="shared" si="4"/>
        <v>5.7308041237113407</v>
      </c>
      <c r="K101" s="465">
        <f t="shared" si="5"/>
        <v>0</v>
      </c>
      <c r="L101" s="443">
        <f t="shared" si="6"/>
        <v>4.6871752577319592</v>
      </c>
      <c r="M101" s="465">
        <f t="shared" si="7"/>
        <v>0</v>
      </c>
      <c r="N101" s="466">
        <f t="shared" si="8"/>
        <v>3.8998762886597937</v>
      </c>
      <c r="O101" s="465">
        <f t="shared" si="9"/>
        <v>0</v>
      </c>
      <c r="P101" s="816"/>
    </row>
    <row r="102" spans="1:16" ht="13.5" thickBot="1">
      <c r="A102" s="1146"/>
      <c r="B102" s="438"/>
      <c r="C102" s="824" t="s">
        <v>453</v>
      </c>
      <c r="D102" s="727" t="s">
        <v>3562</v>
      </c>
      <c r="E102" s="693">
        <v>115.4639175257732</v>
      </c>
      <c r="F102" s="442">
        <f t="shared" si="0"/>
        <v>69.278350515463913</v>
      </c>
      <c r="G102" s="444">
        <f t="shared" si="1"/>
        <v>0</v>
      </c>
      <c r="H102" s="443">
        <f t="shared" si="2"/>
        <v>5.7639587628865971</v>
      </c>
      <c r="I102" s="465">
        <f t="shared" si="3"/>
        <v>0</v>
      </c>
      <c r="J102" s="466">
        <f t="shared" si="4"/>
        <v>2.1684123711340204</v>
      </c>
      <c r="K102" s="465">
        <f t="shared" si="5"/>
        <v>0</v>
      </c>
      <c r="L102" s="443">
        <f t="shared" si="6"/>
        <v>1.7735257731958762</v>
      </c>
      <c r="M102" s="465">
        <f t="shared" si="7"/>
        <v>0</v>
      </c>
      <c r="N102" s="466">
        <f t="shared" si="8"/>
        <v>1.4756288659793813</v>
      </c>
      <c r="O102" s="465">
        <f t="shared" si="9"/>
        <v>0</v>
      </c>
      <c r="P102" s="816"/>
    </row>
    <row r="103" spans="1:16">
      <c r="D103" s="1147" t="s">
        <v>183</v>
      </c>
      <c r="E103" s="1124"/>
      <c r="F103" s="1124"/>
      <c r="G103" s="893">
        <f t="array" ref="G103">SUM(G46:G102)+G34:G46:G102+G38:G46:G102+G42</f>
        <v>0</v>
      </c>
      <c r="H103" s="777" t="s">
        <v>184</v>
      </c>
      <c r="I103" s="893">
        <f t="array" ref="I103">SUM(I46:I102)+I34:I46:I102+I38:I46:I102+I42</f>
        <v>0</v>
      </c>
      <c r="J103" s="777" t="s">
        <v>185</v>
      </c>
      <c r="K103" s="893">
        <f t="array" ref="K103">SUM(K46:K102)+K34:K46:K102+K38:K46:K102+K42</f>
        <v>0</v>
      </c>
      <c r="L103" s="777" t="s">
        <v>186</v>
      </c>
      <c r="M103" s="893">
        <f t="array" ref="M103">SUM(M46:M102)+M34:M46:M102+M38:M46:M102+M42</f>
        <v>0</v>
      </c>
      <c r="N103" s="777" t="s">
        <v>187</v>
      </c>
      <c r="O103" s="893">
        <f t="array" ref="O103">SUM(O46:O102)+O34:O46:O102+O38:O46:O102+O42</f>
        <v>0</v>
      </c>
    </row>
  </sheetData>
  <mergeCells count="59">
    <mergeCell ref="F30:J30"/>
    <mergeCell ref="A45:O45"/>
    <mergeCell ref="A46:A102"/>
    <mergeCell ref="D103:F103"/>
    <mergeCell ref="O38:O40"/>
    <mergeCell ref="A42:A44"/>
    <mergeCell ref="B42:B44"/>
    <mergeCell ref="G42:G44"/>
    <mergeCell ref="I42:I44"/>
    <mergeCell ref="K42:K44"/>
    <mergeCell ref="M42:M44"/>
    <mergeCell ref="O42:O44"/>
    <mergeCell ref="A38:A40"/>
    <mergeCell ref="B38:B40"/>
    <mergeCell ref="G38:G40"/>
    <mergeCell ref="I38:I40"/>
    <mergeCell ref="M38:M40"/>
    <mergeCell ref="F32:G32"/>
    <mergeCell ref="H32:O32"/>
    <mergeCell ref="A34:A36"/>
    <mergeCell ref="B34:B36"/>
    <mergeCell ref="G34:G36"/>
    <mergeCell ref="I34:I36"/>
    <mergeCell ref="K34:K36"/>
    <mergeCell ref="M34:M36"/>
    <mergeCell ref="O34:O36"/>
    <mergeCell ref="K38:K40"/>
    <mergeCell ref="A29:C29"/>
    <mergeCell ref="E29:H29"/>
    <mergeCell ref="I29:K29"/>
    <mergeCell ref="L29:M29"/>
    <mergeCell ref="N29:O29"/>
    <mergeCell ref="N27:O27"/>
    <mergeCell ref="A28:C28"/>
    <mergeCell ref="E28:H28"/>
    <mergeCell ref="I28:K28"/>
    <mergeCell ref="L28:M28"/>
    <mergeCell ref="N28:O28"/>
    <mergeCell ref="A27:C27"/>
    <mergeCell ref="E27:H27"/>
    <mergeCell ref="I27:K27"/>
    <mergeCell ref="L27:M27"/>
    <mergeCell ref="A25:C25"/>
    <mergeCell ref="E25:H25"/>
    <mergeCell ref="I25:K25"/>
    <mergeCell ref="L25:M25"/>
    <mergeCell ref="N25:O25"/>
    <mergeCell ref="A26:C26"/>
    <mergeCell ref="E26:H26"/>
    <mergeCell ref="I26:K26"/>
    <mergeCell ref="L26:M26"/>
    <mergeCell ref="N26:O26"/>
    <mergeCell ref="A4:O4"/>
    <mergeCell ref="A5:O5"/>
    <mergeCell ref="F8:I8"/>
    <mergeCell ref="A23:O23"/>
    <mergeCell ref="A24:D24"/>
    <mergeCell ref="E24:K24"/>
    <mergeCell ref="L24:O24"/>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68191-FFA0-4D8B-9ABD-EBE16F3B09DD}">
  <sheetPr>
    <tabColor indexed="62"/>
  </sheetPr>
  <dimension ref="A1:P116"/>
  <sheetViews>
    <sheetView topLeftCell="A6" zoomScale="80" zoomScaleNormal="80" workbookViewId="0">
      <selection activeCell="J18" sqref="J18"/>
    </sheetView>
  </sheetViews>
  <sheetFormatPr defaultColWidth="8.85546875" defaultRowHeight="12.75"/>
  <cols>
    <col min="1" max="1" width="14.42578125" style="378" customWidth="1"/>
    <col min="2" max="2" width="9" style="378" customWidth="1"/>
    <col min="3" max="3" width="20.140625" style="769" bestFit="1" customWidth="1"/>
    <col min="4" max="4" width="60.5703125" style="378" customWidth="1"/>
    <col min="5" max="5" width="17.42578125" style="378" customWidth="1"/>
    <col min="6" max="6" width="16.5703125" style="455" customWidth="1"/>
    <col min="7" max="7" width="17.140625" style="378" customWidth="1"/>
    <col min="8" max="8" width="21.7109375" style="378" customWidth="1"/>
    <col min="9" max="9" width="15.28515625" style="378" customWidth="1"/>
    <col min="10" max="10" width="22" style="378" customWidth="1"/>
    <col min="11" max="11" width="17" style="378" customWidth="1"/>
    <col min="12" max="12" width="19.28515625" style="378" customWidth="1"/>
    <col min="13" max="13" width="17.28515625" style="378" customWidth="1"/>
    <col min="14" max="14" width="23.42578125" style="378" customWidth="1"/>
    <col min="15" max="15" width="18.140625" style="378" customWidth="1"/>
    <col min="16" max="16" width="12.42578125" style="378" customWidth="1"/>
    <col min="17" max="16384" width="8.85546875" style="378"/>
  </cols>
  <sheetData>
    <row r="1" spans="1:15" ht="13.5" thickBot="1">
      <c r="B1" s="381"/>
      <c r="C1" s="852"/>
      <c r="D1" s="380"/>
      <c r="E1" s="380"/>
      <c r="F1" s="381"/>
      <c r="G1" s="381"/>
      <c r="H1" s="381"/>
      <c r="I1" s="381"/>
      <c r="J1" s="381"/>
      <c r="K1" s="380"/>
      <c r="L1" s="381"/>
    </row>
    <row r="2" spans="1:15" ht="9" customHeight="1">
      <c r="A2" s="382"/>
      <c r="B2" s="386"/>
      <c r="C2" s="854"/>
      <c r="D2" s="384"/>
      <c r="E2" s="384"/>
      <c r="F2" s="385"/>
      <c r="G2" s="386"/>
      <c r="H2" s="385"/>
      <c r="I2" s="386"/>
      <c r="J2" s="386"/>
      <c r="K2" s="386"/>
      <c r="L2" s="386"/>
      <c r="M2" s="382"/>
      <c r="N2" s="382"/>
      <c r="O2" s="382"/>
    </row>
    <row r="3" spans="1:15" ht="10.5" customHeight="1">
      <c r="B3" s="387"/>
      <c r="C3" s="852"/>
      <c r="D3" s="380"/>
      <c r="E3" s="380"/>
      <c r="F3" s="381"/>
      <c r="G3" s="387"/>
      <c r="H3" s="381"/>
      <c r="I3" s="387"/>
      <c r="J3" s="387"/>
      <c r="K3" s="387"/>
      <c r="L3" s="387"/>
    </row>
    <row r="4" spans="1:15" ht="36" customHeight="1">
      <c r="A4" s="1022" t="s">
        <v>4466</v>
      </c>
      <c r="B4" s="1023"/>
      <c r="C4" s="1023"/>
      <c r="D4" s="1023"/>
      <c r="E4" s="1023"/>
      <c r="F4" s="1023"/>
      <c r="G4" s="1023"/>
      <c r="H4" s="1023"/>
      <c r="I4" s="1023"/>
      <c r="J4" s="1023"/>
      <c r="K4" s="1023"/>
      <c r="L4" s="1023"/>
      <c r="M4" s="1023"/>
      <c r="N4" s="1023"/>
      <c r="O4" s="1023"/>
    </row>
    <row r="5" spans="1:15" s="388" customFormat="1" ht="42" customHeight="1">
      <c r="A5" s="1196" t="s">
        <v>3591</v>
      </c>
      <c r="B5" s="1025"/>
      <c r="C5" s="1025"/>
      <c r="D5" s="1025"/>
      <c r="E5" s="1025"/>
      <c r="F5" s="1025"/>
      <c r="G5" s="1025"/>
      <c r="H5" s="1025"/>
      <c r="I5" s="1025"/>
      <c r="J5" s="1025"/>
      <c r="K5" s="1025"/>
      <c r="L5" s="1025"/>
      <c r="M5" s="1025"/>
      <c r="N5" s="1025"/>
      <c r="O5" s="1025"/>
    </row>
    <row r="6" spans="1:15" ht="12" customHeight="1" thickBot="1">
      <c r="A6" s="389"/>
      <c r="B6" s="389"/>
      <c r="C6" s="389"/>
      <c r="D6" s="389"/>
      <c r="E6" s="389"/>
      <c r="F6" s="389"/>
      <c r="G6" s="389"/>
      <c r="H6" s="389"/>
      <c r="I6" s="389"/>
      <c r="J6" s="389"/>
      <c r="K6" s="389"/>
      <c r="L6" s="389"/>
      <c r="M6" s="389"/>
      <c r="N6" s="389"/>
      <c r="O6" s="389"/>
    </row>
    <row r="8" spans="1:15" s="387" customFormat="1" ht="14.25">
      <c r="C8" s="404"/>
      <c r="E8" s="616"/>
      <c r="F8" s="1026" t="s">
        <v>3</v>
      </c>
      <c r="G8" s="1026"/>
      <c r="H8" s="1026"/>
      <c r="I8" s="717"/>
    </row>
    <row r="9" spans="1:15" s="387" customFormat="1" ht="14.25">
      <c r="C9" s="404"/>
      <c r="F9" s="397" t="s">
        <v>4</v>
      </c>
      <c r="G9" s="196" t="s">
        <v>133</v>
      </c>
    </row>
    <row r="10" spans="1:15" s="387" customFormat="1">
      <c r="B10" s="404"/>
      <c r="C10" s="404"/>
      <c r="E10" s="404"/>
      <c r="F10" s="392" t="s">
        <v>5</v>
      </c>
      <c r="G10" s="250" t="s">
        <v>3579</v>
      </c>
      <c r="H10" s="404"/>
      <c r="I10" s="395"/>
      <c r="J10" s="404"/>
    </row>
    <row r="11" spans="1:15" s="387" customFormat="1" ht="12.75" customHeight="1">
      <c r="B11" s="768"/>
      <c r="C11" s="404"/>
      <c r="E11" s="768"/>
      <c r="F11" s="398" t="s">
        <v>8</v>
      </c>
      <c r="G11" s="698">
        <v>200000</v>
      </c>
      <c r="H11" s="768"/>
      <c r="J11" s="768"/>
    </row>
    <row r="12" spans="1:15" s="387" customFormat="1">
      <c r="B12" s="404"/>
      <c r="C12" s="404"/>
      <c r="E12" s="404"/>
      <c r="F12" s="392" t="s">
        <v>9</v>
      </c>
      <c r="G12" s="496" t="s">
        <v>250</v>
      </c>
      <c r="H12" s="404"/>
      <c r="J12" s="404"/>
    </row>
    <row r="13" spans="1:15" s="387" customFormat="1">
      <c r="C13" s="894"/>
      <c r="F13" s="392" t="s">
        <v>10</v>
      </c>
      <c r="G13" s="196" t="s">
        <v>255</v>
      </c>
    </row>
    <row r="14" spans="1:15" s="387" customFormat="1">
      <c r="C14" s="404"/>
      <c r="F14" s="392" t="s">
        <v>11</v>
      </c>
      <c r="G14" s="196" t="s">
        <v>3623</v>
      </c>
    </row>
    <row r="15" spans="1:15" s="387" customFormat="1">
      <c r="C15" s="404"/>
      <c r="F15" s="392" t="s">
        <v>12</v>
      </c>
      <c r="G15" s="196" t="s">
        <v>3624</v>
      </c>
    </row>
    <row r="16" spans="1:15" s="387" customFormat="1">
      <c r="C16" s="404"/>
      <c r="F16" s="392" t="s">
        <v>13</v>
      </c>
      <c r="G16" s="196" t="s">
        <v>14</v>
      </c>
    </row>
    <row r="17" spans="1:15" s="387" customFormat="1">
      <c r="C17" s="404"/>
      <c r="F17" s="392"/>
      <c r="G17" s="196" t="s">
        <v>36</v>
      </c>
    </row>
    <row r="18" spans="1:15" s="387" customFormat="1">
      <c r="C18" s="404"/>
      <c r="F18" s="392"/>
      <c r="G18" s="196" t="s">
        <v>37</v>
      </c>
    </row>
    <row r="19" spans="1:15" s="387" customFormat="1">
      <c r="C19" s="404"/>
      <c r="F19" s="392" t="s">
        <v>15</v>
      </c>
      <c r="G19" s="196" t="s">
        <v>38</v>
      </c>
    </row>
    <row r="20" spans="1:15" s="387" customFormat="1">
      <c r="C20" s="404"/>
      <c r="F20" s="392" t="s">
        <v>16</v>
      </c>
      <c r="G20" s="196" t="s">
        <v>39</v>
      </c>
    </row>
    <row r="21" spans="1:15" s="387" customFormat="1">
      <c r="B21" s="404"/>
      <c r="C21" s="404"/>
      <c r="E21" s="404"/>
      <c r="F21" s="392" t="s">
        <v>18</v>
      </c>
      <c r="G21" s="250" t="s">
        <v>111</v>
      </c>
      <c r="H21" s="404"/>
      <c r="J21" s="404"/>
    </row>
    <row r="22" spans="1:15" s="387" customFormat="1" ht="12" customHeight="1">
      <c r="C22" s="404"/>
      <c r="F22" s="392" t="s">
        <v>19</v>
      </c>
      <c r="G22" s="196" t="s">
        <v>3581</v>
      </c>
    </row>
    <row r="23" spans="1:15" s="387" customFormat="1" ht="15.75" customHeight="1">
      <c r="C23" s="404"/>
      <c r="D23" s="1027"/>
      <c r="F23" s="392" t="s">
        <v>20</v>
      </c>
      <c r="G23" s="196" t="s">
        <v>3625</v>
      </c>
      <c r="I23" s="895"/>
    </row>
    <row r="24" spans="1:15" s="387" customFormat="1" ht="12.75" customHeight="1">
      <c r="C24" s="404"/>
      <c r="D24" s="1027"/>
      <c r="F24" s="392" t="s">
        <v>21</v>
      </c>
      <c r="G24" s="196" t="s">
        <v>3621</v>
      </c>
    </row>
    <row r="25" spans="1:15" s="387" customFormat="1" ht="12.75" customHeight="1">
      <c r="C25" s="404"/>
      <c r="D25" s="399"/>
      <c r="F25" s="392" t="s">
        <v>22</v>
      </c>
      <c r="G25" s="196" t="s">
        <v>3622</v>
      </c>
    </row>
    <row r="26" spans="1:15" s="387" customFormat="1" ht="15" thickBot="1">
      <c r="A26" s="1104" t="s">
        <v>23</v>
      </c>
      <c r="B26" s="1187"/>
      <c r="C26" s="1187"/>
      <c r="D26" s="1187"/>
      <c r="E26" s="1187"/>
      <c r="F26" s="1187"/>
      <c r="G26" s="1187"/>
      <c r="H26" s="1187"/>
      <c r="I26" s="1187"/>
      <c r="J26" s="1187"/>
      <c r="K26" s="1187"/>
      <c r="L26" s="1187"/>
      <c r="M26" s="1187"/>
      <c r="N26" s="1187"/>
      <c r="O26" s="1187"/>
    </row>
    <row r="27" spans="1:15" s="387" customFormat="1" ht="14.25">
      <c r="A27" s="1098" t="s">
        <v>236</v>
      </c>
      <c r="B27" s="1099"/>
      <c r="C27" s="1099"/>
      <c r="D27" s="1100"/>
      <c r="E27" s="1101" t="s">
        <v>237</v>
      </c>
      <c r="F27" s="1184"/>
      <c r="G27" s="1184"/>
      <c r="H27" s="1184"/>
      <c r="I27" s="1184"/>
      <c r="J27" s="1185"/>
      <c r="K27" s="1098" t="s">
        <v>238</v>
      </c>
      <c r="L27" s="1099"/>
      <c r="M27" s="1099"/>
      <c r="N27" s="1099"/>
      <c r="O27" s="1100"/>
    </row>
    <row r="28" spans="1:15" s="387" customFormat="1" ht="12.75" customHeight="1">
      <c r="A28" s="1030" t="s">
        <v>160</v>
      </c>
      <c r="B28" s="1031"/>
      <c r="C28" s="1031"/>
      <c r="D28" s="401" t="s">
        <v>161</v>
      </c>
      <c r="E28" s="1030" t="s">
        <v>160</v>
      </c>
      <c r="F28" s="1031"/>
      <c r="G28" s="1031"/>
      <c r="H28" s="1031"/>
      <c r="I28" s="1109" t="s">
        <v>162</v>
      </c>
      <c r="J28" s="1140"/>
      <c r="K28" s="1030" t="s">
        <v>160</v>
      </c>
      <c r="L28" s="1031"/>
      <c r="M28" s="1031"/>
      <c r="N28" s="1110" t="s">
        <v>162</v>
      </c>
      <c r="O28" s="1111"/>
    </row>
    <row r="29" spans="1:15" s="387" customFormat="1" ht="12.75" customHeight="1">
      <c r="A29" s="1030" t="s">
        <v>43</v>
      </c>
      <c r="B29" s="1031"/>
      <c r="C29" s="1031"/>
      <c r="D29" s="402">
        <v>0</v>
      </c>
      <c r="E29" s="1030" t="s">
        <v>43</v>
      </c>
      <c r="F29" s="1031"/>
      <c r="G29" s="1031"/>
      <c r="H29" s="1031"/>
      <c r="I29" s="1105">
        <v>900</v>
      </c>
      <c r="J29" s="1186"/>
      <c r="K29" s="1030" t="s">
        <v>43</v>
      </c>
      <c r="L29" s="1031"/>
      <c r="M29" s="1031"/>
      <c r="N29" s="1107">
        <v>1350</v>
      </c>
      <c r="O29" s="1108"/>
    </row>
    <row r="30" spans="1:15" s="387" customFormat="1" ht="12.75" customHeight="1">
      <c r="A30" s="1030" t="s">
        <v>164</v>
      </c>
      <c r="B30" s="1031"/>
      <c r="C30" s="1031"/>
      <c r="D30" s="401" t="s">
        <v>165</v>
      </c>
      <c r="E30" s="1030" t="s">
        <v>164</v>
      </c>
      <c r="F30" s="1031"/>
      <c r="G30" s="1031"/>
      <c r="H30" s="1031"/>
      <c r="I30" s="1109" t="s">
        <v>239</v>
      </c>
      <c r="J30" s="1140"/>
      <c r="K30" s="1030" t="s">
        <v>164</v>
      </c>
      <c r="L30" s="1031"/>
      <c r="M30" s="1031"/>
      <c r="N30" s="1110" t="s">
        <v>240</v>
      </c>
      <c r="O30" s="1111"/>
    </row>
    <row r="31" spans="1:15" s="387" customFormat="1" ht="12.75" customHeight="1" thickBot="1">
      <c r="A31" s="1035" t="s">
        <v>46</v>
      </c>
      <c r="B31" s="1036"/>
      <c r="C31" s="1036"/>
      <c r="D31" s="403" t="s">
        <v>810</v>
      </c>
      <c r="E31" s="1035" t="s">
        <v>47</v>
      </c>
      <c r="F31" s="1036"/>
      <c r="G31" s="1036"/>
      <c r="H31" s="1036"/>
      <c r="I31" s="1112" t="s">
        <v>241</v>
      </c>
      <c r="J31" s="1138"/>
      <c r="K31" s="1035" t="s">
        <v>166</v>
      </c>
      <c r="L31" s="1036"/>
      <c r="M31" s="1036"/>
      <c r="N31" s="1114" t="s">
        <v>811</v>
      </c>
      <c r="O31" s="1115"/>
    </row>
    <row r="32" spans="1:15" s="387" customFormat="1" ht="12.75" customHeight="1">
      <c r="C32" s="404"/>
      <c r="D32" s="399"/>
      <c r="E32" s="399"/>
      <c r="F32" s="405"/>
      <c r="G32" s="405"/>
      <c r="H32" s="405"/>
      <c r="I32" s="1086"/>
      <c r="J32" s="1086"/>
      <c r="K32" s="1086"/>
    </row>
    <row r="33" spans="1:16" s="387" customFormat="1" ht="13.5" customHeight="1" thickBot="1">
      <c r="B33" s="410"/>
      <c r="C33" s="404"/>
      <c r="D33" s="399"/>
      <c r="E33" s="399"/>
      <c r="F33" s="405"/>
      <c r="G33" s="410"/>
      <c r="I33" s="410"/>
      <c r="J33" s="410"/>
      <c r="K33" s="410"/>
      <c r="L33" s="410"/>
    </row>
    <row r="34" spans="1:16" s="387" customFormat="1" ht="15.75" customHeight="1" thickBot="1">
      <c r="C34" s="404"/>
      <c r="F34" s="1088" t="s">
        <v>167</v>
      </c>
      <c r="G34" s="1041"/>
      <c r="H34" s="1042" t="s">
        <v>168</v>
      </c>
      <c r="I34" s="1044"/>
      <c r="J34" s="1044"/>
      <c r="K34" s="1044"/>
      <c r="L34" s="1044"/>
      <c r="M34" s="1044"/>
      <c r="N34" s="1044"/>
      <c r="O34" s="1045"/>
      <c r="P34" s="378"/>
    </row>
    <row r="35" spans="1:16" s="413" customFormat="1" ht="62.25" customHeight="1" thickBot="1">
      <c r="A35" s="411" t="s">
        <v>122</v>
      </c>
      <c r="B35" s="411" t="s">
        <v>169</v>
      </c>
      <c r="C35" s="896" t="s">
        <v>170</v>
      </c>
      <c r="D35" s="412" t="s">
        <v>171</v>
      </c>
      <c r="E35" s="412" t="s">
        <v>172</v>
      </c>
      <c r="F35" s="412" t="s">
        <v>173</v>
      </c>
      <c r="G35" s="411" t="s">
        <v>174</v>
      </c>
      <c r="H35" s="412" t="s">
        <v>175</v>
      </c>
      <c r="I35" s="411" t="s">
        <v>174</v>
      </c>
      <c r="J35" s="412" t="s">
        <v>176</v>
      </c>
      <c r="K35" s="411" t="s">
        <v>174</v>
      </c>
      <c r="L35" s="412" t="s">
        <v>177</v>
      </c>
      <c r="M35" s="411" t="s">
        <v>174</v>
      </c>
      <c r="N35" s="412" t="s">
        <v>178</v>
      </c>
      <c r="O35" s="411" t="s">
        <v>174</v>
      </c>
    </row>
    <row r="36" spans="1:16" s="418" customFormat="1" ht="29.25" customHeight="1" thickBot="1">
      <c r="A36" s="1119">
        <v>14</v>
      </c>
      <c r="B36" s="1197"/>
      <c r="C36" s="897" t="s">
        <v>4467</v>
      </c>
      <c r="D36" s="898" t="s">
        <v>4468</v>
      </c>
      <c r="E36" s="899">
        <v>26251</v>
      </c>
      <c r="F36" s="900">
        <f>SUM(E36:E38)*(1-83%)</f>
        <v>4523.3600000000015</v>
      </c>
      <c r="G36" s="1198">
        <f>F36*B36</f>
        <v>0</v>
      </c>
      <c r="H36" s="901">
        <f>F36*0.0832</f>
        <v>376.3435520000001</v>
      </c>
      <c r="I36" s="1198">
        <f>H36*B36</f>
        <v>0</v>
      </c>
      <c r="J36" s="901">
        <f>F36*0.0313</f>
        <v>141.58116800000005</v>
      </c>
      <c r="K36" s="1198">
        <f>J36*B36</f>
        <v>0</v>
      </c>
      <c r="L36" s="417">
        <f>F36*0.0256</f>
        <v>115.79801600000005</v>
      </c>
      <c r="M36" s="1050">
        <f>L36*B36</f>
        <v>0</v>
      </c>
      <c r="N36" s="417">
        <f>F36*0.0213</f>
        <v>96.347568000000024</v>
      </c>
      <c r="O36" s="1050">
        <f>N36*B36</f>
        <v>0</v>
      </c>
    </row>
    <row r="37" spans="1:16" s="413" customFormat="1" ht="13.5" thickBot="1">
      <c r="A37" s="1120"/>
      <c r="B37" s="1182"/>
      <c r="C37" s="902" t="s">
        <v>714</v>
      </c>
      <c r="D37" s="903" t="s">
        <v>670</v>
      </c>
      <c r="E37" s="442">
        <v>282</v>
      </c>
      <c r="F37" s="904" t="s">
        <v>162</v>
      </c>
      <c r="G37" s="1199"/>
      <c r="H37" s="904" t="s">
        <v>162</v>
      </c>
      <c r="I37" s="1199"/>
      <c r="J37" s="904" t="s">
        <v>162</v>
      </c>
      <c r="K37" s="1199"/>
      <c r="L37" s="423" t="s">
        <v>162</v>
      </c>
      <c r="M37" s="1137"/>
      <c r="N37" s="423" t="s">
        <v>162</v>
      </c>
      <c r="O37" s="1137"/>
    </row>
    <row r="38" spans="1:16" s="413" customFormat="1" ht="13.5" thickBot="1">
      <c r="A38" s="1125"/>
      <c r="B38" s="1182"/>
      <c r="C38" s="425" t="s">
        <v>179</v>
      </c>
      <c r="D38" s="905" t="s">
        <v>180</v>
      </c>
      <c r="E38" s="906">
        <v>75</v>
      </c>
      <c r="F38" s="907" t="s">
        <v>162</v>
      </c>
      <c r="G38" s="1199"/>
      <c r="H38" s="907" t="s">
        <v>162</v>
      </c>
      <c r="I38" s="1199"/>
      <c r="J38" s="907" t="s">
        <v>162</v>
      </c>
      <c r="K38" s="1199"/>
      <c r="L38" s="423" t="s">
        <v>162</v>
      </c>
      <c r="M38" s="1049"/>
      <c r="N38" s="423" t="s">
        <v>162</v>
      </c>
      <c r="O38" s="1049"/>
    </row>
    <row r="39" spans="1:16" s="413" customFormat="1" ht="13.5" thickBot="1">
      <c r="A39" s="908"/>
      <c r="B39" s="765"/>
      <c r="C39" s="431"/>
      <c r="D39" s="757"/>
      <c r="E39" s="784"/>
      <c r="F39" s="909"/>
      <c r="G39" s="757"/>
      <c r="H39" s="909"/>
      <c r="I39" s="757"/>
      <c r="J39" s="909"/>
      <c r="K39" s="766"/>
      <c r="L39" s="436"/>
      <c r="M39" s="430"/>
      <c r="N39" s="436"/>
      <c r="O39" s="435"/>
    </row>
    <row r="40" spans="1:16" s="418" customFormat="1" ht="29.25" customHeight="1" thickBot="1">
      <c r="A40" s="1119" t="s">
        <v>242</v>
      </c>
      <c r="B40" s="1197"/>
      <c r="C40" s="897" t="s">
        <v>4467</v>
      </c>
      <c r="D40" s="898" t="s">
        <v>4468</v>
      </c>
      <c r="E40" s="899">
        <v>26251</v>
      </c>
      <c r="F40" s="910">
        <f>SUM(E40:E42)*(1-83%)</f>
        <v>4523.3600000000015</v>
      </c>
      <c r="G40" s="1201">
        <f>F40*B40</f>
        <v>0</v>
      </c>
      <c r="H40" s="911">
        <f>F40*0.0832+I29/12</f>
        <v>451.3435520000001</v>
      </c>
      <c r="I40" s="1201">
        <f>H40*B40</f>
        <v>0</v>
      </c>
      <c r="J40" s="911">
        <f>F40*0.0313+I29/12</f>
        <v>216.58116800000005</v>
      </c>
      <c r="K40" s="1201">
        <f>J40*B40</f>
        <v>0</v>
      </c>
      <c r="L40" s="51">
        <f>F40*0.0256+I29/12</f>
        <v>190.79801600000005</v>
      </c>
      <c r="M40" s="1062">
        <f>L40*B40</f>
        <v>0</v>
      </c>
      <c r="N40" s="51">
        <f>F40*0.0213+I29/12</f>
        <v>171.34756800000002</v>
      </c>
      <c r="O40" s="1062">
        <f>N40*B40</f>
        <v>0</v>
      </c>
    </row>
    <row r="41" spans="1:16" s="413" customFormat="1" ht="13.5" thickBot="1">
      <c r="A41" s="1120"/>
      <c r="B41" s="1182"/>
      <c r="C41" s="902" t="s">
        <v>714</v>
      </c>
      <c r="D41" s="903" t="s">
        <v>670</v>
      </c>
      <c r="E41" s="442">
        <v>282</v>
      </c>
      <c r="F41" s="904" t="s">
        <v>162</v>
      </c>
      <c r="G41" s="1202"/>
      <c r="H41" s="912" t="s">
        <v>162</v>
      </c>
      <c r="I41" s="1202"/>
      <c r="J41" s="912" t="s">
        <v>162</v>
      </c>
      <c r="K41" s="1202"/>
      <c r="L41" s="53" t="s">
        <v>162</v>
      </c>
      <c r="M41" s="1117"/>
      <c r="N41" s="53" t="s">
        <v>162</v>
      </c>
      <c r="O41" s="1117"/>
    </row>
    <row r="42" spans="1:16" s="413" customFormat="1" ht="13.5" thickBot="1">
      <c r="A42" s="1125"/>
      <c r="B42" s="1182"/>
      <c r="C42" s="425" t="s">
        <v>179</v>
      </c>
      <c r="D42" s="905" t="s">
        <v>180</v>
      </c>
      <c r="E42" s="906">
        <v>75</v>
      </c>
      <c r="F42" s="913" t="s">
        <v>162</v>
      </c>
      <c r="G42" s="1199"/>
      <c r="H42" s="907" t="s">
        <v>162</v>
      </c>
      <c r="I42" s="1199"/>
      <c r="J42" s="907" t="s">
        <v>162</v>
      </c>
      <c r="K42" s="1199"/>
      <c r="L42" s="423" t="s">
        <v>162</v>
      </c>
      <c r="M42" s="1049"/>
      <c r="N42" s="423" t="s">
        <v>162</v>
      </c>
      <c r="O42" s="1049"/>
    </row>
    <row r="43" spans="1:16" s="413" customFormat="1" ht="13.5" thickBot="1">
      <c r="A43" s="908"/>
      <c r="B43" s="765"/>
      <c r="C43" s="431"/>
      <c r="D43" s="757"/>
      <c r="E43" s="784"/>
      <c r="F43" s="914"/>
      <c r="G43" s="758"/>
      <c r="H43" s="914"/>
      <c r="I43" s="758"/>
      <c r="J43" s="914"/>
      <c r="K43" s="759"/>
      <c r="L43" s="57"/>
      <c r="M43" s="55"/>
      <c r="N43" s="57"/>
      <c r="O43" s="56"/>
    </row>
    <row r="44" spans="1:16" s="418" customFormat="1" ht="29.25" customHeight="1" thickBot="1">
      <c r="A44" s="1119" t="s">
        <v>243</v>
      </c>
      <c r="B44" s="1197"/>
      <c r="C44" s="897" t="s">
        <v>4467</v>
      </c>
      <c r="D44" s="898" t="s">
        <v>4468</v>
      </c>
      <c r="E44" s="899">
        <v>26251</v>
      </c>
      <c r="F44" s="900">
        <f>SUM(E44:E46)*(1-83%)</f>
        <v>4523.3600000000015</v>
      </c>
      <c r="G44" s="1201">
        <f>F44*B44</f>
        <v>0</v>
      </c>
      <c r="H44" s="911">
        <f>F44*0.0832+N29/12</f>
        <v>488.8435520000001</v>
      </c>
      <c r="I44" s="1201">
        <f>H44*B44</f>
        <v>0</v>
      </c>
      <c r="J44" s="911">
        <f>F44*0.0313+N29/12</f>
        <v>254.08116800000005</v>
      </c>
      <c r="K44" s="1201">
        <f>J44*B44</f>
        <v>0</v>
      </c>
      <c r="L44" s="51">
        <f>F44*0.0256+N29/12</f>
        <v>228.29801600000005</v>
      </c>
      <c r="M44" s="1062">
        <f>L44*B44</f>
        <v>0</v>
      </c>
      <c r="N44" s="51">
        <f>F44*0.0213+N29/12</f>
        <v>208.84756800000002</v>
      </c>
      <c r="O44" s="1062">
        <f>N44*B44</f>
        <v>0</v>
      </c>
    </row>
    <row r="45" spans="1:16" s="413" customFormat="1" ht="13.5" thickBot="1">
      <c r="A45" s="1120"/>
      <c r="B45" s="1182"/>
      <c r="C45" s="902" t="s">
        <v>714</v>
      </c>
      <c r="D45" s="903" t="s">
        <v>670</v>
      </c>
      <c r="E45" s="442">
        <v>282</v>
      </c>
      <c r="F45" s="904" t="s">
        <v>162</v>
      </c>
      <c r="G45" s="1199"/>
      <c r="H45" s="904" t="s">
        <v>162</v>
      </c>
      <c r="I45" s="1199"/>
      <c r="J45" s="904" t="s">
        <v>162</v>
      </c>
      <c r="K45" s="1199"/>
      <c r="L45" s="423" t="s">
        <v>162</v>
      </c>
      <c r="M45" s="1137"/>
      <c r="N45" s="423" t="s">
        <v>162</v>
      </c>
      <c r="O45" s="1137"/>
    </row>
    <row r="46" spans="1:16" s="413" customFormat="1" ht="13.5" thickBot="1">
      <c r="A46" s="1125"/>
      <c r="B46" s="1182"/>
      <c r="C46" s="425" t="s">
        <v>179</v>
      </c>
      <c r="D46" s="905" t="s">
        <v>180</v>
      </c>
      <c r="E46" s="906">
        <v>75</v>
      </c>
      <c r="F46" s="913" t="s">
        <v>162</v>
      </c>
      <c r="G46" s="1202"/>
      <c r="H46" s="913" t="s">
        <v>162</v>
      </c>
      <c r="I46" s="1202"/>
      <c r="J46" s="913" t="s">
        <v>162</v>
      </c>
      <c r="K46" s="1202"/>
      <c r="L46" s="828" t="s">
        <v>162</v>
      </c>
      <c r="M46" s="1117"/>
      <c r="N46" s="828" t="s">
        <v>162</v>
      </c>
      <c r="O46" s="1117"/>
    </row>
    <row r="47" spans="1:16" s="729" customFormat="1" ht="13.5" customHeight="1" thickBot="1">
      <c r="A47" s="1054" t="s">
        <v>182</v>
      </c>
      <c r="B47" s="1044"/>
      <c r="C47" s="1044"/>
      <c r="D47" s="1044"/>
      <c r="E47" s="1044"/>
      <c r="F47" s="1055"/>
      <c r="G47" s="1055"/>
      <c r="H47" s="1055"/>
      <c r="I47" s="1055"/>
      <c r="J47" s="1055"/>
      <c r="K47" s="1055"/>
      <c r="L47" s="1055"/>
      <c r="M47" s="1055"/>
      <c r="N47" s="1055"/>
      <c r="O47" s="1056"/>
    </row>
    <row r="48" spans="1:16" s="413" customFormat="1" ht="29.25" customHeight="1" thickBot="1">
      <c r="A48" s="1181"/>
      <c r="B48" s="915"/>
      <c r="C48" s="871" t="s">
        <v>209</v>
      </c>
      <c r="D48" s="420" t="s">
        <v>66</v>
      </c>
      <c r="E48" s="693">
        <v>975.85567010309285</v>
      </c>
      <c r="F48" s="693">
        <f t="shared" ref="F48:F100" si="0">E48*(1-40%)</f>
        <v>585.51340206185569</v>
      </c>
      <c r="G48" s="787">
        <f t="shared" ref="G48:G100" si="1">F48*B48</f>
        <v>0</v>
      </c>
      <c r="H48" s="787">
        <f t="shared" ref="H48:H100" si="2">F48*0.0832</f>
        <v>48.714715051546392</v>
      </c>
      <c r="I48" s="787">
        <f t="shared" ref="I48:I100" si="3">H48*B48</f>
        <v>0</v>
      </c>
      <c r="J48" s="787">
        <f t="shared" ref="J48:J100" si="4">F48*0.0313</f>
        <v>18.326569484536083</v>
      </c>
      <c r="K48" s="787">
        <f t="shared" ref="K48:K100" si="5">J48*B48</f>
        <v>0</v>
      </c>
      <c r="L48" s="787">
        <f t="shared" ref="L48:L100" si="6">F48*0.0256</f>
        <v>14.989143092783506</v>
      </c>
      <c r="M48" s="787">
        <f t="shared" ref="M48:M100" si="7">L48*B48</f>
        <v>0</v>
      </c>
      <c r="N48" s="787">
        <f t="shared" ref="N48:N100" si="8">F48*0.0213</f>
        <v>12.471435463917526</v>
      </c>
      <c r="O48" s="787">
        <f t="shared" ref="O48:O100" si="9">N48*B48</f>
        <v>0</v>
      </c>
      <c r="P48" s="788"/>
    </row>
    <row r="49" spans="1:16" s="413" customFormat="1" ht="13.5" thickBot="1">
      <c r="A49" s="1199"/>
      <c r="B49" s="916"/>
      <c r="C49" s="419" t="s">
        <v>486</v>
      </c>
      <c r="D49" s="420" t="s">
        <v>671</v>
      </c>
      <c r="E49" s="693">
        <v>134.01030927835052</v>
      </c>
      <c r="F49" s="693">
        <f t="shared" si="0"/>
        <v>80.406185567010311</v>
      </c>
      <c r="G49" s="786">
        <f t="shared" si="1"/>
        <v>0</v>
      </c>
      <c r="H49" s="787">
        <f t="shared" si="2"/>
        <v>6.6897946391752576</v>
      </c>
      <c r="I49" s="787">
        <f t="shared" si="3"/>
        <v>0</v>
      </c>
      <c r="J49" s="787">
        <f t="shared" si="4"/>
        <v>2.5167136082474229</v>
      </c>
      <c r="K49" s="787">
        <f t="shared" si="5"/>
        <v>0</v>
      </c>
      <c r="L49" s="787">
        <f t="shared" si="6"/>
        <v>2.0583983505154642</v>
      </c>
      <c r="M49" s="787">
        <f t="shared" si="7"/>
        <v>0</v>
      </c>
      <c r="N49" s="787">
        <f t="shared" si="8"/>
        <v>1.7126517525773195</v>
      </c>
      <c r="O49" s="787">
        <f t="shared" si="9"/>
        <v>0</v>
      </c>
      <c r="P49" s="788"/>
    </row>
    <row r="50" spans="1:16" s="413" customFormat="1" ht="26.25" thickBot="1">
      <c r="A50" s="1199"/>
      <c r="B50" s="916"/>
      <c r="C50" s="695" t="s">
        <v>3491</v>
      </c>
      <c r="D50" s="697" t="s">
        <v>3568</v>
      </c>
      <c r="E50" s="525">
        <v>411.34020618556701</v>
      </c>
      <c r="F50" s="693">
        <f t="shared" si="0"/>
        <v>246.8041237113402</v>
      </c>
      <c r="G50" s="786">
        <f t="shared" si="1"/>
        <v>0</v>
      </c>
      <c r="H50" s="787">
        <f t="shared" si="2"/>
        <v>20.534103092783504</v>
      </c>
      <c r="I50" s="787">
        <f t="shared" si="3"/>
        <v>0</v>
      </c>
      <c r="J50" s="787">
        <f t="shared" si="4"/>
        <v>7.7249690721649484</v>
      </c>
      <c r="K50" s="787">
        <f t="shared" si="5"/>
        <v>0</v>
      </c>
      <c r="L50" s="787">
        <f t="shared" si="6"/>
        <v>6.3181855670103095</v>
      </c>
      <c r="M50" s="787">
        <f t="shared" si="7"/>
        <v>0</v>
      </c>
      <c r="N50" s="787">
        <f t="shared" si="8"/>
        <v>5.2569278350515463</v>
      </c>
      <c r="O50" s="787">
        <f t="shared" si="9"/>
        <v>0</v>
      </c>
      <c r="P50" s="788"/>
    </row>
    <row r="51" spans="1:16" s="413" customFormat="1" ht="13.5" thickBot="1">
      <c r="A51" s="1199"/>
      <c r="B51" s="441"/>
      <c r="C51" s="871" t="s">
        <v>3577</v>
      </c>
      <c r="D51" s="917" t="s">
        <v>720</v>
      </c>
      <c r="E51" s="693">
        <v>257.73195876288662</v>
      </c>
      <c r="F51" s="693">
        <f t="shared" si="0"/>
        <v>154.63917525773198</v>
      </c>
      <c r="G51" s="786">
        <f t="shared" si="1"/>
        <v>0</v>
      </c>
      <c r="H51" s="787">
        <f t="shared" si="2"/>
        <v>12.865979381443299</v>
      </c>
      <c r="I51" s="787">
        <f t="shared" si="3"/>
        <v>0</v>
      </c>
      <c r="J51" s="787">
        <f t="shared" si="4"/>
        <v>4.8402061855670109</v>
      </c>
      <c r="K51" s="787">
        <f t="shared" si="5"/>
        <v>0</v>
      </c>
      <c r="L51" s="787">
        <f t="shared" si="6"/>
        <v>3.9587628865979387</v>
      </c>
      <c r="M51" s="787">
        <f t="shared" si="7"/>
        <v>0</v>
      </c>
      <c r="N51" s="787">
        <f t="shared" si="8"/>
        <v>3.293814432989691</v>
      </c>
      <c r="O51" s="787">
        <f t="shared" si="9"/>
        <v>0</v>
      </c>
      <c r="P51" s="788"/>
    </row>
    <row r="52" spans="1:16" s="413" customFormat="1" ht="13.5" thickBot="1">
      <c r="A52" s="1199"/>
      <c r="B52" s="916"/>
      <c r="C52" s="419" t="s">
        <v>3578</v>
      </c>
      <c r="D52" s="420" t="s">
        <v>408</v>
      </c>
      <c r="E52" s="693">
        <v>412.37113402061857</v>
      </c>
      <c r="F52" s="693">
        <f t="shared" si="0"/>
        <v>247.42268041237114</v>
      </c>
      <c r="G52" s="786">
        <f t="shared" si="1"/>
        <v>0</v>
      </c>
      <c r="H52" s="787">
        <f t="shared" si="2"/>
        <v>20.585567010309276</v>
      </c>
      <c r="I52" s="787">
        <f t="shared" si="3"/>
        <v>0</v>
      </c>
      <c r="J52" s="787">
        <f t="shared" si="4"/>
        <v>7.7443298969072165</v>
      </c>
      <c r="K52" s="787">
        <f t="shared" si="5"/>
        <v>0</v>
      </c>
      <c r="L52" s="787">
        <f t="shared" si="6"/>
        <v>6.3340206185567016</v>
      </c>
      <c r="M52" s="787">
        <f t="shared" si="7"/>
        <v>0</v>
      </c>
      <c r="N52" s="787">
        <f t="shared" si="8"/>
        <v>5.2701030927835051</v>
      </c>
      <c r="O52" s="787">
        <f t="shared" si="9"/>
        <v>0</v>
      </c>
      <c r="P52" s="788"/>
    </row>
    <row r="53" spans="1:16" s="413" customFormat="1" ht="13.5" thickBot="1">
      <c r="A53" s="1199"/>
      <c r="B53" s="916"/>
      <c r="C53" s="419" t="s">
        <v>690</v>
      </c>
      <c r="D53" s="420" t="s">
        <v>721</v>
      </c>
      <c r="E53" s="693">
        <v>514.43298969072168</v>
      </c>
      <c r="F53" s="693">
        <f t="shared" si="0"/>
        <v>308.65979381443299</v>
      </c>
      <c r="G53" s="786">
        <f t="shared" si="1"/>
        <v>0</v>
      </c>
      <c r="H53" s="787">
        <f t="shared" si="2"/>
        <v>25.680494845360823</v>
      </c>
      <c r="I53" s="787">
        <f t="shared" si="3"/>
        <v>0</v>
      </c>
      <c r="J53" s="787">
        <f t="shared" si="4"/>
        <v>9.6610515463917537</v>
      </c>
      <c r="K53" s="787">
        <f t="shared" si="5"/>
        <v>0</v>
      </c>
      <c r="L53" s="787">
        <f t="shared" si="6"/>
        <v>7.9016907216494845</v>
      </c>
      <c r="M53" s="787">
        <f t="shared" si="7"/>
        <v>0</v>
      </c>
      <c r="N53" s="787">
        <f t="shared" si="8"/>
        <v>6.5744536082474223</v>
      </c>
      <c r="O53" s="787">
        <f t="shared" si="9"/>
        <v>0</v>
      </c>
      <c r="P53" s="788"/>
    </row>
    <row r="54" spans="1:16" s="413" customFormat="1" ht="13.5" thickBot="1">
      <c r="A54" s="1199"/>
      <c r="B54" s="916"/>
      <c r="C54" s="419" t="s">
        <v>484</v>
      </c>
      <c r="D54" s="420" t="s">
        <v>409</v>
      </c>
      <c r="E54" s="693">
        <v>206.18556701030928</v>
      </c>
      <c r="F54" s="693">
        <f t="shared" si="0"/>
        <v>123.71134020618557</v>
      </c>
      <c r="G54" s="786">
        <f t="shared" si="1"/>
        <v>0</v>
      </c>
      <c r="H54" s="787">
        <f t="shared" si="2"/>
        <v>10.292783505154638</v>
      </c>
      <c r="I54" s="787">
        <f t="shared" si="3"/>
        <v>0</v>
      </c>
      <c r="J54" s="787">
        <f t="shared" si="4"/>
        <v>3.8721649484536083</v>
      </c>
      <c r="K54" s="787">
        <f t="shared" si="5"/>
        <v>0</v>
      </c>
      <c r="L54" s="787">
        <f t="shared" si="6"/>
        <v>3.1670103092783508</v>
      </c>
      <c r="M54" s="787">
        <f t="shared" si="7"/>
        <v>0</v>
      </c>
      <c r="N54" s="787">
        <f t="shared" si="8"/>
        <v>2.6350515463917525</v>
      </c>
      <c r="O54" s="787">
        <f t="shared" si="9"/>
        <v>0</v>
      </c>
      <c r="P54" s="788"/>
    </row>
    <row r="55" spans="1:16" s="413" customFormat="1" ht="26.25" thickBot="1">
      <c r="A55" s="1199"/>
      <c r="B55" s="916"/>
      <c r="C55" s="419" t="s">
        <v>485</v>
      </c>
      <c r="D55" s="420" t="s">
        <v>3511</v>
      </c>
      <c r="E55" s="693">
        <v>287.62886597938143</v>
      </c>
      <c r="F55" s="693">
        <f t="shared" si="0"/>
        <v>172.57731958762886</v>
      </c>
      <c r="G55" s="786">
        <f t="shared" si="1"/>
        <v>0</v>
      </c>
      <c r="H55" s="787">
        <f t="shared" si="2"/>
        <v>14.358432989690721</v>
      </c>
      <c r="I55" s="787">
        <f t="shared" si="3"/>
        <v>0</v>
      </c>
      <c r="J55" s="787">
        <f t="shared" si="4"/>
        <v>5.4016701030927834</v>
      </c>
      <c r="K55" s="787">
        <f t="shared" si="5"/>
        <v>0</v>
      </c>
      <c r="L55" s="787">
        <f t="shared" si="6"/>
        <v>4.417979381443299</v>
      </c>
      <c r="M55" s="787">
        <f t="shared" si="7"/>
        <v>0</v>
      </c>
      <c r="N55" s="787">
        <f t="shared" si="8"/>
        <v>3.6758969072164946</v>
      </c>
      <c r="O55" s="787">
        <f t="shared" si="9"/>
        <v>0</v>
      </c>
      <c r="P55" s="788"/>
    </row>
    <row r="56" spans="1:16" s="413" customFormat="1" ht="13.5" thickBot="1">
      <c r="A56" s="1199"/>
      <c r="B56" s="916"/>
      <c r="C56" s="871" t="s">
        <v>3489</v>
      </c>
      <c r="D56" s="420" t="s">
        <v>3564</v>
      </c>
      <c r="E56" s="693">
        <v>875.25773195876286</v>
      </c>
      <c r="F56" s="693">
        <f t="shared" si="0"/>
        <v>525.15463917525767</v>
      </c>
      <c r="G56" s="786">
        <f t="shared" si="1"/>
        <v>0</v>
      </c>
      <c r="H56" s="787">
        <f t="shared" si="2"/>
        <v>43.692865979381438</v>
      </c>
      <c r="I56" s="787">
        <f t="shared" si="3"/>
        <v>0</v>
      </c>
      <c r="J56" s="787">
        <f t="shared" si="4"/>
        <v>16.437340206185567</v>
      </c>
      <c r="K56" s="787">
        <f t="shared" si="5"/>
        <v>0</v>
      </c>
      <c r="L56" s="787">
        <f t="shared" si="6"/>
        <v>13.443958762886597</v>
      </c>
      <c r="M56" s="787">
        <f t="shared" si="7"/>
        <v>0</v>
      </c>
      <c r="N56" s="787">
        <f t="shared" si="8"/>
        <v>11.185793814432989</v>
      </c>
      <c r="O56" s="787">
        <f t="shared" si="9"/>
        <v>0</v>
      </c>
      <c r="P56" s="788"/>
    </row>
    <row r="57" spans="1:16" s="413" customFormat="1" ht="26.25" thickBot="1">
      <c r="A57" s="1199"/>
      <c r="B57" s="916"/>
      <c r="C57" s="419" t="s">
        <v>586</v>
      </c>
      <c r="D57" s="420" t="s">
        <v>3567</v>
      </c>
      <c r="E57" s="693">
        <v>453.60824742268045</v>
      </c>
      <c r="F57" s="693">
        <f t="shared" si="0"/>
        <v>272.16494845360825</v>
      </c>
      <c r="G57" s="786">
        <f t="shared" si="1"/>
        <v>0</v>
      </c>
      <c r="H57" s="787">
        <f t="shared" si="2"/>
        <v>22.644123711340207</v>
      </c>
      <c r="I57" s="787">
        <f t="shared" si="3"/>
        <v>0</v>
      </c>
      <c r="J57" s="787">
        <f t="shared" si="4"/>
        <v>8.5187628865979388</v>
      </c>
      <c r="K57" s="787">
        <f t="shared" si="5"/>
        <v>0</v>
      </c>
      <c r="L57" s="787">
        <f t="shared" si="6"/>
        <v>6.9674226804123718</v>
      </c>
      <c r="M57" s="787">
        <f t="shared" si="7"/>
        <v>0</v>
      </c>
      <c r="N57" s="787">
        <f t="shared" si="8"/>
        <v>5.7971134020618553</v>
      </c>
      <c r="O57" s="787">
        <f t="shared" si="9"/>
        <v>0</v>
      </c>
      <c r="P57" s="788"/>
    </row>
    <row r="58" spans="1:16" s="413" customFormat="1" ht="13.5" thickBot="1">
      <c r="A58" s="1199"/>
      <c r="B58" s="916"/>
      <c r="C58" s="873" t="s">
        <v>3490</v>
      </c>
      <c r="D58" s="697" t="s">
        <v>723</v>
      </c>
      <c r="E58" s="525">
        <v>229.48453608247422</v>
      </c>
      <c r="F58" s="693">
        <f t="shared" si="0"/>
        <v>137.69072164948452</v>
      </c>
      <c r="G58" s="786">
        <f t="shared" si="1"/>
        <v>0</v>
      </c>
      <c r="H58" s="787">
        <f t="shared" si="2"/>
        <v>11.45586804123711</v>
      </c>
      <c r="I58" s="787">
        <f t="shared" si="3"/>
        <v>0</v>
      </c>
      <c r="J58" s="787">
        <f t="shared" si="4"/>
        <v>4.3097195876288659</v>
      </c>
      <c r="K58" s="787">
        <f t="shared" si="5"/>
        <v>0</v>
      </c>
      <c r="L58" s="787">
        <f t="shared" si="6"/>
        <v>3.5248824742268039</v>
      </c>
      <c r="M58" s="787">
        <f t="shared" si="7"/>
        <v>0</v>
      </c>
      <c r="N58" s="787">
        <f t="shared" si="8"/>
        <v>2.9328123711340202</v>
      </c>
      <c r="O58" s="787">
        <f t="shared" si="9"/>
        <v>0</v>
      </c>
      <c r="P58" s="788"/>
    </row>
    <row r="59" spans="1:16" s="413" customFormat="1" ht="13.5" thickBot="1">
      <c r="A59" s="1199"/>
      <c r="B59" s="916"/>
      <c r="C59" s="785" t="s">
        <v>490</v>
      </c>
      <c r="D59" s="420" t="s">
        <v>3505</v>
      </c>
      <c r="E59" s="693">
        <v>1103.0927835051546</v>
      </c>
      <c r="F59" s="814">
        <f t="shared" si="0"/>
        <v>661.85567010309273</v>
      </c>
      <c r="G59" s="527">
        <f t="shared" si="1"/>
        <v>0</v>
      </c>
      <c r="H59" s="528">
        <f t="shared" si="2"/>
        <v>55.06639175257731</v>
      </c>
      <c r="I59" s="528">
        <f t="shared" si="3"/>
        <v>0</v>
      </c>
      <c r="J59" s="528">
        <f t="shared" si="4"/>
        <v>20.716082474226802</v>
      </c>
      <c r="K59" s="528">
        <f t="shared" si="5"/>
        <v>0</v>
      </c>
      <c r="L59" s="528">
        <f t="shared" si="6"/>
        <v>16.943505154639176</v>
      </c>
      <c r="M59" s="528">
        <f t="shared" si="7"/>
        <v>0</v>
      </c>
      <c r="N59" s="528">
        <f t="shared" si="8"/>
        <v>14.097525773195875</v>
      </c>
      <c r="O59" s="528">
        <f t="shared" si="9"/>
        <v>0</v>
      </c>
      <c r="P59" s="788"/>
    </row>
    <row r="60" spans="1:16" s="413" customFormat="1" ht="13.5" thickBot="1">
      <c r="A60" s="1199"/>
      <c r="B60" s="916"/>
      <c r="C60" s="419" t="s">
        <v>455</v>
      </c>
      <c r="D60" s="420" t="s">
        <v>3506</v>
      </c>
      <c r="E60" s="693">
        <v>1101.5257731958764</v>
      </c>
      <c r="F60" s="693">
        <f t="shared" si="0"/>
        <v>660.91546391752581</v>
      </c>
      <c r="G60" s="527">
        <f t="shared" si="1"/>
        <v>0</v>
      </c>
      <c r="H60" s="787">
        <f t="shared" si="2"/>
        <v>54.988166597938147</v>
      </c>
      <c r="I60" s="528">
        <f t="shared" si="3"/>
        <v>0</v>
      </c>
      <c r="J60" s="787">
        <f t="shared" si="4"/>
        <v>20.686654020618558</v>
      </c>
      <c r="K60" s="528">
        <f t="shared" si="5"/>
        <v>0</v>
      </c>
      <c r="L60" s="787">
        <f t="shared" si="6"/>
        <v>16.919435876288663</v>
      </c>
      <c r="M60" s="528">
        <f t="shared" si="7"/>
        <v>0</v>
      </c>
      <c r="N60" s="787">
        <f t="shared" si="8"/>
        <v>14.0774993814433</v>
      </c>
      <c r="O60" s="528">
        <f t="shared" si="9"/>
        <v>0</v>
      </c>
      <c r="P60" s="788"/>
    </row>
    <row r="61" spans="1:16" s="413" customFormat="1" ht="26.25" thickBot="1">
      <c r="A61" s="1199"/>
      <c r="B61" s="916"/>
      <c r="C61" s="808" t="s">
        <v>3492</v>
      </c>
      <c r="D61" s="420" t="s">
        <v>3803</v>
      </c>
      <c r="E61" s="693">
        <v>1673.1958762886597</v>
      </c>
      <c r="F61" s="693">
        <f t="shared" si="0"/>
        <v>1003.9175257731958</v>
      </c>
      <c r="G61" s="786">
        <f t="shared" si="1"/>
        <v>0</v>
      </c>
      <c r="H61" s="787">
        <f t="shared" si="2"/>
        <v>83.525938144329885</v>
      </c>
      <c r="I61" s="787">
        <f t="shared" si="3"/>
        <v>0</v>
      </c>
      <c r="J61" s="787">
        <f t="shared" si="4"/>
        <v>31.422618556701032</v>
      </c>
      <c r="K61" s="787">
        <f t="shared" si="5"/>
        <v>0</v>
      </c>
      <c r="L61" s="787">
        <f t="shared" si="6"/>
        <v>25.700288659793816</v>
      </c>
      <c r="M61" s="787">
        <f t="shared" si="7"/>
        <v>0</v>
      </c>
      <c r="N61" s="787">
        <f t="shared" si="8"/>
        <v>21.38344329896907</v>
      </c>
      <c r="O61" s="787">
        <f t="shared" si="9"/>
        <v>0</v>
      </c>
      <c r="P61" s="788"/>
    </row>
    <row r="62" spans="1:16" s="413" customFormat="1" ht="26.25" thickBot="1">
      <c r="A62" s="1199"/>
      <c r="B62" s="916"/>
      <c r="C62" s="419" t="s">
        <v>3495</v>
      </c>
      <c r="D62" s="420" t="s">
        <v>3633</v>
      </c>
      <c r="E62" s="874">
        <v>2020.340206185567</v>
      </c>
      <c r="F62" s="693">
        <f t="shared" si="0"/>
        <v>1212.2041237113401</v>
      </c>
      <c r="G62" s="786">
        <f t="shared" si="1"/>
        <v>0</v>
      </c>
      <c r="H62" s="787">
        <f t="shared" si="2"/>
        <v>100.8553830927835</v>
      </c>
      <c r="I62" s="787">
        <f t="shared" si="3"/>
        <v>0</v>
      </c>
      <c r="J62" s="787">
        <f t="shared" si="4"/>
        <v>37.941989072164951</v>
      </c>
      <c r="K62" s="787">
        <f t="shared" si="5"/>
        <v>0</v>
      </c>
      <c r="L62" s="787">
        <f t="shared" si="6"/>
        <v>31.032425567010307</v>
      </c>
      <c r="M62" s="787">
        <f t="shared" si="7"/>
        <v>0</v>
      </c>
      <c r="N62" s="787">
        <f t="shared" si="8"/>
        <v>25.819947835051543</v>
      </c>
      <c r="O62" s="787">
        <f t="shared" si="9"/>
        <v>0</v>
      </c>
      <c r="P62" s="788"/>
    </row>
    <row r="63" spans="1:16" s="413" customFormat="1" ht="26.25" thickBot="1">
      <c r="A63" s="1199"/>
      <c r="B63" s="916"/>
      <c r="C63" s="808" t="s">
        <v>3496</v>
      </c>
      <c r="D63" s="420" t="s">
        <v>3634</v>
      </c>
      <c r="E63" s="874">
        <v>3510.0309278350514</v>
      </c>
      <c r="F63" s="693">
        <f t="shared" si="0"/>
        <v>2106.0185567010308</v>
      </c>
      <c r="G63" s="786">
        <f t="shared" si="1"/>
        <v>0</v>
      </c>
      <c r="H63" s="787">
        <f t="shared" si="2"/>
        <v>175.22074391752577</v>
      </c>
      <c r="I63" s="787">
        <f t="shared" si="3"/>
        <v>0</v>
      </c>
      <c r="J63" s="787">
        <f t="shared" si="4"/>
        <v>65.918380824742272</v>
      </c>
      <c r="K63" s="787">
        <f t="shared" si="5"/>
        <v>0</v>
      </c>
      <c r="L63" s="787">
        <f t="shared" si="6"/>
        <v>53.914075051546391</v>
      </c>
      <c r="M63" s="787">
        <f t="shared" si="7"/>
        <v>0</v>
      </c>
      <c r="N63" s="787">
        <f t="shared" si="8"/>
        <v>44.858195257731957</v>
      </c>
      <c r="O63" s="787">
        <f t="shared" si="9"/>
        <v>0</v>
      </c>
      <c r="P63" s="788"/>
    </row>
    <row r="64" spans="1:16" s="413" customFormat="1" ht="26.25" thickBot="1">
      <c r="A64" s="1199"/>
      <c r="B64" s="916"/>
      <c r="C64" s="875" t="s">
        <v>3497</v>
      </c>
      <c r="D64" s="876" t="s">
        <v>3635</v>
      </c>
      <c r="E64" s="693">
        <v>3432.7113402061855</v>
      </c>
      <c r="F64" s="693">
        <f t="shared" si="0"/>
        <v>2059.6268041237113</v>
      </c>
      <c r="G64" s="786">
        <f t="shared" si="1"/>
        <v>0</v>
      </c>
      <c r="H64" s="787">
        <f t="shared" si="2"/>
        <v>171.36095010309276</v>
      </c>
      <c r="I64" s="787">
        <f t="shared" si="3"/>
        <v>0</v>
      </c>
      <c r="J64" s="787">
        <f t="shared" si="4"/>
        <v>64.466318969072162</v>
      </c>
      <c r="K64" s="787">
        <f t="shared" si="5"/>
        <v>0</v>
      </c>
      <c r="L64" s="787">
        <f t="shared" si="6"/>
        <v>52.726446185567013</v>
      </c>
      <c r="M64" s="787">
        <f t="shared" si="7"/>
        <v>0</v>
      </c>
      <c r="N64" s="787">
        <f t="shared" si="8"/>
        <v>43.870050927835052</v>
      </c>
      <c r="O64" s="787">
        <f t="shared" si="9"/>
        <v>0</v>
      </c>
      <c r="P64" s="788"/>
    </row>
    <row r="65" spans="1:16" s="413" customFormat="1" ht="26.25" thickBot="1">
      <c r="A65" s="1199"/>
      <c r="B65" s="916"/>
      <c r="C65" s="875" t="s">
        <v>3498</v>
      </c>
      <c r="D65" s="420" t="s">
        <v>3636</v>
      </c>
      <c r="E65" s="693">
        <v>4958.4845360824738</v>
      </c>
      <c r="F65" s="693">
        <f t="shared" si="0"/>
        <v>2975.0907216494843</v>
      </c>
      <c r="G65" s="786">
        <f t="shared" si="1"/>
        <v>0</v>
      </c>
      <c r="H65" s="787">
        <f t="shared" si="2"/>
        <v>247.52754804123708</v>
      </c>
      <c r="I65" s="787">
        <f t="shared" si="3"/>
        <v>0</v>
      </c>
      <c r="J65" s="787">
        <f t="shared" si="4"/>
        <v>93.120339587628862</v>
      </c>
      <c r="K65" s="787">
        <f t="shared" si="5"/>
        <v>0</v>
      </c>
      <c r="L65" s="787">
        <f t="shared" si="6"/>
        <v>76.162322474226798</v>
      </c>
      <c r="M65" s="787">
        <f t="shared" si="7"/>
        <v>0</v>
      </c>
      <c r="N65" s="787">
        <f t="shared" si="8"/>
        <v>63.36943237113401</v>
      </c>
      <c r="O65" s="787">
        <f t="shared" si="9"/>
        <v>0</v>
      </c>
      <c r="P65" s="788"/>
    </row>
    <row r="66" spans="1:16" s="413" customFormat="1" ht="13.5" thickBot="1">
      <c r="A66" s="1199"/>
      <c r="B66" s="916"/>
      <c r="C66" s="419" t="s">
        <v>3574</v>
      </c>
      <c r="D66" s="420" t="s">
        <v>3589</v>
      </c>
      <c r="E66" s="693">
        <v>308.2474226804124</v>
      </c>
      <c r="F66" s="693">
        <f t="shared" si="0"/>
        <v>184.94845360824743</v>
      </c>
      <c r="G66" s="786">
        <f t="shared" si="1"/>
        <v>0</v>
      </c>
      <c r="H66" s="787">
        <f t="shared" si="2"/>
        <v>15.387711340206186</v>
      </c>
      <c r="I66" s="787">
        <f t="shared" si="3"/>
        <v>0</v>
      </c>
      <c r="J66" s="787">
        <f t="shared" si="4"/>
        <v>5.788886597938145</v>
      </c>
      <c r="K66" s="787">
        <f t="shared" si="5"/>
        <v>0</v>
      </c>
      <c r="L66" s="787">
        <f t="shared" si="6"/>
        <v>4.7346804123711346</v>
      </c>
      <c r="M66" s="787">
        <f t="shared" si="7"/>
        <v>0</v>
      </c>
      <c r="N66" s="787">
        <f t="shared" si="8"/>
        <v>3.9394020618556702</v>
      </c>
      <c r="O66" s="787">
        <f t="shared" si="9"/>
        <v>0</v>
      </c>
      <c r="P66" s="788"/>
    </row>
    <row r="67" spans="1:16" s="413" customFormat="1" ht="13.5" thickBot="1">
      <c r="A67" s="1199"/>
      <c r="B67" s="805"/>
      <c r="C67" s="695" t="s">
        <v>476</v>
      </c>
      <c r="D67" s="697" t="s">
        <v>3514</v>
      </c>
      <c r="E67" s="525">
        <v>515.46391752577324</v>
      </c>
      <c r="F67" s="693">
        <f t="shared" si="0"/>
        <v>309.27835051546396</v>
      </c>
      <c r="G67" s="786">
        <f t="shared" si="1"/>
        <v>0</v>
      </c>
      <c r="H67" s="787">
        <f t="shared" si="2"/>
        <v>25.731958762886599</v>
      </c>
      <c r="I67" s="787">
        <f t="shared" si="3"/>
        <v>0</v>
      </c>
      <c r="J67" s="787">
        <f t="shared" si="4"/>
        <v>9.6804123711340218</v>
      </c>
      <c r="K67" s="787">
        <f t="shared" si="5"/>
        <v>0</v>
      </c>
      <c r="L67" s="787">
        <f t="shared" si="6"/>
        <v>7.9175257731958775</v>
      </c>
      <c r="M67" s="787">
        <f t="shared" si="7"/>
        <v>0</v>
      </c>
      <c r="N67" s="787">
        <f t="shared" si="8"/>
        <v>6.587628865979382</v>
      </c>
      <c r="O67" s="787">
        <f t="shared" si="9"/>
        <v>0</v>
      </c>
      <c r="P67" s="788"/>
    </row>
    <row r="68" spans="1:16" s="413" customFormat="1" ht="13.5" thickBot="1">
      <c r="A68" s="1199"/>
      <c r="B68" s="916"/>
      <c r="C68" s="419" t="s">
        <v>3488</v>
      </c>
      <c r="D68" s="420" t="s">
        <v>3585</v>
      </c>
      <c r="E68" s="693">
        <v>88.659793814432987</v>
      </c>
      <c r="F68" s="693">
        <f t="shared" si="0"/>
        <v>53.19587628865979</v>
      </c>
      <c r="G68" s="786">
        <f t="shared" si="1"/>
        <v>0</v>
      </c>
      <c r="H68" s="787">
        <f t="shared" si="2"/>
        <v>4.4258969072164946</v>
      </c>
      <c r="I68" s="787">
        <f t="shared" si="3"/>
        <v>0</v>
      </c>
      <c r="J68" s="787">
        <f t="shared" si="4"/>
        <v>1.6650309278350515</v>
      </c>
      <c r="K68" s="787">
        <f t="shared" si="5"/>
        <v>0</v>
      </c>
      <c r="L68" s="787">
        <f t="shared" si="6"/>
        <v>1.3618144329896906</v>
      </c>
      <c r="M68" s="787">
        <f t="shared" si="7"/>
        <v>0</v>
      </c>
      <c r="N68" s="787">
        <f t="shared" si="8"/>
        <v>1.1330721649484534</v>
      </c>
      <c r="O68" s="787">
        <f t="shared" si="9"/>
        <v>0</v>
      </c>
      <c r="P68" s="788"/>
    </row>
    <row r="69" spans="1:16" s="413" customFormat="1" ht="13.5" thickBot="1">
      <c r="A69" s="1199"/>
      <c r="B69" s="916"/>
      <c r="C69" s="419" t="s">
        <v>692</v>
      </c>
      <c r="D69" s="420" t="s">
        <v>3510</v>
      </c>
      <c r="E69" s="693">
        <v>126.80412371134021</v>
      </c>
      <c r="F69" s="693">
        <f t="shared" si="0"/>
        <v>76.082474226804123</v>
      </c>
      <c r="G69" s="786">
        <f t="shared" si="1"/>
        <v>0</v>
      </c>
      <c r="H69" s="787">
        <f t="shared" si="2"/>
        <v>6.3300618556701025</v>
      </c>
      <c r="I69" s="787">
        <f t="shared" si="3"/>
        <v>0</v>
      </c>
      <c r="J69" s="787">
        <f t="shared" si="4"/>
        <v>2.3813814432989693</v>
      </c>
      <c r="K69" s="787">
        <f t="shared" si="5"/>
        <v>0</v>
      </c>
      <c r="L69" s="787">
        <f t="shared" si="6"/>
        <v>1.9477113402061856</v>
      </c>
      <c r="M69" s="787">
        <f t="shared" si="7"/>
        <v>0</v>
      </c>
      <c r="N69" s="787">
        <f t="shared" si="8"/>
        <v>1.6205567010309279</v>
      </c>
      <c r="O69" s="787">
        <f t="shared" si="9"/>
        <v>0</v>
      </c>
      <c r="P69" s="788"/>
    </row>
    <row r="70" spans="1:16" s="413" customFormat="1" ht="13.5" thickBot="1">
      <c r="A70" s="1199"/>
      <c r="B70" s="916"/>
      <c r="C70" s="419" t="s">
        <v>693</v>
      </c>
      <c r="D70" s="420" t="s">
        <v>674</v>
      </c>
      <c r="E70" s="693">
        <v>129.89690721649484</v>
      </c>
      <c r="F70" s="693">
        <f t="shared" si="0"/>
        <v>77.9381443298969</v>
      </c>
      <c r="G70" s="786">
        <f t="shared" si="1"/>
        <v>0</v>
      </c>
      <c r="H70" s="787">
        <f t="shared" si="2"/>
        <v>6.4844536082474216</v>
      </c>
      <c r="I70" s="787">
        <f t="shared" si="3"/>
        <v>0</v>
      </c>
      <c r="J70" s="787">
        <f t="shared" si="4"/>
        <v>2.4394639175257731</v>
      </c>
      <c r="K70" s="787">
        <f t="shared" si="5"/>
        <v>0</v>
      </c>
      <c r="L70" s="787">
        <f t="shared" si="6"/>
        <v>1.9952164948453608</v>
      </c>
      <c r="M70" s="787">
        <f t="shared" si="7"/>
        <v>0</v>
      </c>
      <c r="N70" s="787">
        <f t="shared" si="8"/>
        <v>1.6600824742268039</v>
      </c>
      <c r="O70" s="787">
        <f t="shared" si="9"/>
        <v>0</v>
      </c>
      <c r="P70" s="788"/>
    </row>
    <row r="71" spans="1:16" s="413" customFormat="1" ht="26.25" thickBot="1">
      <c r="A71" s="1199"/>
      <c r="B71" s="916"/>
      <c r="C71" s="419" t="s">
        <v>438</v>
      </c>
      <c r="D71" s="420" t="s">
        <v>594</v>
      </c>
      <c r="E71" s="693">
        <v>1134.020618556701</v>
      </c>
      <c r="F71" s="693">
        <f t="shared" si="0"/>
        <v>680.41237113402065</v>
      </c>
      <c r="G71" s="786">
        <f t="shared" si="1"/>
        <v>0</v>
      </c>
      <c r="H71" s="787">
        <f t="shared" si="2"/>
        <v>56.610309278350513</v>
      </c>
      <c r="I71" s="787">
        <f t="shared" si="3"/>
        <v>0</v>
      </c>
      <c r="J71" s="787">
        <f t="shared" si="4"/>
        <v>21.296907216494848</v>
      </c>
      <c r="K71" s="787">
        <f t="shared" si="5"/>
        <v>0</v>
      </c>
      <c r="L71" s="787">
        <f t="shared" si="6"/>
        <v>17.41855670103093</v>
      </c>
      <c r="M71" s="787">
        <f t="shared" si="7"/>
        <v>0</v>
      </c>
      <c r="N71" s="787">
        <f t="shared" si="8"/>
        <v>14.492783505154639</v>
      </c>
      <c r="O71" s="787">
        <f t="shared" si="9"/>
        <v>0</v>
      </c>
      <c r="P71" s="788"/>
    </row>
    <row r="72" spans="1:16" s="413" customFormat="1" ht="13.5" thickBot="1">
      <c r="A72" s="1199"/>
      <c r="B72" s="916"/>
      <c r="C72" s="419" t="s">
        <v>439</v>
      </c>
      <c r="D72" s="420" t="s">
        <v>595</v>
      </c>
      <c r="E72" s="693">
        <v>809.2783505154639</v>
      </c>
      <c r="F72" s="693">
        <f t="shared" si="0"/>
        <v>485.56701030927832</v>
      </c>
      <c r="G72" s="527">
        <f t="shared" si="1"/>
        <v>0</v>
      </c>
      <c r="H72" s="787">
        <f t="shared" si="2"/>
        <v>40.399175257731955</v>
      </c>
      <c r="I72" s="528">
        <f t="shared" si="3"/>
        <v>0</v>
      </c>
      <c r="J72" s="787">
        <f t="shared" si="4"/>
        <v>15.198247422680412</v>
      </c>
      <c r="K72" s="528">
        <f t="shared" si="5"/>
        <v>0</v>
      </c>
      <c r="L72" s="787">
        <f t="shared" si="6"/>
        <v>12.430515463917526</v>
      </c>
      <c r="M72" s="528">
        <f t="shared" si="7"/>
        <v>0</v>
      </c>
      <c r="N72" s="787">
        <f t="shared" si="8"/>
        <v>10.342577319587628</v>
      </c>
      <c r="O72" s="528">
        <f t="shared" si="9"/>
        <v>0</v>
      </c>
      <c r="P72" s="788"/>
    </row>
    <row r="73" spans="1:16" s="413" customFormat="1" ht="13.5" thickBot="1">
      <c r="A73" s="1199"/>
      <c r="B73" s="916"/>
      <c r="C73" s="873" t="s">
        <v>440</v>
      </c>
      <c r="D73" s="420" t="s">
        <v>418</v>
      </c>
      <c r="E73" s="693">
        <v>688.45360824742261</v>
      </c>
      <c r="F73" s="693">
        <f t="shared" si="0"/>
        <v>413.07216494845358</v>
      </c>
      <c r="G73" s="786">
        <f t="shared" si="1"/>
        <v>0</v>
      </c>
      <c r="H73" s="787">
        <f t="shared" si="2"/>
        <v>34.367604123711338</v>
      </c>
      <c r="I73" s="787">
        <f t="shared" si="3"/>
        <v>0</v>
      </c>
      <c r="J73" s="787">
        <f t="shared" si="4"/>
        <v>12.929158762886598</v>
      </c>
      <c r="K73" s="787">
        <f t="shared" si="5"/>
        <v>0</v>
      </c>
      <c r="L73" s="787">
        <f t="shared" si="6"/>
        <v>10.574647422680412</v>
      </c>
      <c r="M73" s="787">
        <f t="shared" si="7"/>
        <v>0</v>
      </c>
      <c r="N73" s="787">
        <f t="shared" si="8"/>
        <v>8.7984371134020609</v>
      </c>
      <c r="O73" s="787">
        <f t="shared" si="9"/>
        <v>0</v>
      </c>
      <c r="P73" s="788"/>
    </row>
    <row r="74" spans="1:16" s="413" customFormat="1" ht="13.5" thickBot="1">
      <c r="A74" s="1199"/>
      <c r="B74" s="916"/>
      <c r="C74" s="785" t="s">
        <v>441</v>
      </c>
      <c r="D74" s="420" t="s">
        <v>596</v>
      </c>
      <c r="E74" s="693">
        <v>846.39175257731961</v>
      </c>
      <c r="F74" s="693">
        <f t="shared" si="0"/>
        <v>507.83505154639175</v>
      </c>
      <c r="G74" s="786">
        <f t="shared" si="1"/>
        <v>0</v>
      </c>
      <c r="H74" s="787">
        <f t="shared" si="2"/>
        <v>42.251876288659794</v>
      </c>
      <c r="I74" s="787">
        <f t="shared" si="3"/>
        <v>0</v>
      </c>
      <c r="J74" s="787">
        <f t="shared" si="4"/>
        <v>15.895237113402063</v>
      </c>
      <c r="K74" s="787">
        <f t="shared" si="5"/>
        <v>0</v>
      </c>
      <c r="L74" s="787">
        <f t="shared" si="6"/>
        <v>13.000577319587629</v>
      </c>
      <c r="M74" s="787">
        <f t="shared" si="7"/>
        <v>0</v>
      </c>
      <c r="N74" s="787">
        <f t="shared" si="8"/>
        <v>10.816886597938144</v>
      </c>
      <c r="O74" s="787">
        <f t="shared" si="9"/>
        <v>0</v>
      </c>
      <c r="P74" s="788"/>
    </row>
    <row r="75" spans="1:16" s="413" customFormat="1" ht="13.5" thickBot="1">
      <c r="A75" s="1199"/>
      <c r="B75" s="916"/>
      <c r="C75" s="419" t="s">
        <v>442</v>
      </c>
      <c r="D75" s="420" t="s">
        <v>597</v>
      </c>
      <c r="E75" s="693">
        <v>711.34020618556701</v>
      </c>
      <c r="F75" s="693">
        <f t="shared" si="0"/>
        <v>426.8041237113402</v>
      </c>
      <c r="G75" s="786">
        <f t="shared" si="1"/>
        <v>0</v>
      </c>
      <c r="H75" s="787">
        <f t="shared" si="2"/>
        <v>35.510103092783503</v>
      </c>
      <c r="I75" s="787">
        <f t="shared" si="3"/>
        <v>0</v>
      </c>
      <c r="J75" s="787">
        <f t="shared" si="4"/>
        <v>13.358969072164948</v>
      </c>
      <c r="K75" s="787">
        <f t="shared" si="5"/>
        <v>0</v>
      </c>
      <c r="L75" s="787">
        <f t="shared" si="6"/>
        <v>10.926185567010309</v>
      </c>
      <c r="M75" s="787">
        <f t="shared" si="7"/>
        <v>0</v>
      </c>
      <c r="N75" s="787">
        <f t="shared" si="8"/>
        <v>9.0909278350515468</v>
      </c>
      <c r="O75" s="787">
        <f t="shared" si="9"/>
        <v>0</v>
      </c>
      <c r="P75" s="788"/>
    </row>
    <row r="76" spans="1:16" s="413" customFormat="1" ht="13.5" thickBot="1">
      <c r="A76" s="1199"/>
      <c r="B76" s="916"/>
      <c r="C76" s="871" t="s">
        <v>443</v>
      </c>
      <c r="D76" s="420" t="s">
        <v>598</v>
      </c>
      <c r="E76" s="693">
        <v>196.90721649484536</v>
      </c>
      <c r="F76" s="693">
        <f t="shared" si="0"/>
        <v>118.14432989690721</v>
      </c>
      <c r="G76" s="786">
        <f t="shared" si="1"/>
        <v>0</v>
      </c>
      <c r="H76" s="787">
        <f t="shared" si="2"/>
        <v>9.82960824742268</v>
      </c>
      <c r="I76" s="787">
        <f t="shared" si="3"/>
        <v>0</v>
      </c>
      <c r="J76" s="787">
        <f t="shared" si="4"/>
        <v>3.697917525773196</v>
      </c>
      <c r="K76" s="787">
        <f t="shared" si="5"/>
        <v>0</v>
      </c>
      <c r="L76" s="787">
        <f t="shared" si="6"/>
        <v>3.0244948453608247</v>
      </c>
      <c r="M76" s="787">
        <f t="shared" si="7"/>
        <v>0</v>
      </c>
      <c r="N76" s="787">
        <f t="shared" si="8"/>
        <v>2.5164742268041236</v>
      </c>
      <c r="O76" s="787">
        <f t="shared" si="9"/>
        <v>0</v>
      </c>
      <c r="P76" s="788"/>
    </row>
    <row r="77" spans="1:16" s="413" customFormat="1" ht="13.5" thickBot="1">
      <c r="A77" s="1199"/>
      <c r="B77" s="916"/>
      <c r="C77" s="785" t="s">
        <v>444</v>
      </c>
      <c r="D77" s="810" t="s">
        <v>680</v>
      </c>
      <c r="E77" s="693">
        <v>688.45360824742261</v>
      </c>
      <c r="F77" s="693">
        <f t="shared" si="0"/>
        <v>413.07216494845358</v>
      </c>
      <c r="G77" s="786">
        <f t="shared" si="1"/>
        <v>0</v>
      </c>
      <c r="H77" s="787">
        <f t="shared" si="2"/>
        <v>34.367604123711338</v>
      </c>
      <c r="I77" s="787">
        <f t="shared" si="3"/>
        <v>0</v>
      </c>
      <c r="J77" s="787">
        <f t="shared" si="4"/>
        <v>12.929158762886598</v>
      </c>
      <c r="K77" s="787">
        <f t="shared" si="5"/>
        <v>0</v>
      </c>
      <c r="L77" s="787">
        <f t="shared" si="6"/>
        <v>10.574647422680412</v>
      </c>
      <c r="M77" s="787">
        <f t="shared" si="7"/>
        <v>0</v>
      </c>
      <c r="N77" s="787">
        <f t="shared" si="8"/>
        <v>8.7984371134020609</v>
      </c>
      <c r="O77" s="787">
        <f t="shared" si="9"/>
        <v>0</v>
      </c>
      <c r="P77" s="788"/>
    </row>
    <row r="78" spans="1:16" s="413" customFormat="1" ht="15" customHeight="1" thickBot="1">
      <c r="A78" s="1199"/>
      <c r="B78" s="916"/>
      <c r="C78" s="809" t="s">
        <v>116</v>
      </c>
      <c r="D78" s="810" t="s">
        <v>117</v>
      </c>
      <c r="E78" s="693">
        <v>257.73195876288662</v>
      </c>
      <c r="F78" s="693">
        <f t="shared" si="0"/>
        <v>154.63917525773198</v>
      </c>
      <c r="G78" s="786">
        <f t="shared" si="1"/>
        <v>0</v>
      </c>
      <c r="H78" s="787">
        <f t="shared" si="2"/>
        <v>12.865979381443299</v>
      </c>
      <c r="I78" s="787">
        <f t="shared" si="3"/>
        <v>0</v>
      </c>
      <c r="J78" s="787">
        <f t="shared" si="4"/>
        <v>4.8402061855670109</v>
      </c>
      <c r="K78" s="787">
        <f t="shared" si="5"/>
        <v>0</v>
      </c>
      <c r="L78" s="787">
        <f t="shared" si="6"/>
        <v>3.9587628865979387</v>
      </c>
      <c r="M78" s="787">
        <f t="shared" si="7"/>
        <v>0</v>
      </c>
      <c r="N78" s="787">
        <f t="shared" si="8"/>
        <v>3.293814432989691</v>
      </c>
      <c r="O78" s="787">
        <f t="shared" si="9"/>
        <v>0</v>
      </c>
      <c r="P78" s="788"/>
    </row>
    <row r="79" spans="1:16" s="729" customFormat="1" ht="13.5" thickBot="1">
      <c r="A79" s="1199"/>
      <c r="B79" s="916"/>
      <c r="C79" s="811" t="s">
        <v>3487</v>
      </c>
      <c r="D79" s="812" t="s">
        <v>3507</v>
      </c>
      <c r="E79" s="877">
        <v>407.21649484536084</v>
      </c>
      <c r="F79" s="693">
        <f t="shared" si="0"/>
        <v>244.32989690721649</v>
      </c>
      <c r="G79" s="527">
        <f t="shared" si="1"/>
        <v>0</v>
      </c>
      <c r="H79" s="787">
        <f t="shared" si="2"/>
        <v>20.328247422680413</v>
      </c>
      <c r="I79" s="528">
        <f t="shared" si="3"/>
        <v>0</v>
      </c>
      <c r="J79" s="787">
        <f t="shared" si="4"/>
        <v>7.647525773195877</v>
      </c>
      <c r="K79" s="528">
        <f t="shared" si="5"/>
        <v>0</v>
      </c>
      <c r="L79" s="787">
        <f t="shared" si="6"/>
        <v>6.254845360824743</v>
      </c>
      <c r="M79" s="528">
        <f t="shared" si="7"/>
        <v>0</v>
      </c>
      <c r="N79" s="787">
        <f t="shared" si="8"/>
        <v>5.204226804123711</v>
      </c>
      <c r="O79" s="528">
        <f t="shared" si="9"/>
        <v>0</v>
      </c>
      <c r="P79" s="788"/>
    </row>
    <row r="80" spans="1:16" s="413" customFormat="1" ht="15" customHeight="1" thickBot="1">
      <c r="A80" s="1199"/>
      <c r="B80" s="916"/>
      <c r="C80" s="419" t="s">
        <v>3503</v>
      </c>
      <c r="D80" s="420" t="s">
        <v>3528</v>
      </c>
      <c r="E80" s="693">
        <v>3442.2680412371137</v>
      </c>
      <c r="F80" s="693">
        <f t="shared" si="0"/>
        <v>2065.3608247422681</v>
      </c>
      <c r="G80" s="786">
        <f t="shared" si="1"/>
        <v>0</v>
      </c>
      <c r="H80" s="787">
        <f t="shared" si="2"/>
        <v>171.8380206185567</v>
      </c>
      <c r="I80" s="787">
        <f t="shared" si="3"/>
        <v>0</v>
      </c>
      <c r="J80" s="787">
        <f t="shared" si="4"/>
        <v>64.645793814432992</v>
      </c>
      <c r="K80" s="787">
        <f t="shared" si="5"/>
        <v>0</v>
      </c>
      <c r="L80" s="787">
        <f t="shared" si="6"/>
        <v>52.873237113402062</v>
      </c>
      <c r="M80" s="787">
        <f t="shared" si="7"/>
        <v>0</v>
      </c>
      <c r="N80" s="787">
        <f t="shared" si="8"/>
        <v>43.99218556701031</v>
      </c>
      <c r="O80" s="787">
        <f t="shared" si="9"/>
        <v>0</v>
      </c>
      <c r="P80" s="788"/>
    </row>
    <row r="81" spans="1:16" s="413" customFormat="1" ht="13.5" thickBot="1">
      <c r="A81" s="1199"/>
      <c r="B81" s="916"/>
      <c r="C81" s="419" t="s">
        <v>694</v>
      </c>
      <c r="D81" s="420" t="s">
        <v>3527</v>
      </c>
      <c r="E81" s="693">
        <v>1835.8762886597938</v>
      </c>
      <c r="F81" s="693">
        <f t="shared" si="0"/>
        <v>1101.5257731958761</v>
      </c>
      <c r="G81" s="786">
        <f t="shared" si="1"/>
        <v>0</v>
      </c>
      <c r="H81" s="787">
        <f t="shared" si="2"/>
        <v>91.646944329896883</v>
      </c>
      <c r="I81" s="787">
        <f t="shared" si="3"/>
        <v>0</v>
      </c>
      <c r="J81" s="787">
        <f t="shared" si="4"/>
        <v>34.477756701030927</v>
      </c>
      <c r="K81" s="787">
        <f t="shared" si="5"/>
        <v>0</v>
      </c>
      <c r="L81" s="787">
        <f t="shared" si="6"/>
        <v>28.199059793814431</v>
      </c>
      <c r="M81" s="787">
        <f t="shared" si="7"/>
        <v>0</v>
      </c>
      <c r="N81" s="787">
        <f t="shared" si="8"/>
        <v>23.462498969072161</v>
      </c>
      <c r="O81" s="787">
        <f t="shared" si="9"/>
        <v>0</v>
      </c>
      <c r="P81" s="788"/>
    </row>
    <row r="82" spans="1:16" s="413" customFormat="1" ht="13.5" thickBot="1">
      <c r="A82" s="1199"/>
      <c r="B82" s="916"/>
      <c r="C82" s="419" t="s">
        <v>454</v>
      </c>
      <c r="D82" s="420" t="s">
        <v>3526</v>
      </c>
      <c r="E82" s="693">
        <v>872.1649484536083</v>
      </c>
      <c r="F82" s="693">
        <f t="shared" si="0"/>
        <v>523.29896907216494</v>
      </c>
      <c r="G82" s="786">
        <f t="shared" si="1"/>
        <v>0</v>
      </c>
      <c r="H82" s="787">
        <f t="shared" si="2"/>
        <v>43.538474226804119</v>
      </c>
      <c r="I82" s="787">
        <f t="shared" si="3"/>
        <v>0</v>
      </c>
      <c r="J82" s="787">
        <f t="shared" si="4"/>
        <v>16.379257731958763</v>
      </c>
      <c r="K82" s="787">
        <f t="shared" si="5"/>
        <v>0</v>
      </c>
      <c r="L82" s="787">
        <f t="shared" si="6"/>
        <v>13.396453608247423</v>
      </c>
      <c r="M82" s="787">
        <f t="shared" si="7"/>
        <v>0</v>
      </c>
      <c r="N82" s="787">
        <f t="shared" si="8"/>
        <v>11.146268041237112</v>
      </c>
      <c r="O82" s="787">
        <f t="shared" si="9"/>
        <v>0</v>
      </c>
      <c r="P82" s="788"/>
    </row>
    <row r="83" spans="1:16" ht="13.5" thickBot="1">
      <c r="A83" s="1199"/>
      <c r="B83" s="916"/>
      <c r="C83" s="785" t="s">
        <v>70</v>
      </c>
      <c r="D83" s="420" t="s">
        <v>682</v>
      </c>
      <c r="E83" s="693">
        <v>61.855670103092784</v>
      </c>
      <c r="F83" s="693">
        <f t="shared" si="0"/>
        <v>37.113402061855666</v>
      </c>
      <c r="G83" s="786">
        <f t="shared" si="1"/>
        <v>0</v>
      </c>
      <c r="H83" s="787">
        <f t="shared" si="2"/>
        <v>3.0878350515463913</v>
      </c>
      <c r="I83" s="787">
        <f t="shared" si="3"/>
        <v>0</v>
      </c>
      <c r="J83" s="787">
        <f t="shared" si="4"/>
        <v>1.1616494845360823</v>
      </c>
      <c r="K83" s="787">
        <f t="shared" si="5"/>
        <v>0</v>
      </c>
      <c r="L83" s="787">
        <f t="shared" si="6"/>
        <v>0.95010309278350513</v>
      </c>
      <c r="M83" s="787">
        <f t="shared" si="7"/>
        <v>0</v>
      </c>
      <c r="N83" s="787">
        <f t="shared" si="8"/>
        <v>0.7905154639175257</v>
      </c>
      <c r="O83" s="787">
        <f t="shared" si="9"/>
        <v>0</v>
      </c>
      <c r="P83" s="788"/>
    </row>
    <row r="84" spans="1:16" s="413" customFormat="1" ht="13.5" thickBot="1">
      <c r="A84" s="1199"/>
      <c r="B84" s="916"/>
      <c r="C84" s="419" t="s">
        <v>456</v>
      </c>
      <c r="D84" s="420" t="s">
        <v>683</v>
      </c>
      <c r="E84" s="693">
        <v>123.71134020618557</v>
      </c>
      <c r="F84" s="693">
        <f t="shared" si="0"/>
        <v>74.226804123711332</v>
      </c>
      <c r="G84" s="786">
        <f t="shared" si="1"/>
        <v>0</v>
      </c>
      <c r="H84" s="787">
        <f t="shared" si="2"/>
        <v>6.1756701030927825</v>
      </c>
      <c r="I84" s="787">
        <f t="shared" si="3"/>
        <v>0</v>
      </c>
      <c r="J84" s="787">
        <f t="shared" si="4"/>
        <v>2.3232989690721646</v>
      </c>
      <c r="K84" s="787">
        <f t="shared" si="5"/>
        <v>0</v>
      </c>
      <c r="L84" s="787">
        <f t="shared" si="6"/>
        <v>1.9002061855670103</v>
      </c>
      <c r="M84" s="787">
        <f t="shared" si="7"/>
        <v>0</v>
      </c>
      <c r="N84" s="787">
        <f t="shared" si="8"/>
        <v>1.5810309278350514</v>
      </c>
      <c r="O84" s="787">
        <f t="shared" si="9"/>
        <v>0</v>
      </c>
      <c r="P84" s="788"/>
    </row>
    <row r="85" spans="1:16" s="413" customFormat="1" ht="13.5" thickBot="1">
      <c r="A85" s="1199"/>
      <c r="B85" s="916"/>
      <c r="C85" s="419" t="s">
        <v>3501</v>
      </c>
      <c r="D85" s="420" t="s">
        <v>3572</v>
      </c>
      <c r="E85" s="693">
        <v>114.43298969072166</v>
      </c>
      <c r="F85" s="693">
        <f t="shared" si="0"/>
        <v>68.659793814432987</v>
      </c>
      <c r="G85" s="786">
        <f t="shared" si="1"/>
        <v>0</v>
      </c>
      <c r="H85" s="787">
        <f t="shared" si="2"/>
        <v>5.7124948453608244</v>
      </c>
      <c r="I85" s="787">
        <f t="shared" si="3"/>
        <v>0</v>
      </c>
      <c r="J85" s="787">
        <f t="shared" si="4"/>
        <v>2.1490515463917528</v>
      </c>
      <c r="K85" s="787">
        <f t="shared" si="5"/>
        <v>0</v>
      </c>
      <c r="L85" s="787">
        <f t="shared" si="6"/>
        <v>1.7576907216494846</v>
      </c>
      <c r="M85" s="787">
        <f t="shared" si="7"/>
        <v>0</v>
      </c>
      <c r="N85" s="787">
        <f t="shared" si="8"/>
        <v>1.4624536082474227</v>
      </c>
      <c r="O85" s="787">
        <f t="shared" si="9"/>
        <v>0</v>
      </c>
      <c r="P85" s="788"/>
    </row>
    <row r="86" spans="1:16" s="413" customFormat="1" ht="13.5" thickBot="1">
      <c r="A86" s="1199"/>
      <c r="B86" s="916"/>
      <c r="C86" s="419" t="s">
        <v>695</v>
      </c>
      <c r="D86" s="420" t="s">
        <v>3531</v>
      </c>
      <c r="E86" s="693">
        <v>941.23711340206194</v>
      </c>
      <c r="F86" s="693">
        <f t="shared" si="0"/>
        <v>564.74226804123714</v>
      </c>
      <c r="G86" s="786">
        <f t="shared" si="1"/>
        <v>0</v>
      </c>
      <c r="H86" s="787">
        <f t="shared" si="2"/>
        <v>46.986556701030928</v>
      </c>
      <c r="I86" s="787">
        <f t="shared" si="3"/>
        <v>0</v>
      </c>
      <c r="J86" s="787">
        <f t="shared" si="4"/>
        <v>17.676432989690724</v>
      </c>
      <c r="K86" s="787">
        <f t="shared" si="5"/>
        <v>0</v>
      </c>
      <c r="L86" s="787">
        <f t="shared" si="6"/>
        <v>14.457402061855671</v>
      </c>
      <c r="M86" s="787">
        <f t="shared" si="7"/>
        <v>0</v>
      </c>
      <c r="N86" s="787">
        <f t="shared" si="8"/>
        <v>12.02901030927835</v>
      </c>
      <c r="O86" s="787">
        <f t="shared" si="9"/>
        <v>0</v>
      </c>
      <c r="P86" s="788"/>
    </row>
    <row r="87" spans="1:16" s="413" customFormat="1" ht="13.5" thickBot="1">
      <c r="A87" s="1199"/>
      <c r="B87" s="916"/>
      <c r="C87" s="785" t="s">
        <v>696</v>
      </c>
      <c r="D87" s="878" t="s">
        <v>3532</v>
      </c>
      <c r="E87" s="693">
        <v>1227.8350515463917</v>
      </c>
      <c r="F87" s="693">
        <f t="shared" si="0"/>
        <v>736.70103092783495</v>
      </c>
      <c r="G87" s="786">
        <f t="shared" si="1"/>
        <v>0</v>
      </c>
      <c r="H87" s="787">
        <f t="shared" si="2"/>
        <v>61.293525773195867</v>
      </c>
      <c r="I87" s="787">
        <f t="shared" si="3"/>
        <v>0</v>
      </c>
      <c r="J87" s="787">
        <f t="shared" si="4"/>
        <v>23.058742268041236</v>
      </c>
      <c r="K87" s="787">
        <f t="shared" si="5"/>
        <v>0</v>
      </c>
      <c r="L87" s="787">
        <f t="shared" si="6"/>
        <v>18.859546391752577</v>
      </c>
      <c r="M87" s="787">
        <f t="shared" si="7"/>
        <v>0</v>
      </c>
      <c r="N87" s="787">
        <f t="shared" si="8"/>
        <v>15.691731958762883</v>
      </c>
      <c r="O87" s="787">
        <f t="shared" si="9"/>
        <v>0</v>
      </c>
      <c r="P87" s="788"/>
    </row>
    <row r="88" spans="1:16" s="413" customFormat="1" ht="28.5" customHeight="1" thickBot="1">
      <c r="A88" s="1199"/>
      <c r="B88" s="916"/>
      <c r="C88" s="785" t="s">
        <v>697</v>
      </c>
      <c r="D88" s="420" t="s">
        <v>3529</v>
      </c>
      <c r="E88" s="693">
        <v>1445.3608247422681</v>
      </c>
      <c r="F88" s="693">
        <f t="shared" si="0"/>
        <v>867.21649484536078</v>
      </c>
      <c r="G88" s="786">
        <f t="shared" si="1"/>
        <v>0</v>
      </c>
      <c r="H88" s="787">
        <f t="shared" si="2"/>
        <v>72.15241237113402</v>
      </c>
      <c r="I88" s="787">
        <f t="shared" si="3"/>
        <v>0</v>
      </c>
      <c r="J88" s="787">
        <f t="shared" si="4"/>
        <v>27.143876288659794</v>
      </c>
      <c r="K88" s="787">
        <f t="shared" si="5"/>
        <v>0</v>
      </c>
      <c r="L88" s="787">
        <f t="shared" si="6"/>
        <v>22.200742268041235</v>
      </c>
      <c r="M88" s="787">
        <f t="shared" si="7"/>
        <v>0</v>
      </c>
      <c r="N88" s="787">
        <f t="shared" si="8"/>
        <v>18.471711340206184</v>
      </c>
      <c r="O88" s="787">
        <f t="shared" si="9"/>
        <v>0</v>
      </c>
      <c r="P88" s="788"/>
    </row>
    <row r="89" spans="1:16" s="413" customFormat="1" ht="13.5" thickBot="1">
      <c r="A89" s="1199"/>
      <c r="B89" s="916"/>
      <c r="C89" s="785" t="s">
        <v>3504</v>
      </c>
      <c r="D89" s="420" t="s">
        <v>3530</v>
      </c>
      <c r="E89" s="693">
        <v>1720.6185567010309</v>
      </c>
      <c r="F89" s="693">
        <f t="shared" si="0"/>
        <v>1032.3711340206185</v>
      </c>
      <c r="G89" s="786">
        <f t="shared" si="1"/>
        <v>0</v>
      </c>
      <c r="H89" s="787">
        <f t="shared" si="2"/>
        <v>85.893278350515445</v>
      </c>
      <c r="I89" s="787">
        <f t="shared" si="3"/>
        <v>0</v>
      </c>
      <c r="J89" s="787">
        <f t="shared" si="4"/>
        <v>32.313216494845356</v>
      </c>
      <c r="K89" s="787">
        <f t="shared" si="5"/>
        <v>0</v>
      </c>
      <c r="L89" s="787">
        <f t="shared" si="6"/>
        <v>26.428701030927833</v>
      </c>
      <c r="M89" s="787">
        <f t="shared" si="7"/>
        <v>0</v>
      </c>
      <c r="N89" s="787">
        <f t="shared" si="8"/>
        <v>21.989505154639172</v>
      </c>
      <c r="O89" s="787">
        <f t="shared" si="9"/>
        <v>0</v>
      </c>
      <c r="P89" s="788"/>
    </row>
    <row r="90" spans="1:16" s="437" customFormat="1" ht="34.5" customHeight="1" thickBot="1">
      <c r="A90" s="1199"/>
      <c r="B90" s="916"/>
      <c r="C90" s="419" t="s">
        <v>3494</v>
      </c>
      <c r="D90" s="420" t="s">
        <v>3517</v>
      </c>
      <c r="E90" s="693">
        <v>1144.3298969072166</v>
      </c>
      <c r="F90" s="693">
        <f t="shared" si="0"/>
        <v>686.59793814432999</v>
      </c>
      <c r="G90" s="786">
        <f t="shared" si="1"/>
        <v>0</v>
      </c>
      <c r="H90" s="787">
        <f t="shared" si="2"/>
        <v>57.124948453608255</v>
      </c>
      <c r="I90" s="787">
        <f t="shared" si="3"/>
        <v>0</v>
      </c>
      <c r="J90" s="787">
        <f t="shared" si="4"/>
        <v>21.490515463917529</v>
      </c>
      <c r="K90" s="787">
        <f t="shared" si="5"/>
        <v>0</v>
      </c>
      <c r="L90" s="787">
        <f t="shared" si="6"/>
        <v>17.576907216494849</v>
      </c>
      <c r="M90" s="787">
        <f t="shared" si="7"/>
        <v>0</v>
      </c>
      <c r="N90" s="787">
        <f t="shared" si="8"/>
        <v>14.624536082474229</v>
      </c>
      <c r="O90" s="787">
        <f t="shared" si="9"/>
        <v>0</v>
      </c>
      <c r="P90" s="788"/>
    </row>
    <row r="91" spans="1:16" s="413" customFormat="1" ht="13.5" thickBot="1">
      <c r="A91" s="1199"/>
      <c r="B91" s="916"/>
      <c r="C91" s="419" t="s">
        <v>450</v>
      </c>
      <c r="D91" s="420" t="s">
        <v>3570</v>
      </c>
      <c r="E91" s="693">
        <v>604.12371134020623</v>
      </c>
      <c r="F91" s="693">
        <f t="shared" si="0"/>
        <v>362.4742268041237</v>
      </c>
      <c r="G91" s="786">
        <f t="shared" si="1"/>
        <v>0</v>
      </c>
      <c r="H91" s="787">
        <f t="shared" si="2"/>
        <v>30.157855670103089</v>
      </c>
      <c r="I91" s="787">
        <f t="shared" si="3"/>
        <v>0</v>
      </c>
      <c r="J91" s="787">
        <f t="shared" si="4"/>
        <v>11.345443298969073</v>
      </c>
      <c r="K91" s="787">
        <f t="shared" si="5"/>
        <v>0</v>
      </c>
      <c r="L91" s="787">
        <f t="shared" si="6"/>
        <v>9.2793402061855677</v>
      </c>
      <c r="M91" s="787">
        <f t="shared" si="7"/>
        <v>0</v>
      </c>
      <c r="N91" s="787">
        <f t="shared" si="8"/>
        <v>7.7207010309278346</v>
      </c>
      <c r="O91" s="787">
        <f t="shared" si="9"/>
        <v>0</v>
      </c>
      <c r="P91" s="788"/>
    </row>
    <row r="92" spans="1:16" s="413" customFormat="1" ht="30" customHeight="1" thickBot="1">
      <c r="A92" s="1199"/>
      <c r="B92" s="916"/>
      <c r="C92" s="871" t="s">
        <v>3499</v>
      </c>
      <c r="D92" s="420" t="s">
        <v>3522</v>
      </c>
      <c r="E92" s="693">
        <v>604.12371134020623</v>
      </c>
      <c r="F92" s="693">
        <f t="shared" si="0"/>
        <v>362.4742268041237</v>
      </c>
      <c r="G92" s="786">
        <f t="shared" si="1"/>
        <v>0</v>
      </c>
      <c r="H92" s="787">
        <f t="shared" si="2"/>
        <v>30.157855670103089</v>
      </c>
      <c r="I92" s="787">
        <f t="shared" si="3"/>
        <v>0</v>
      </c>
      <c r="J92" s="787">
        <f t="shared" si="4"/>
        <v>11.345443298969073</v>
      </c>
      <c r="K92" s="787">
        <f t="shared" si="5"/>
        <v>0</v>
      </c>
      <c r="L92" s="787">
        <f t="shared" si="6"/>
        <v>9.2793402061855677</v>
      </c>
      <c r="M92" s="787">
        <f t="shared" si="7"/>
        <v>0</v>
      </c>
      <c r="N92" s="787">
        <f t="shared" si="8"/>
        <v>7.7207010309278346</v>
      </c>
      <c r="O92" s="787">
        <f t="shared" si="9"/>
        <v>0</v>
      </c>
      <c r="P92" s="788"/>
    </row>
    <row r="93" spans="1:16" s="413" customFormat="1" ht="30" customHeight="1" thickBot="1">
      <c r="A93" s="1199"/>
      <c r="B93" s="916"/>
      <c r="C93" s="419" t="s">
        <v>3500</v>
      </c>
      <c r="D93" s="420" t="s">
        <v>3590</v>
      </c>
      <c r="E93" s="693">
        <v>876.28865979381442</v>
      </c>
      <c r="F93" s="693">
        <f t="shared" si="0"/>
        <v>525.77319587628858</v>
      </c>
      <c r="G93" s="786">
        <f t="shared" si="1"/>
        <v>0</v>
      </c>
      <c r="H93" s="787">
        <f t="shared" si="2"/>
        <v>43.74432989690721</v>
      </c>
      <c r="I93" s="787">
        <f t="shared" si="3"/>
        <v>0</v>
      </c>
      <c r="J93" s="787">
        <f t="shared" si="4"/>
        <v>16.456701030927832</v>
      </c>
      <c r="K93" s="787">
        <f t="shared" si="5"/>
        <v>0</v>
      </c>
      <c r="L93" s="787">
        <f t="shared" si="6"/>
        <v>13.459793814432988</v>
      </c>
      <c r="M93" s="787">
        <f t="shared" si="7"/>
        <v>0</v>
      </c>
      <c r="N93" s="787">
        <f t="shared" si="8"/>
        <v>11.198969072164946</v>
      </c>
      <c r="O93" s="787">
        <f t="shared" si="9"/>
        <v>0</v>
      </c>
      <c r="P93" s="788"/>
    </row>
    <row r="94" spans="1:16" s="413" customFormat="1" ht="13.5" thickBot="1">
      <c r="A94" s="1199"/>
      <c r="B94" s="916"/>
      <c r="C94" s="871" t="s">
        <v>698</v>
      </c>
      <c r="D94" s="420" t="s">
        <v>3565</v>
      </c>
      <c r="E94" s="693">
        <v>1262.8865979381444</v>
      </c>
      <c r="F94" s="693">
        <f t="shared" si="0"/>
        <v>757.73195876288662</v>
      </c>
      <c r="G94" s="786">
        <f t="shared" si="1"/>
        <v>0</v>
      </c>
      <c r="H94" s="787">
        <f t="shared" si="2"/>
        <v>63.043298969072161</v>
      </c>
      <c r="I94" s="787">
        <f t="shared" si="3"/>
        <v>0</v>
      </c>
      <c r="J94" s="787">
        <f t="shared" si="4"/>
        <v>23.717010309278351</v>
      </c>
      <c r="K94" s="787">
        <f t="shared" si="5"/>
        <v>0</v>
      </c>
      <c r="L94" s="787">
        <f t="shared" si="6"/>
        <v>19.397938144329899</v>
      </c>
      <c r="M94" s="787">
        <f t="shared" si="7"/>
        <v>0</v>
      </c>
      <c r="N94" s="787">
        <f t="shared" si="8"/>
        <v>16.139690721649483</v>
      </c>
      <c r="O94" s="787">
        <f t="shared" si="9"/>
        <v>0</v>
      </c>
      <c r="P94" s="788"/>
    </row>
    <row r="95" spans="1:16" s="413" customFormat="1" ht="13.5" thickBot="1">
      <c r="A95" s="1199"/>
      <c r="B95" s="916"/>
      <c r="C95" s="419" t="s">
        <v>493</v>
      </c>
      <c r="D95" s="420" t="s">
        <v>52</v>
      </c>
      <c r="E95" s="693">
        <v>49.175257731958766</v>
      </c>
      <c r="F95" s="814">
        <f t="shared" si="0"/>
        <v>29.505154639175259</v>
      </c>
      <c r="G95" s="527">
        <f t="shared" si="1"/>
        <v>0</v>
      </c>
      <c r="H95" s="528">
        <f t="shared" si="2"/>
        <v>2.4548288659793815</v>
      </c>
      <c r="I95" s="528">
        <f t="shared" si="3"/>
        <v>0</v>
      </c>
      <c r="J95" s="528">
        <f t="shared" si="4"/>
        <v>0.92351134020618564</v>
      </c>
      <c r="K95" s="528">
        <f t="shared" si="5"/>
        <v>0</v>
      </c>
      <c r="L95" s="528">
        <f t="shared" si="6"/>
        <v>0.75533195876288672</v>
      </c>
      <c r="M95" s="528">
        <f t="shared" si="7"/>
        <v>0</v>
      </c>
      <c r="N95" s="528">
        <f t="shared" si="8"/>
        <v>0.62845979381443307</v>
      </c>
      <c r="O95" s="528">
        <f t="shared" si="9"/>
        <v>0</v>
      </c>
      <c r="P95" s="788"/>
    </row>
    <row r="96" spans="1:16" s="413" customFormat="1" ht="13.5" thickBot="1">
      <c r="A96" s="1199"/>
      <c r="B96" s="916"/>
      <c r="C96" s="419" t="s">
        <v>478</v>
      </c>
      <c r="D96" s="420" t="s">
        <v>3560</v>
      </c>
      <c r="E96" s="693">
        <v>27.319587628865982</v>
      </c>
      <c r="F96" s="814">
        <f t="shared" si="0"/>
        <v>16.39175257731959</v>
      </c>
      <c r="G96" s="527">
        <f t="shared" si="1"/>
        <v>0</v>
      </c>
      <c r="H96" s="528">
        <f t="shared" si="2"/>
        <v>1.3637938144329897</v>
      </c>
      <c r="I96" s="528">
        <f t="shared" si="3"/>
        <v>0</v>
      </c>
      <c r="J96" s="528">
        <f t="shared" si="4"/>
        <v>0.51306185567010321</v>
      </c>
      <c r="K96" s="528">
        <f t="shared" si="5"/>
        <v>0</v>
      </c>
      <c r="L96" s="528">
        <f t="shared" si="6"/>
        <v>0.41962886597938154</v>
      </c>
      <c r="M96" s="528">
        <f t="shared" si="7"/>
        <v>0</v>
      </c>
      <c r="N96" s="528">
        <f t="shared" si="8"/>
        <v>0.34914432989690725</v>
      </c>
      <c r="O96" s="528">
        <f t="shared" si="9"/>
        <v>0</v>
      </c>
      <c r="P96" s="788"/>
    </row>
    <row r="97" spans="1:16" s="413" customFormat="1" ht="13.5" thickBot="1">
      <c r="A97" s="1199"/>
      <c r="B97" s="916"/>
      <c r="C97" s="419" t="s">
        <v>33</v>
      </c>
      <c r="D97" s="420" t="s">
        <v>3563</v>
      </c>
      <c r="E97" s="693">
        <v>30.927835051546392</v>
      </c>
      <c r="F97" s="693">
        <f t="shared" si="0"/>
        <v>18.556701030927833</v>
      </c>
      <c r="G97" s="786">
        <f t="shared" si="1"/>
        <v>0</v>
      </c>
      <c r="H97" s="787">
        <f t="shared" si="2"/>
        <v>1.5439175257731956</v>
      </c>
      <c r="I97" s="787">
        <f t="shared" si="3"/>
        <v>0</v>
      </c>
      <c r="J97" s="787">
        <f t="shared" si="4"/>
        <v>0.58082474226804115</v>
      </c>
      <c r="K97" s="787">
        <f t="shared" si="5"/>
        <v>0</v>
      </c>
      <c r="L97" s="787">
        <f t="shared" si="6"/>
        <v>0.47505154639175257</v>
      </c>
      <c r="M97" s="787">
        <f t="shared" si="7"/>
        <v>0</v>
      </c>
      <c r="N97" s="787">
        <f t="shared" si="8"/>
        <v>0.39525773195876285</v>
      </c>
      <c r="O97" s="787">
        <f t="shared" si="9"/>
        <v>0</v>
      </c>
      <c r="P97" s="788"/>
    </row>
    <row r="98" spans="1:16" s="413" customFormat="1" ht="13.5" thickBot="1">
      <c r="A98" s="1199"/>
      <c r="B98" s="916"/>
      <c r="C98" s="785" t="s">
        <v>700</v>
      </c>
      <c r="D98" s="878" t="s">
        <v>3566</v>
      </c>
      <c r="E98" s="693">
        <v>268.04123711340208</v>
      </c>
      <c r="F98" s="693">
        <f t="shared" si="0"/>
        <v>160.82474226804123</v>
      </c>
      <c r="G98" s="786">
        <f t="shared" si="1"/>
        <v>0</v>
      </c>
      <c r="H98" s="787">
        <f t="shared" si="2"/>
        <v>13.38061855670103</v>
      </c>
      <c r="I98" s="787">
        <f t="shared" si="3"/>
        <v>0</v>
      </c>
      <c r="J98" s="787">
        <f t="shared" si="4"/>
        <v>5.0338144329896908</v>
      </c>
      <c r="K98" s="787">
        <f t="shared" si="5"/>
        <v>0</v>
      </c>
      <c r="L98" s="787">
        <f t="shared" si="6"/>
        <v>4.1171134020618556</v>
      </c>
      <c r="M98" s="787">
        <f t="shared" si="7"/>
        <v>0</v>
      </c>
      <c r="N98" s="787">
        <f t="shared" si="8"/>
        <v>3.4255670103092783</v>
      </c>
      <c r="O98" s="787">
        <f t="shared" si="9"/>
        <v>0</v>
      </c>
      <c r="P98" s="788"/>
    </row>
    <row r="99" spans="1:16" s="413" customFormat="1" ht="13.5" thickBot="1">
      <c r="A99" s="1199"/>
      <c r="B99" s="916"/>
      <c r="C99" s="871" t="s">
        <v>453</v>
      </c>
      <c r="D99" s="420" t="s">
        <v>3562</v>
      </c>
      <c r="E99" s="693">
        <v>115.4639175257732</v>
      </c>
      <c r="F99" s="693">
        <f t="shared" si="0"/>
        <v>69.278350515463913</v>
      </c>
      <c r="G99" s="786">
        <f t="shared" si="1"/>
        <v>0</v>
      </c>
      <c r="H99" s="787">
        <f t="shared" si="2"/>
        <v>5.7639587628865971</v>
      </c>
      <c r="I99" s="787">
        <f t="shared" si="3"/>
        <v>0</v>
      </c>
      <c r="J99" s="787">
        <f t="shared" si="4"/>
        <v>2.1684123711340204</v>
      </c>
      <c r="K99" s="787">
        <f t="shared" si="5"/>
        <v>0</v>
      </c>
      <c r="L99" s="787">
        <f t="shared" si="6"/>
        <v>1.7735257731958762</v>
      </c>
      <c r="M99" s="787">
        <f t="shared" si="7"/>
        <v>0</v>
      </c>
      <c r="N99" s="787">
        <f t="shared" si="8"/>
        <v>1.4756288659793813</v>
      </c>
      <c r="O99" s="787">
        <f t="shared" si="9"/>
        <v>0</v>
      </c>
      <c r="P99" s="788"/>
    </row>
    <row r="100" spans="1:16" s="413" customFormat="1" ht="13.5" thickBot="1">
      <c r="A100" s="1063"/>
      <c r="B100" s="916"/>
      <c r="C100" s="419" t="s">
        <v>3493</v>
      </c>
      <c r="D100" s="420" t="s">
        <v>3516</v>
      </c>
      <c r="E100" s="693">
        <v>5164.9484536082473</v>
      </c>
      <c r="F100" s="693">
        <f t="shared" si="0"/>
        <v>3098.9690721649481</v>
      </c>
      <c r="G100" s="786">
        <f t="shared" si="1"/>
        <v>0</v>
      </c>
      <c r="H100" s="787">
        <f t="shared" si="2"/>
        <v>257.83422680412366</v>
      </c>
      <c r="I100" s="787">
        <f t="shared" si="3"/>
        <v>0</v>
      </c>
      <c r="J100" s="787">
        <f t="shared" si="4"/>
        <v>96.997731958762884</v>
      </c>
      <c r="K100" s="787">
        <f t="shared" si="5"/>
        <v>0</v>
      </c>
      <c r="L100" s="787">
        <f t="shared" si="6"/>
        <v>79.333608247422674</v>
      </c>
      <c r="M100" s="787">
        <f t="shared" si="7"/>
        <v>0</v>
      </c>
      <c r="N100" s="787">
        <f t="shared" si="8"/>
        <v>66.008041237113389</v>
      </c>
      <c r="O100" s="787">
        <f t="shared" si="9"/>
        <v>0</v>
      </c>
      <c r="P100" s="788"/>
    </row>
    <row r="101" spans="1:16" s="437" customFormat="1" ht="15">
      <c r="C101" s="918"/>
      <c r="D101" s="1200" t="s">
        <v>183</v>
      </c>
      <c r="E101" s="1060"/>
      <c r="F101" s="1060"/>
      <c r="G101" s="450">
        <f t="array" ref="G101">SUM(G48:G100)+G36:G48:G100+G40:G48:G100+G44</f>
        <v>0</v>
      </c>
      <c r="H101" s="451" t="s">
        <v>184</v>
      </c>
      <c r="I101" s="450">
        <f t="array" ref="I101">SUM(I48:I100)+I36:I48:I100+I40:I48:I100+I44</f>
        <v>0</v>
      </c>
      <c r="J101" s="451" t="s">
        <v>185</v>
      </c>
      <c r="K101" s="450">
        <f t="array" ref="K101">SUM(K48:K100)+K36:K48:K100+K40:K48:K100+K44</f>
        <v>0</v>
      </c>
      <c r="L101" s="451" t="s">
        <v>186</v>
      </c>
      <c r="M101" s="450">
        <f t="array" ref="M101">SUM(M48:M100)+M36:M48:M100+M40:M48:M100+M44</f>
        <v>0</v>
      </c>
      <c r="N101" s="451" t="s">
        <v>187</v>
      </c>
      <c r="O101" s="450">
        <f t="array" ref="O101">SUM(O48:O100)+O36:O48:O100+O40:O48:O100+O44</f>
        <v>0</v>
      </c>
    </row>
    <row r="102" spans="1:16" s="437" customFormat="1" ht="14.25">
      <c r="C102" s="919"/>
      <c r="F102" s="626"/>
    </row>
    <row r="116" spans="3:3">
      <c r="C116" s="920"/>
    </row>
  </sheetData>
  <mergeCells count="55">
    <mergeCell ref="A47:O47"/>
    <mergeCell ref="A48:A100"/>
    <mergeCell ref="D101:F101"/>
    <mergeCell ref="O40:O42"/>
    <mergeCell ref="A44:A46"/>
    <mergeCell ref="B44:B46"/>
    <mergeCell ref="G44:G46"/>
    <mergeCell ref="I44:I46"/>
    <mergeCell ref="K44:K46"/>
    <mergeCell ref="M44:M46"/>
    <mergeCell ref="O44:O46"/>
    <mergeCell ref="A40:A42"/>
    <mergeCell ref="B40:B42"/>
    <mergeCell ref="G40:G42"/>
    <mergeCell ref="I40:I42"/>
    <mergeCell ref="K40:K42"/>
    <mergeCell ref="M40:M42"/>
    <mergeCell ref="I32:K32"/>
    <mergeCell ref="F34:G34"/>
    <mergeCell ref="H34:O34"/>
    <mergeCell ref="A36:A38"/>
    <mergeCell ref="B36:B38"/>
    <mergeCell ref="G36:G38"/>
    <mergeCell ref="I36:I38"/>
    <mergeCell ref="K36:K38"/>
    <mergeCell ref="M36:M38"/>
    <mergeCell ref="O36:O38"/>
    <mergeCell ref="A30:C30"/>
    <mergeCell ref="E30:H30"/>
    <mergeCell ref="I30:J30"/>
    <mergeCell ref="K30:M30"/>
    <mergeCell ref="N30:O30"/>
    <mergeCell ref="A31:C31"/>
    <mergeCell ref="E31:H31"/>
    <mergeCell ref="I31:J31"/>
    <mergeCell ref="K31:M31"/>
    <mergeCell ref="N31:O31"/>
    <mergeCell ref="A28:C28"/>
    <mergeCell ref="E28:H28"/>
    <mergeCell ref="I28:J28"/>
    <mergeCell ref="K28:M28"/>
    <mergeCell ref="N28:O28"/>
    <mergeCell ref="A29:C29"/>
    <mergeCell ref="E29:H29"/>
    <mergeCell ref="I29:J29"/>
    <mergeCell ref="K29:M29"/>
    <mergeCell ref="N29:O29"/>
    <mergeCell ref="A27:D27"/>
    <mergeCell ref="E27:J27"/>
    <mergeCell ref="K27:O27"/>
    <mergeCell ref="A4:O4"/>
    <mergeCell ref="A5:O5"/>
    <mergeCell ref="F8:H8"/>
    <mergeCell ref="D23:D24"/>
    <mergeCell ref="A26:O26"/>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3EF8B-9F53-48D7-8527-DA3C9445DF47}">
  <sheetPr>
    <tabColor indexed="62"/>
  </sheetPr>
  <dimension ref="A1:P217"/>
  <sheetViews>
    <sheetView topLeftCell="A18" zoomScale="89" zoomScaleNormal="89" workbookViewId="0">
      <selection activeCell="H23" sqref="H23"/>
    </sheetView>
  </sheetViews>
  <sheetFormatPr defaultColWidth="8.85546875" defaultRowHeight="12.75"/>
  <cols>
    <col min="1" max="1" width="14.28515625" style="378" customWidth="1"/>
    <col min="2" max="2" width="8.7109375" style="378" customWidth="1"/>
    <col min="3" max="3" width="19" style="378" customWidth="1"/>
    <col min="4" max="4" width="46.7109375" style="378" customWidth="1"/>
    <col min="5" max="5" width="24" style="378" customWidth="1"/>
    <col min="6" max="6" width="18.28515625" style="455" customWidth="1"/>
    <col min="7" max="7" width="16" style="455" customWidth="1"/>
    <col min="8" max="8" width="24.5703125" style="378" bestFit="1" customWidth="1"/>
    <col min="9" max="9" width="23" style="378" customWidth="1"/>
    <col min="10" max="10" width="25" style="378" bestFit="1" customWidth="1"/>
    <col min="11" max="11" width="23" style="378" customWidth="1"/>
    <col min="12" max="12" width="25" style="378" bestFit="1" customWidth="1"/>
    <col min="13" max="13" width="23" style="378" customWidth="1"/>
    <col min="14" max="14" width="25" style="378" bestFit="1" customWidth="1"/>
    <col min="15" max="15" width="23" style="378" customWidth="1"/>
    <col min="16" max="16" width="12.42578125" style="378" customWidth="1"/>
    <col min="17" max="16384" width="8.85546875" style="378"/>
  </cols>
  <sheetData>
    <row r="1" spans="1:15" ht="13.5" thickBot="1">
      <c r="B1" s="379"/>
      <c r="C1" s="379"/>
      <c r="D1" s="380"/>
      <c r="E1" s="380"/>
      <c r="F1" s="381"/>
      <c r="G1" s="381"/>
      <c r="H1" s="381"/>
      <c r="I1" s="381"/>
      <c r="J1" s="381"/>
      <c r="K1" s="380"/>
      <c r="L1" s="381"/>
    </row>
    <row r="2" spans="1:15" ht="9" customHeight="1">
      <c r="A2" s="382"/>
      <c r="B2" s="383"/>
      <c r="C2" s="383"/>
      <c r="D2" s="384"/>
      <c r="E2" s="384"/>
      <c r="F2" s="385"/>
      <c r="G2" s="385"/>
      <c r="H2" s="385"/>
      <c r="I2" s="386"/>
      <c r="J2" s="386"/>
      <c r="K2" s="386"/>
      <c r="L2" s="386"/>
      <c r="M2" s="382"/>
      <c r="N2" s="382"/>
      <c r="O2" s="382"/>
    </row>
    <row r="3" spans="1:15" ht="10.5" customHeight="1">
      <c r="B3" s="379"/>
      <c r="C3" s="379"/>
      <c r="D3" s="380"/>
      <c r="E3" s="380"/>
      <c r="F3" s="381"/>
      <c r="G3" s="381"/>
      <c r="H3" s="381"/>
      <c r="I3" s="387"/>
      <c r="J3" s="387"/>
      <c r="K3" s="387"/>
      <c r="L3" s="387"/>
    </row>
    <row r="4" spans="1:15" ht="36" customHeight="1">
      <c r="A4" s="1141" t="s">
        <v>4469</v>
      </c>
      <c r="B4" s="1023"/>
      <c r="C4" s="1023"/>
      <c r="D4" s="1023"/>
      <c r="E4" s="1023"/>
      <c r="F4" s="1023"/>
      <c r="G4" s="1023"/>
      <c r="H4" s="1023"/>
      <c r="I4" s="1023"/>
      <c r="J4" s="1023"/>
      <c r="K4" s="1023"/>
      <c r="L4" s="1023"/>
      <c r="M4" s="1023"/>
      <c r="N4" s="1023"/>
      <c r="O4" s="1023"/>
    </row>
    <row r="5" spans="1:15" s="388" customFormat="1" ht="61.5" customHeight="1">
      <c r="A5" s="1024" t="s">
        <v>3542</v>
      </c>
      <c r="B5" s="1025"/>
      <c r="C5" s="1025"/>
      <c r="D5" s="1025"/>
      <c r="E5" s="1025"/>
      <c r="F5" s="1025"/>
      <c r="G5" s="1025"/>
      <c r="H5" s="1025"/>
      <c r="I5" s="1025"/>
      <c r="J5" s="1025"/>
      <c r="K5" s="1025"/>
      <c r="L5" s="1025"/>
      <c r="M5" s="1025"/>
      <c r="N5" s="1025"/>
      <c r="O5" s="1025"/>
    </row>
    <row r="6" spans="1:15" ht="9" customHeight="1" thickBot="1">
      <c r="A6" s="389"/>
      <c r="B6" s="389"/>
      <c r="C6" s="389"/>
      <c r="D6" s="389"/>
      <c r="E6" s="389"/>
      <c r="F6" s="389"/>
      <c r="G6" s="389"/>
      <c r="H6" s="389"/>
      <c r="I6" s="389"/>
      <c r="J6" s="389"/>
      <c r="K6" s="389"/>
      <c r="L6" s="389"/>
      <c r="M6" s="389"/>
      <c r="N6" s="389"/>
      <c r="O6" s="389"/>
    </row>
    <row r="9" spans="1:15" s="387" customFormat="1" ht="14.25">
      <c r="B9" s="390"/>
      <c r="C9" s="390"/>
      <c r="D9" s="391"/>
      <c r="E9" s="391"/>
      <c r="F9" s="391"/>
      <c r="G9" s="391"/>
      <c r="H9" s="391"/>
      <c r="I9" s="391"/>
      <c r="J9" s="391"/>
      <c r="K9" s="391"/>
      <c r="L9" s="391"/>
      <c r="M9" s="391"/>
      <c r="N9" s="391"/>
      <c r="O9" s="391"/>
    </row>
    <row r="10" spans="1:15" s="387" customFormat="1" ht="14.25">
      <c r="F10" s="1026" t="s">
        <v>3</v>
      </c>
      <c r="G10" s="1026"/>
      <c r="H10" s="1026"/>
      <c r="I10" s="1023"/>
      <c r="J10" s="378"/>
      <c r="K10" s="378"/>
      <c r="L10" s="378"/>
    </row>
    <row r="11" spans="1:15" s="387" customFormat="1" ht="14.25">
      <c r="F11" s="392" t="s">
        <v>210</v>
      </c>
      <c r="G11" s="393" t="s">
        <v>458</v>
      </c>
      <c r="I11" s="394"/>
      <c r="L11" s="394"/>
    </row>
    <row r="12" spans="1:15" s="387" customFormat="1" ht="14.25">
      <c r="F12" s="392" t="s">
        <v>212</v>
      </c>
      <c r="G12" s="850" t="s">
        <v>459</v>
      </c>
      <c r="I12" s="394"/>
      <c r="J12" s="395"/>
      <c r="L12" s="394"/>
    </row>
    <row r="13" spans="1:15" s="387" customFormat="1" ht="14.25">
      <c r="F13" s="392" t="s">
        <v>214</v>
      </c>
      <c r="G13" s="850" t="s">
        <v>460</v>
      </c>
      <c r="I13" s="394"/>
      <c r="L13" s="394"/>
    </row>
    <row r="14" spans="1:15" s="387" customFormat="1" ht="14.25">
      <c r="F14" s="392" t="s">
        <v>8</v>
      </c>
      <c r="G14" s="387" t="s">
        <v>118</v>
      </c>
      <c r="I14" s="394"/>
      <c r="J14" s="394"/>
      <c r="L14" s="394"/>
    </row>
    <row r="15" spans="1:15" s="387" customFormat="1" ht="14.25">
      <c r="D15" s="396"/>
      <c r="E15" s="396"/>
      <c r="F15" s="392" t="s">
        <v>9</v>
      </c>
      <c r="G15" s="387" t="s">
        <v>97</v>
      </c>
      <c r="I15" s="394"/>
      <c r="J15" s="394"/>
      <c r="L15" s="394"/>
    </row>
    <row r="16" spans="1:15" s="387" customFormat="1" ht="14.25">
      <c r="F16" s="392" t="s">
        <v>10</v>
      </c>
      <c r="G16" s="387" t="s">
        <v>3537</v>
      </c>
      <c r="I16" s="394"/>
      <c r="J16" s="394"/>
      <c r="L16" s="394"/>
    </row>
    <row r="17" spans="1:15" s="387" customFormat="1" ht="14.25">
      <c r="F17" s="392" t="s">
        <v>99</v>
      </c>
      <c r="G17" s="387" t="s">
        <v>3538</v>
      </c>
      <c r="I17" s="394"/>
      <c r="J17" s="394"/>
      <c r="L17" s="394"/>
    </row>
    <row r="18" spans="1:15" s="387" customFormat="1" ht="14.25">
      <c r="F18" s="392" t="s">
        <v>12</v>
      </c>
      <c r="G18" s="387" t="s">
        <v>3539</v>
      </c>
      <c r="I18" s="397"/>
      <c r="J18" s="397"/>
      <c r="L18" s="397"/>
    </row>
    <row r="19" spans="1:15" s="387" customFormat="1" ht="14.25">
      <c r="F19" s="392"/>
      <c r="G19" s="387" t="s">
        <v>3540</v>
      </c>
      <c r="I19" s="397"/>
      <c r="J19" s="397"/>
      <c r="L19" s="397"/>
    </row>
    <row r="20" spans="1:15" s="387" customFormat="1" ht="14.25">
      <c r="F20" s="392" t="s">
        <v>13</v>
      </c>
      <c r="G20" s="387" t="s">
        <v>216</v>
      </c>
      <c r="I20" s="397"/>
      <c r="J20" s="397"/>
      <c r="L20" s="397"/>
    </row>
    <row r="21" spans="1:15" s="387" customFormat="1" ht="14.25">
      <c r="F21" s="398"/>
      <c r="G21" s="387" t="s">
        <v>217</v>
      </c>
      <c r="I21" s="397"/>
      <c r="J21" s="397"/>
      <c r="L21" s="397"/>
    </row>
    <row r="22" spans="1:15" s="387" customFormat="1" ht="14.25">
      <c r="F22" s="392" t="s">
        <v>16</v>
      </c>
      <c r="G22" s="387" t="s">
        <v>218</v>
      </c>
      <c r="I22" s="397"/>
      <c r="J22" s="397"/>
      <c r="L22" s="397"/>
    </row>
    <row r="23" spans="1:15" s="387" customFormat="1" ht="14.25">
      <c r="F23" s="392" t="s">
        <v>220</v>
      </c>
      <c r="G23" s="850" t="s">
        <v>461</v>
      </c>
      <c r="I23" s="397"/>
      <c r="J23" s="397"/>
      <c r="L23" s="397"/>
    </row>
    <row r="24" spans="1:15" s="387" customFormat="1" ht="14.25">
      <c r="F24" s="392" t="s">
        <v>21</v>
      </c>
      <c r="G24" s="387" t="s">
        <v>3541</v>
      </c>
      <c r="I24" s="397"/>
      <c r="J24" s="397"/>
      <c r="L24" s="397"/>
    </row>
    <row r="25" spans="1:15" s="387" customFormat="1" ht="14.25">
      <c r="D25" s="399"/>
      <c r="E25" s="399"/>
      <c r="F25" s="392" t="s">
        <v>22</v>
      </c>
      <c r="G25" s="400" t="s">
        <v>3536</v>
      </c>
      <c r="K25" s="397"/>
    </row>
    <row r="26" spans="1:15" s="387" customFormat="1" ht="15" thickBot="1">
      <c r="A26" s="1104" t="s">
        <v>23</v>
      </c>
      <c r="B26" s="1037"/>
      <c r="C26" s="1037"/>
      <c r="D26" s="1037"/>
      <c r="E26" s="1037"/>
      <c r="F26" s="1037"/>
      <c r="G26" s="1037"/>
      <c r="H26" s="1037"/>
      <c r="I26" s="1037"/>
      <c r="J26" s="1037"/>
      <c r="K26" s="1037"/>
      <c r="L26" s="1037"/>
      <c r="M26" s="1037"/>
      <c r="N26" s="1037"/>
      <c r="O26" s="1037"/>
    </row>
    <row r="27" spans="1:15" s="387" customFormat="1" ht="14.25">
      <c r="A27" s="1098" t="s">
        <v>101</v>
      </c>
      <c r="B27" s="1099"/>
      <c r="C27" s="1099"/>
      <c r="D27" s="1100"/>
      <c r="E27" s="1101" t="s">
        <v>102</v>
      </c>
      <c r="F27" s="1061"/>
      <c r="G27" s="1061"/>
      <c r="H27" s="1061"/>
      <c r="I27" s="1061"/>
      <c r="J27" s="1061"/>
      <c r="K27" s="1102"/>
      <c r="L27" s="1098" t="s">
        <v>103</v>
      </c>
      <c r="M27" s="1061"/>
      <c r="N27" s="1061"/>
      <c r="O27" s="1102"/>
    </row>
    <row r="28" spans="1:15" s="387" customFormat="1" ht="12.75" customHeight="1">
      <c r="A28" s="1030" t="s">
        <v>160</v>
      </c>
      <c r="B28" s="1031"/>
      <c r="C28" s="1031"/>
      <c r="D28" s="401" t="s">
        <v>161</v>
      </c>
      <c r="E28" s="1030" t="s">
        <v>160</v>
      </c>
      <c r="F28" s="1023"/>
      <c r="G28" s="1023"/>
      <c r="H28" s="1023"/>
      <c r="I28" s="1109" t="s">
        <v>162</v>
      </c>
      <c r="J28" s="1139"/>
      <c r="K28" s="1106"/>
      <c r="L28" s="1030" t="s">
        <v>160</v>
      </c>
      <c r="M28" s="1023"/>
      <c r="N28" s="1110" t="s">
        <v>162</v>
      </c>
      <c r="O28" s="1111"/>
    </row>
    <row r="29" spans="1:15" s="387" customFormat="1" ht="12.75" customHeight="1">
      <c r="A29" s="1030" t="s">
        <v>43</v>
      </c>
      <c r="B29" s="1031"/>
      <c r="C29" s="1031"/>
      <c r="D29" s="402">
        <v>0</v>
      </c>
      <c r="E29" s="1030" t="s">
        <v>43</v>
      </c>
      <c r="F29" s="1023"/>
      <c r="G29" s="1023"/>
      <c r="H29" s="1023"/>
      <c r="I29" s="1105">
        <v>856</v>
      </c>
      <c r="J29" s="1139"/>
      <c r="K29" s="1106"/>
      <c r="L29" s="1030" t="s">
        <v>43</v>
      </c>
      <c r="M29" s="1023"/>
      <c r="N29" s="1107">
        <v>1127</v>
      </c>
      <c r="O29" s="1108"/>
    </row>
    <row r="30" spans="1:15" s="387" customFormat="1" ht="12.75" customHeight="1">
      <c r="A30" s="1030" t="s">
        <v>164</v>
      </c>
      <c r="B30" s="1031"/>
      <c r="C30" s="1031"/>
      <c r="D30" s="401" t="s">
        <v>165</v>
      </c>
      <c r="E30" s="1030" t="s">
        <v>164</v>
      </c>
      <c r="F30" s="1023"/>
      <c r="G30" s="1023"/>
      <c r="H30" s="1023"/>
      <c r="I30" s="1109" t="s">
        <v>239</v>
      </c>
      <c r="J30" s="1139"/>
      <c r="K30" s="1106"/>
      <c r="L30" s="1030" t="s">
        <v>164</v>
      </c>
      <c r="M30" s="1023"/>
      <c r="N30" s="1110" t="s">
        <v>240</v>
      </c>
      <c r="O30" s="1111"/>
    </row>
    <row r="31" spans="1:15" s="387" customFormat="1" ht="12.75" customHeight="1">
      <c r="A31" s="1030" t="s">
        <v>46</v>
      </c>
      <c r="B31" s="1031"/>
      <c r="C31" s="1031"/>
      <c r="D31" s="401" t="s">
        <v>27</v>
      </c>
      <c r="E31" s="1030" t="s">
        <v>47</v>
      </c>
      <c r="F31" s="1023"/>
      <c r="G31" s="1023"/>
      <c r="H31" s="1023"/>
      <c r="I31" s="1109" t="s">
        <v>3551</v>
      </c>
      <c r="J31" s="1139"/>
      <c r="K31" s="1106"/>
      <c r="L31" s="1030" t="s">
        <v>166</v>
      </c>
      <c r="M31" s="1023"/>
      <c r="N31" s="1110" t="s">
        <v>3551</v>
      </c>
      <c r="O31" s="1111"/>
    </row>
    <row r="32" spans="1:15" s="387" customFormat="1" ht="12.75" customHeight="1" thickBot="1">
      <c r="A32" s="1035" t="s">
        <v>225</v>
      </c>
      <c r="B32" s="1036"/>
      <c r="C32" s="1036"/>
      <c r="D32" s="403" t="s">
        <v>809</v>
      </c>
      <c r="E32" s="1035" t="s">
        <v>225</v>
      </c>
      <c r="F32" s="1036"/>
      <c r="G32" s="1037"/>
      <c r="H32" s="1037"/>
      <c r="I32" s="1112" t="s">
        <v>3550</v>
      </c>
      <c r="J32" s="1112"/>
      <c r="K32" s="1138"/>
      <c r="L32" s="1035" t="s">
        <v>225</v>
      </c>
      <c r="M32" s="1037"/>
      <c r="N32" s="1037" t="s">
        <v>3550</v>
      </c>
      <c r="O32" s="1038"/>
    </row>
    <row r="33" spans="1:15" s="387" customFormat="1" ht="12.75" customHeight="1">
      <c r="B33" s="404"/>
      <c r="C33" s="404"/>
      <c r="D33" s="399"/>
      <c r="E33" s="399"/>
      <c r="F33" s="405"/>
      <c r="G33" s="405"/>
      <c r="I33" s="388"/>
      <c r="J33" s="388"/>
      <c r="K33" s="388"/>
      <c r="L33" s="388"/>
    </row>
    <row r="34" spans="1:15" s="387" customFormat="1" ht="18" customHeight="1" thickBot="1">
      <c r="C34" s="399"/>
      <c r="D34" s="405"/>
      <c r="E34" s="406"/>
      <c r="F34" s="378"/>
      <c r="G34" s="407"/>
      <c r="H34" s="408"/>
      <c r="I34" s="409"/>
      <c r="J34" s="410"/>
    </row>
    <row r="35" spans="1:15" s="387" customFormat="1" ht="15.75" customHeight="1" thickBot="1">
      <c r="F35" s="1040" t="s">
        <v>167</v>
      </c>
      <c r="G35" s="1041"/>
      <c r="H35" s="1042" t="s">
        <v>168</v>
      </c>
      <c r="I35" s="1043"/>
      <c r="J35" s="1116"/>
      <c r="K35" s="1044"/>
      <c r="L35" s="1044"/>
      <c r="M35" s="1044"/>
      <c r="N35" s="1044"/>
      <c r="O35" s="1045"/>
    </row>
    <row r="36" spans="1:15" s="413" customFormat="1" ht="57.75" customHeight="1" thickBot="1">
      <c r="A36" s="411" t="s">
        <v>122</v>
      </c>
      <c r="B36" s="411" t="s">
        <v>169</v>
      </c>
      <c r="C36" s="412" t="s">
        <v>170</v>
      </c>
      <c r="D36" s="412" t="s">
        <v>171</v>
      </c>
      <c r="E36" s="412" t="s">
        <v>172</v>
      </c>
      <c r="F36" s="412" t="s">
        <v>173</v>
      </c>
      <c r="G36" s="411" t="s">
        <v>174</v>
      </c>
      <c r="H36" s="412" t="s">
        <v>175</v>
      </c>
      <c r="I36" s="411" t="s">
        <v>174</v>
      </c>
      <c r="J36" s="412" t="s">
        <v>176</v>
      </c>
      <c r="K36" s="411" t="s">
        <v>174</v>
      </c>
      <c r="L36" s="412" t="s">
        <v>177</v>
      </c>
      <c r="M36" s="411" t="s">
        <v>174</v>
      </c>
      <c r="N36" s="412" t="s">
        <v>178</v>
      </c>
      <c r="O36" s="411" t="s">
        <v>174</v>
      </c>
    </row>
    <row r="37" spans="1:15" s="418" customFormat="1" ht="26.25" thickBot="1">
      <c r="A37" s="1119">
        <v>15</v>
      </c>
      <c r="B37" s="1205"/>
      <c r="C37" s="463" t="s">
        <v>4470</v>
      </c>
      <c r="D37" s="464" t="s">
        <v>4471</v>
      </c>
      <c r="E37" s="929">
        <v>29718</v>
      </c>
      <c r="F37" s="415">
        <f>SUM(E37:E39)*(1-82%)</f>
        <v>5446.6200000000017</v>
      </c>
      <c r="G37" s="1050">
        <f>F37*B37</f>
        <v>0</v>
      </c>
      <c r="H37" s="416">
        <f>F37*0.0832</f>
        <v>453.15878400000014</v>
      </c>
      <c r="I37" s="1050">
        <f>H37*B37</f>
        <v>0</v>
      </c>
      <c r="J37" s="416">
        <f>F37*0.0313</f>
        <v>170.47920600000006</v>
      </c>
      <c r="K37" s="1050">
        <f>J37*B37</f>
        <v>0</v>
      </c>
      <c r="L37" s="417">
        <f>F37*0.0256</f>
        <v>139.43347200000005</v>
      </c>
      <c r="M37" s="1050">
        <f>L37*B37</f>
        <v>0</v>
      </c>
      <c r="N37" s="417">
        <f>F37*0.0213</f>
        <v>116.01300600000003</v>
      </c>
      <c r="O37" s="1050">
        <f>N37*B37</f>
        <v>0</v>
      </c>
    </row>
    <row r="38" spans="1:15" s="424" customFormat="1" ht="13.5" thickBot="1">
      <c r="A38" s="1203"/>
      <c r="B38" s="1137"/>
      <c r="C38" s="419" t="s">
        <v>714</v>
      </c>
      <c r="D38" s="420" t="s">
        <v>670</v>
      </c>
      <c r="E38" s="421">
        <v>282</v>
      </c>
      <c r="F38" s="422" t="s">
        <v>162</v>
      </c>
      <c r="G38" s="1137"/>
      <c r="H38" s="422" t="s">
        <v>162</v>
      </c>
      <c r="I38" s="1137"/>
      <c r="J38" s="422" t="s">
        <v>162</v>
      </c>
      <c r="K38" s="1137"/>
      <c r="L38" s="423" t="s">
        <v>162</v>
      </c>
      <c r="M38" s="1137"/>
      <c r="N38" s="423" t="s">
        <v>162</v>
      </c>
      <c r="O38" s="1137"/>
    </row>
    <row r="39" spans="1:15" s="424" customFormat="1" ht="13.5" thickBot="1">
      <c r="A39" s="1204"/>
      <c r="B39" s="1137"/>
      <c r="C39" s="425" t="s">
        <v>179</v>
      </c>
      <c r="D39" s="426" t="s">
        <v>104</v>
      </c>
      <c r="E39" s="906">
        <v>259</v>
      </c>
      <c r="F39" s="428" t="s">
        <v>162</v>
      </c>
      <c r="G39" s="1137"/>
      <c r="H39" s="428" t="s">
        <v>162</v>
      </c>
      <c r="I39" s="1137"/>
      <c r="J39" s="428" t="s">
        <v>162</v>
      </c>
      <c r="K39" s="1137"/>
      <c r="L39" s="737" t="s">
        <v>162</v>
      </c>
      <c r="M39" s="1049"/>
      <c r="N39" s="423" t="s">
        <v>162</v>
      </c>
      <c r="O39" s="1049"/>
    </row>
    <row r="40" spans="1:15" s="424" customFormat="1" ht="13.5" thickBot="1">
      <c r="A40" s="429"/>
      <c r="B40" s="430"/>
      <c r="C40" s="431"/>
      <c r="D40" s="432"/>
      <c r="E40" s="784"/>
      <c r="F40" s="434"/>
      <c r="G40" s="430"/>
      <c r="H40" s="434"/>
      <c r="I40" s="430"/>
      <c r="J40" s="434"/>
      <c r="K40" s="435"/>
      <c r="L40" s="436"/>
      <c r="M40" s="430"/>
      <c r="N40" s="436"/>
      <c r="O40" s="435"/>
    </row>
    <row r="41" spans="1:15" s="418" customFormat="1" ht="26.25" thickBot="1">
      <c r="A41" s="1119" t="s">
        <v>105</v>
      </c>
      <c r="B41" s="1205"/>
      <c r="C41" s="463" t="s">
        <v>4470</v>
      </c>
      <c r="D41" s="464" t="s">
        <v>4471</v>
      </c>
      <c r="E41" s="929">
        <v>29718</v>
      </c>
      <c r="F41" s="415">
        <f>SUM(E41:E43)*(1-82%)</f>
        <v>5446.6200000000017</v>
      </c>
      <c r="G41" s="1062">
        <f>F41*B41</f>
        <v>0</v>
      </c>
      <c r="H41" s="50">
        <f>F41*0.0832+I29/12</f>
        <v>524.49211733333345</v>
      </c>
      <c r="I41" s="1062">
        <f>H41*B41</f>
        <v>0</v>
      </c>
      <c r="J41" s="50">
        <f>F41*0.0313+I29/12</f>
        <v>241.8125393333334</v>
      </c>
      <c r="K41" s="1062">
        <f>J41*B41</f>
        <v>0</v>
      </c>
      <c r="L41" s="51">
        <f>F41*0.0256+I29/12</f>
        <v>210.76680533333337</v>
      </c>
      <c r="M41" s="1062">
        <f>L41*B41</f>
        <v>0</v>
      </c>
      <c r="N41" s="51">
        <f>F41*0.0213+I29/12</f>
        <v>187.34633933333336</v>
      </c>
      <c r="O41" s="1062">
        <f>N41*B41</f>
        <v>0</v>
      </c>
    </row>
    <row r="42" spans="1:15" s="424" customFormat="1" ht="13.5" thickBot="1">
      <c r="A42" s="1203"/>
      <c r="B42" s="1137"/>
      <c r="C42" s="419" t="s">
        <v>714</v>
      </c>
      <c r="D42" s="420" t="s">
        <v>670</v>
      </c>
      <c r="E42" s="421">
        <v>282</v>
      </c>
      <c r="F42" s="422" t="s">
        <v>162</v>
      </c>
      <c r="G42" s="1117"/>
      <c r="H42" s="52" t="s">
        <v>162</v>
      </c>
      <c r="I42" s="1117"/>
      <c r="J42" s="52" t="s">
        <v>162</v>
      </c>
      <c r="K42" s="1117"/>
      <c r="L42" s="53" t="s">
        <v>162</v>
      </c>
      <c r="M42" s="1117"/>
      <c r="N42" s="53" t="s">
        <v>162</v>
      </c>
      <c r="O42" s="1117"/>
    </row>
    <row r="43" spans="1:15" s="424" customFormat="1" ht="13.5" thickBot="1">
      <c r="A43" s="1203"/>
      <c r="B43" s="1137"/>
      <c r="C43" s="425" t="s">
        <v>179</v>
      </c>
      <c r="D43" s="426" t="s">
        <v>104</v>
      </c>
      <c r="E43" s="906">
        <v>259</v>
      </c>
      <c r="F43" s="428" t="s">
        <v>162</v>
      </c>
      <c r="G43" s="1137"/>
      <c r="H43" s="422" t="s">
        <v>162</v>
      </c>
      <c r="I43" s="1137"/>
      <c r="J43" s="422" t="s">
        <v>162</v>
      </c>
      <c r="K43" s="1137"/>
      <c r="L43" s="423" t="s">
        <v>162</v>
      </c>
      <c r="M43" s="1137"/>
      <c r="N43" s="423" t="s">
        <v>162</v>
      </c>
      <c r="O43" s="1137"/>
    </row>
    <row r="44" spans="1:15" s="424" customFormat="1" ht="13.5" thickBot="1">
      <c r="A44" s="429"/>
      <c r="B44" s="430"/>
      <c r="C44" s="431"/>
      <c r="D44" s="432"/>
      <c r="E44" s="784"/>
      <c r="F44" s="54"/>
      <c r="G44" s="55"/>
      <c r="H44" s="54"/>
      <c r="I44" s="55"/>
      <c r="J44" s="54"/>
      <c r="K44" s="56"/>
      <c r="L44" s="57"/>
      <c r="M44" s="55"/>
      <c r="N44" s="57"/>
      <c r="O44" s="56"/>
    </row>
    <row r="45" spans="1:15" s="418" customFormat="1" ht="26.25" thickBot="1">
      <c r="A45" s="1119" t="s">
        <v>106</v>
      </c>
      <c r="B45" s="1205"/>
      <c r="C45" s="463" t="s">
        <v>4470</v>
      </c>
      <c r="D45" s="464" t="s">
        <v>4471</v>
      </c>
      <c r="E45" s="929">
        <v>29718</v>
      </c>
      <c r="F45" s="415">
        <f>SUM(E45:E47)*(1-82%)</f>
        <v>5446.6200000000017</v>
      </c>
      <c r="G45" s="1062">
        <f>F45*B45</f>
        <v>0</v>
      </c>
      <c r="H45" s="50">
        <f>F45*0.0832+N29/12</f>
        <v>547.07545066666682</v>
      </c>
      <c r="I45" s="1062">
        <f>H45*B45</f>
        <v>0</v>
      </c>
      <c r="J45" s="50">
        <f>F45*0.0313+N29/12</f>
        <v>264.39587266666672</v>
      </c>
      <c r="K45" s="1062">
        <f>J45*B45</f>
        <v>0</v>
      </c>
      <c r="L45" s="51">
        <f>F45*0.0256+N29/12</f>
        <v>233.35013866666674</v>
      </c>
      <c r="M45" s="1062">
        <f>L45*B45</f>
        <v>0</v>
      </c>
      <c r="N45" s="51">
        <f>F45*0.0213+N29/12</f>
        <v>209.9296726666667</v>
      </c>
      <c r="O45" s="1062">
        <f>N45*B45</f>
        <v>0</v>
      </c>
    </row>
    <row r="46" spans="1:15" s="424" customFormat="1" ht="13.5" thickBot="1">
      <c r="A46" s="1203"/>
      <c r="B46" s="1137"/>
      <c r="C46" s="419" t="s">
        <v>714</v>
      </c>
      <c r="D46" s="420" t="s">
        <v>670</v>
      </c>
      <c r="E46" s="421">
        <v>282</v>
      </c>
      <c r="F46" s="422" t="s">
        <v>162</v>
      </c>
      <c r="G46" s="1137"/>
      <c r="H46" s="422" t="s">
        <v>162</v>
      </c>
      <c r="I46" s="1137"/>
      <c r="J46" s="422" t="s">
        <v>162</v>
      </c>
      <c r="K46" s="1137"/>
      <c r="L46" s="423" t="s">
        <v>162</v>
      </c>
      <c r="M46" s="1137"/>
      <c r="N46" s="423" t="s">
        <v>162</v>
      </c>
      <c r="O46" s="1137"/>
    </row>
    <row r="47" spans="1:15" s="424" customFormat="1" ht="13.5" thickBot="1">
      <c r="A47" s="1203"/>
      <c r="B47" s="1137"/>
      <c r="C47" s="425" t="s">
        <v>179</v>
      </c>
      <c r="D47" s="426" t="s">
        <v>104</v>
      </c>
      <c r="E47" s="906">
        <v>259</v>
      </c>
      <c r="F47" s="58" t="s">
        <v>162</v>
      </c>
      <c r="G47" s="1117"/>
      <c r="H47" s="52" t="s">
        <v>162</v>
      </c>
      <c r="I47" s="1117"/>
      <c r="J47" s="52" t="s">
        <v>162</v>
      </c>
      <c r="K47" s="1117"/>
      <c r="L47" s="53" t="s">
        <v>162</v>
      </c>
      <c r="M47" s="1117"/>
      <c r="N47" s="53" t="s">
        <v>162</v>
      </c>
      <c r="O47" s="1117"/>
    </row>
    <row r="48" spans="1:15" s="437" customFormat="1" ht="13.5" customHeight="1" thickBot="1">
      <c r="A48" s="1135" t="s">
        <v>182</v>
      </c>
      <c r="B48" s="1044"/>
      <c r="C48" s="1044"/>
      <c r="D48" s="1044"/>
      <c r="E48" s="1044"/>
      <c r="F48" s="1055"/>
      <c r="G48" s="1055"/>
      <c r="H48" s="1055"/>
      <c r="I48" s="1055"/>
      <c r="J48" s="1055"/>
      <c r="K48" s="1055"/>
      <c r="L48" s="1055"/>
      <c r="M48" s="1055"/>
      <c r="N48" s="1055"/>
      <c r="O48" s="1056"/>
    </row>
    <row r="49" spans="1:16" s="424" customFormat="1" ht="13.5" thickBot="1">
      <c r="A49" s="1126"/>
      <c r="B49" s="440"/>
      <c r="C49" s="690" t="s">
        <v>209</v>
      </c>
      <c r="D49" s="691" t="s">
        <v>66</v>
      </c>
      <c r="E49" s="692">
        <v>975.85567010309285</v>
      </c>
      <c r="F49" s="693">
        <f t="shared" ref="F49:F111" si="0">E49*(1-40%)</f>
        <v>585.51340206185569</v>
      </c>
      <c r="G49" s="694">
        <f t="shared" ref="G49:G111" si="1">F49*B49</f>
        <v>0</v>
      </c>
      <c r="H49" s="443">
        <f t="shared" ref="H49:H111" si="2">F49*0.0832</f>
        <v>48.714715051546392</v>
      </c>
      <c r="I49" s="443">
        <f t="shared" ref="I49:I111" si="3">H49*B49</f>
        <v>0</v>
      </c>
      <c r="J49" s="443">
        <f t="shared" ref="J49:J111" si="4">F49*0.0313</f>
        <v>18.326569484536083</v>
      </c>
      <c r="K49" s="443">
        <f t="shared" ref="K49:K111" si="5">J49*B49</f>
        <v>0</v>
      </c>
      <c r="L49" s="443">
        <f t="shared" ref="L49:L111" si="6">F49*0.0256</f>
        <v>14.989143092783506</v>
      </c>
      <c r="M49" s="443">
        <f t="shared" ref="M49:M111" si="7">L49*B49</f>
        <v>0</v>
      </c>
      <c r="N49" s="443">
        <f t="shared" ref="N49:N111" si="8">F49*0.0213</f>
        <v>12.471435463917526</v>
      </c>
      <c r="O49" s="443">
        <f t="shared" ref="O49:O111" si="9">N49*B49</f>
        <v>0</v>
      </c>
      <c r="P49" s="736"/>
    </row>
    <row r="50" spans="1:16" s="424" customFormat="1" ht="13.5" thickBot="1">
      <c r="A50" s="1122"/>
      <c r="B50" s="441"/>
      <c r="C50" s="462" t="s">
        <v>486</v>
      </c>
      <c r="D50" s="459" t="s">
        <v>671</v>
      </c>
      <c r="E50" s="460">
        <v>134.01030927835052</v>
      </c>
      <c r="F50" s="442">
        <f t="shared" si="0"/>
        <v>80.406185567010311</v>
      </c>
      <c r="G50" s="444">
        <f t="shared" si="1"/>
        <v>0</v>
      </c>
      <c r="H50" s="443">
        <f t="shared" si="2"/>
        <v>6.6897946391752576</v>
      </c>
      <c r="I50" s="443">
        <f t="shared" si="3"/>
        <v>0</v>
      </c>
      <c r="J50" s="443">
        <f t="shared" si="4"/>
        <v>2.5167136082474229</v>
      </c>
      <c r="K50" s="443">
        <f t="shared" si="5"/>
        <v>0</v>
      </c>
      <c r="L50" s="443">
        <f t="shared" si="6"/>
        <v>2.0583983505154642</v>
      </c>
      <c r="M50" s="443">
        <f t="shared" si="7"/>
        <v>0</v>
      </c>
      <c r="N50" s="443">
        <f t="shared" si="8"/>
        <v>1.7126517525773195</v>
      </c>
      <c r="O50" s="443">
        <f t="shared" si="9"/>
        <v>0</v>
      </c>
      <c r="P50" s="736"/>
    </row>
    <row r="51" spans="1:16" s="437" customFormat="1" ht="26.25" thickBot="1">
      <c r="A51" s="1122"/>
      <c r="B51" s="439"/>
      <c r="C51" s="458" t="s">
        <v>3491</v>
      </c>
      <c r="D51" s="459" t="s">
        <v>568</v>
      </c>
      <c r="E51" s="460">
        <v>411.34020618556701</v>
      </c>
      <c r="F51" s="442">
        <f t="shared" si="0"/>
        <v>246.8041237113402</v>
      </c>
      <c r="G51" s="444">
        <f t="shared" si="1"/>
        <v>0</v>
      </c>
      <c r="H51" s="443">
        <f t="shared" si="2"/>
        <v>20.534103092783504</v>
      </c>
      <c r="I51" s="443">
        <f t="shared" si="3"/>
        <v>0</v>
      </c>
      <c r="J51" s="443">
        <f t="shared" si="4"/>
        <v>7.7249690721649484</v>
      </c>
      <c r="K51" s="443">
        <f t="shared" si="5"/>
        <v>0</v>
      </c>
      <c r="L51" s="443">
        <f t="shared" si="6"/>
        <v>6.3181855670103095</v>
      </c>
      <c r="M51" s="443">
        <f t="shared" si="7"/>
        <v>0</v>
      </c>
      <c r="N51" s="443">
        <f t="shared" si="8"/>
        <v>5.2569278350515463</v>
      </c>
      <c r="O51" s="443">
        <f t="shared" si="9"/>
        <v>0</v>
      </c>
      <c r="P51" s="736"/>
    </row>
    <row r="52" spans="1:16" s="437" customFormat="1" ht="13.5" thickBot="1">
      <c r="A52" s="1122"/>
      <c r="B52" s="440"/>
      <c r="C52" s="458" t="s">
        <v>472</v>
      </c>
      <c r="D52" s="459" t="s">
        <v>54</v>
      </c>
      <c r="E52" s="460">
        <v>257.73195876288662</v>
      </c>
      <c r="F52" s="442">
        <f t="shared" si="0"/>
        <v>154.63917525773198</v>
      </c>
      <c r="G52" s="444">
        <f t="shared" si="1"/>
        <v>0</v>
      </c>
      <c r="H52" s="443">
        <f t="shared" si="2"/>
        <v>12.865979381443299</v>
      </c>
      <c r="I52" s="443">
        <f t="shared" si="3"/>
        <v>0</v>
      </c>
      <c r="J52" s="443">
        <f t="shared" si="4"/>
        <v>4.8402061855670109</v>
      </c>
      <c r="K52" s="443">
        <f t="shared" si="5"/>
        <v>0</v>
      </c>
      <c r="L52" s="443">
        <f t="shared" si="6"/>
        <v>3.9587628865979387</v>
      </c>
      <c r="M52" s="443">
        <f t="shared" si="7"/>
        <v>0</v>
      </c>
      <c r="N52" s="443">
        <f t="shared" si="8"/>
        <v>3.293814432989691</v>
      </c>
      <c r="O52" s="443">
        <f t="shared" si="9"/>
        <v>0</v>
      </c>
      <c r="P52" s="736"/>
    </row>
    <row r="53" spans="1:16" s="437" customFormat="1" ht="13.5" thickBot="1">
      <c r="A53" s="1122"/>
      <c r="B53" s="440"/>
      <c r="C53" s="659" t="s">
        <v>689</v>
      </c>
      <c r="D53" s="661" t="s">
        <v>408</v>
      </c>
      <c r="E53" s="663">
        <v>412.37113402061857</v>
      </c>
      <c r="F53" s="442">
        <f t="shared" si="0"/>
        <v>247.42268041237114</v>
      </c>
      <c r="G53" s="444">
        <f t="shared" si="1"/>
        <v>0</v>
      </c>
      <c r="H53" s="443">
        <f t="shared" si="2"/>
        <v>20.585567010309276</v>
      </c>
      <c r="I53" s="465">
        <f t="shared" si="3"/>
        <v>0</v>
      </c>
      <c r="J53" s="443">
        <f t="shared" si="4"/>
        <v>7.7443298969072165</v>
      </c>
      <c r="K53" s="465">
        <f t="shared" si="5"/>
        <v>0</v>
      </c>
      <c r="L53" s="443">
        <f t="shared" si="6"/>
        <v>6.3340206185567016</v>
      </c>
      <c r="M53" s="465">
        <f t="shared" si="7"/>
        <v>0</v>
      </c>
      <c r="N53" s="443">
        <f t="shared" si="8"/>
        <v>5.2701030927835051</v>
      </c>
      <c r="O53" s="465">
        <f t="shared" si="9"/>
        <v>0</v>
      </c>
      <c r="P53" s="736"/>
    </row>
    <row r="54" spans="1:16" s="437" customFormat="1" ht="13.5" thickBot="1">
      <c r="A54" s="1122"/>
      <c r="B54" s="439"/>
      <c r="C54" s="458" t="s">
        <v>690</v>
      </c>
      <c r="D54" s="459" t="s">
        <v>713</v>
      </c>
      <c r="E54" s="460">
        <v>514.43298969072168</v>
      </c>
      <c r="F54" s="442">
        <f t="shared" si="0"/>
        <v>308.65979381443299</v>
      </c>
      <c r="G54" s="444">
        <f t="shared" si="1"/>
        <v>0</v>
      </c>
      <c r="H54" s="443">
        <f t="shared" si="2"/>
        <v>25.680494845360823</v>
      </c>
      <c r="I54" s="443">
        <f t="shared" si="3"/>
        <v>0</v>
      </c>
      <c r="J54" s="443">
        <f t="shared" si="4"/>
        <v>9.6610515463917537</v>
      </c>
      <c r="K54" s="443">
        <f t="shared" si="5"/>
        <v>0</v>
      </c>
      <c r="L54" s="443">
        <f t="shared" si="6"/>
        <v>7.9016907216494845</v>
      </c>
      <c r="M54" s="443">
        <f t="shared" si="7"/>
        <v>0</v>
      </c>
      <c r="N54" s="443">
        <f t="shared" si="8"/>
        <v>6.5744536082474223</v>
      </c>
      <c r="O54" s="443">
        <f t="shared" si="9"/>
        <v>0</v>
      </c>
      <c r="P54" s="736"/>
    </row>
    <row r="55" spans="1:16" s="437" customFormat="1" ht="13.5" thickBot="1">
      <c r="A55" s="1122"/>
      <c r="B55" s="440"/>
      <c r="C55" s="458" t="s">
        <v>542</v>
      </c>
      <c r="D55" s="459" t="s">
        <v>3533</v>
      </c>
      <c r="E55" s="460">
        <v>1025.7731958762886</v>
      </c>
      <c r="F55" s="442">
        <f t="shared" si="0"/>
        <v>615.46391752577313</v>
      </c>
      <c r="G55" s="444">
        <f t="shared" si="1"/>
        <v>0</v>
      </c>
      <c r="H55" s="443">
        <f t="shared" si="2"/>
        <v>51.20659793814432</v>
      </c>
      <c r="I55" s="443">
        <f t="shared" si="3"/>
        <v>0</v>
      </c>
      <c r="J55" s="443">
        <f t="shared" si="4"/>
        <v>19.2640206185567</v>
      </c>
      <c r="K55" s="443">
        <f t="shared" si="5"/>
        <v>0</v>
      </c>
      <c r="L55" s="443">
        <f t="shared" si="6"/>
        <v>15.755876288659794</v>
      </c>
      <c r="M55" s="443">
        <f t="shared" si="7"/>
        <v>0</v>
      </c>
      <c r="N55" s="443">
        <f t="shared" si="8"/>
        <v>13.109381443298968</v>
      </c>
      <c r="O55" s="443">
        <f t="shared" si="9"/>
        <v>0</v>
      </c>
      <c r="P55" s="736"/>
    </row>
    <row r="56" spans="1:16" s="437" customFormat="1" ht="26.25" thickBot="1">
      <c r="A56" s="1122"/>
      <c r="B56" s="440"/>
      <c r="C56" s="458" t="s">
        <v>89</v>
      </c>
      <c r="D56" s="459" t="s">
        <v>483</v>
      </c>
      <c r="E56" s="460">
        <v>3505.1546391752577</v>
      </c>
      <c r="F56" s="442">
        <f t="shared" si="0"/>
        <v>2103.0927835051543</v>
      </c>
      <c r="G56" s="444">
        <f t="shared" si="1"/>
        <v>0</v>
      </c>
      <c r="H56" s="443">
        <f t="shared" si="2"/>
        <v>174.97731958762884</v>
      </c>
      <c r="I56" s="443">
        <f t="shared" si="3"/>
        <v>0</v>
      </c>
      <c r="J56" s="443">
        <f t="shared" si="4"/>
        <v>65.826804123711327</v>
      </c>
      <c r="K56" s="443">
        <f t="shared" si="5"/>
        <v>0</v>
      </c>
      <c r="L56" s="443">
        <f t="shared" si="6"/>
        <v>53.839175257731952</v>
      </c>
      <c r="M56" s="443">
        <f t="shared" si="7"/>
        <v>0</v>
      </c>
      <c r="N56" s="443">
        <f t="shared" si="8"/>
        <v>44.795876288659784</v>
      </c>
      <c r="O56" s="443">
        <f t="shared" si="9"/>
        <v>0</v>
      </c>
      <c r="P56" s="736"/>
    </row>
    <row r="57" spans="1:16" s="437" customFormat="1" ht="13.5" thickBot="1">
      <c r="A57" s="1122"/>
      <c r="B57" s="441"/>
      <c r="C57" s="458" t="s">
        <v>272</v>
      </c>
      <c r="D57" s="459" t="s">
        <v>234</v>
      </c>
      <c r="E57" s="460">
        <v>1134.020618556701</v>
      </c>
      <c r="F57" s="442">
        <f t="shared" si="0"/>
        <v>680.41237113402065</v>
      </c>
      <c r="G57" s="444">
        <f t="shared" si="1"/>
        <v>0</v>
      </c>
      <c r="H57" s="443">
        <f t="shared" si="2"/>
        <v>56.610309278350513</v>
      </c>
      <c r="I57" s="443">
        <f t="shared" si="3"/>
        <v>0</v>
      </c>
      <c r="J57" s="443">
        <f t="shared" si="4"/>
        <v>21.296907216494848</v>
      </c>
      <c r="K57" s="443">
        <f t="shared" si="5"/>
        <v>0</v>
      </c>
      <c r="L57" s="443">
        <f t="shared" si="6"/>
        <v>17.41855670103093</v>
      </c>
      <c r="M57" s="443">
        <f t="shared" si="7"/>
        <v>0</v>
      </c>
      <c r="N57" s="443">
        <f t="shared" si="8"/>
        <v>14.492783505154639</v>
      </c>
      <c r="O57" s="443">
        <f t="shared" si="9"/>
        <v>0</v>
      </c>
      <c r="P57" s="736"/>
    </row>
    <row r="58" spans="1:16" s="437" customFormat="1" ht="13.5" thickBot="1">
      <c r="A58" s="1122"/>
      <c r="B58" s="438"/>
      <c r="C58" s="458" t="s">
        <v>275</v>
      </c>
      <c r="D58" s="459" t="s">
        <v>233</v>
      </c>
      <c r="E58" s="460">
        <v>2577.319587628866</v>
      </c>
      <c r="F58" s="442">
        <f t="shared" si="0"/>
        <v>1546.3917525773195</v>
      </c>
      <c r="G58" s="444">
        <f t="shared" si="1"/>
        <v>0</v>
      </c>
      <c r="H58" s="443">
        <f t="shared" si="2"/>
        <v>128.65979381443299</v>
      </c>
      <c r="I58" s="443">
        <f t="shared" si="3"/>
        <v>0</v>
      </c>
      <c r="J58" s="443">
        <f t="shared" si="4"/>
        <v>48.402061855670105</v>
      </c>
      <c r="K58" s="443">
        <f t="shared" si="5"/>
        <v>0</v>
      </c>
      <c r="L58" s="443">
        <f t="shared" si="6"/>
        <v>39.587628865979383</v>
      </c>
      <c r="M58" s="443">
        <f t="shared" si="7"/>
        <v>0</v>
      </c>
      <c r="N58" s="443">
        <f t="shared" si="8"/>
        <v>32.938144329896907</v>
      </c>
      <c r="O58" s="443">
        <f t="shared" si="9"/>
        <v>0</v>
      </c>
      <c r="P58" s="736"/>
    </row>
    <row r="59" spans="1:16" s="437" customFormat="1" ht="13.5" thickBot="1">
      <c r="A59" s="1122"/>
      <c r="B59" s="445"/>
      <c r="C59" s="458" t="s">
        <v>273</v>
      </c>
      <c r="D59" s="459" t="s">
        <v>3534</v>
      </c>
      <c r="E59" s="460">
        <v>3092.7835051546394</v>
      </c>
      <c r="F59" s="442">
        <f t="shared" si="0"/>
        <v>1855.6701030927836</v>
      </c>
      <c r="G59" s="444">
        <f t="shared" si="1"/>
        <v>0</v>
      </c>
      <c r="H59" s="443">
        <f t="shared" si="2"/>
        <v>154.39175257731958</v>
      </c>
      <c r="I59" s="443">
        <f t="shared" si="3"/>
        <v>0</v>
      </c>
      <c r="J59" s="443">
        <f t="shared" si="4"/>
        <v>58.082474226804131</v>
      </c>
      <c r="K59" s="443">
        <f t="shared" si="5"/>
        <v>0</v>
      </c>
      <c r="L59" s="443">
        <f t="shared" si="6"/>
        <v>47.505154639175259</v>
      </c>
      <c r="M59" s="443">
        <f t="shared" si="7"/>
        <v>0</v>
      </c>
      <c r="N59" s="443">
        <f t="shared" si="8"/>
        <v>39.52577319587629</v>
      </c>
      <c r="O59" s="443">
        <f t="shared" si="9"/>
        <v>0</v>
      </c>
      <c r="P59" s="736"/>
    </row>
    <row r="60" spans="1:16" s="437" customFormat="1" ht="13.5" thickBot="1">
      <c r="A60" s="1122"/>
      <c r="B60" s="438"/>
      <c r="C60" s="458" t="s">
        <v>487</v>
      </c>
      <c r="D60" s="459" t="s">
        <v>3535</v>
      </c>
      <c r="E60" s="460">
        <v>1025.7731958762886</v>
      </c>
      <c r="F60" s="442">
        <f t="shared" si="0"/>
        <v>615.46391752577313</v>
      </c>
      <c r="G60" s="444">
        <f t="shared" si="1"/>
        <v>0</v>
      </c>
      <c r="H60" s="443">
        <f t="shared" si="2"/>
        <v>51.20659793814432</v>
      </c>
      <c r="I60" s="443">
        <f t="shared" si="3"/>
        <v>0</v>
      </c>
      <c r="J60" s="443">
        <f t="shared" si="4"/>
        <v>19.2640206185567</v>
      </c>
      <c r="K60" s="443">
        <f t="shared" si="5"/>
        <v>0</v>
      </c>
      <c r="L60" s="443">
        <f t="shared" si="6"/>
        <v>15.755876288659794</v>
      </c>
      <c r="M60" s="443">
        <f t="shared" si="7"/>
        <v>0</v>
      </c>
      <c r="N60" s="443">
        <f t="shared" si="8"/>
        <v>13.109381443298968</v>
      </c>
      <c r="O60" s="443">
        <f t="shared" si="9"/>
        <v>0</v>
      </c>
      <c r="P60" s="736"/>
    </row>
    <row r="61" spans="1:16" s="437" customFormat="1" ht="13.5" thickBot="1">
      <c r="A61" s="1122"/>
      <c r="B61" s="447"/>
      <c r="C61" s="462" t="s">
        <v>488</v>
      </c>
      <c r="D61" s="459" t="s">
        <v>566</v>
      </c>
      <c r="E61" s="460">
        <v>5463.9175257731958</v>
      </c>
      <c r="F61" s="442">
        <f t="shared" si="0"/>
        <v>3278.3505154639174</v>
      </c>
      <c r="G61" s="444">
        <f t="shared" si="1"/>
        <v>0</v>
      </c>
      <c r="H61" s="443">
        <f t="shared" si="2"/>
        <v>272.75876288659794</v>
      </c>
      <c r="I61" s="443">
        <f t="shared" si="3"/>
        <v>0</v>
      </c>
      <c r="J61" s="443">
        <f t="shared" si="4"/>
        <v>102.61237113402062</v>
      </c>
      <c r="K61" s="443">
        <f t="shared" si="5"/>
        <v>0</v>
      </c>
      <c r="L61" s="443">
        <f t="shared" si="6"/>
        <v>83.925773195876289</v>
      </c>
      <c r="M61" s="443">
        <f t="shared" si="7"/>
        <v>0</v>
      </c>
      <c r="N61" s="443">
        <f t="shared" si="8"/>
        <v>69.828865979381433</v>
      </c>
      <c r="O61" s="443">
        <f t="shared" si="9"/>
        <v>0</v>
      </c>
      <c r="P61" s="736"/>
    </row>
    <row r="62" spans="1:16" s="437" customFormat="1" ht="13.5" thickBot="1">
      <c r="A62" s="1122"/>
      <c r="B62" s="438"/>
      <c r="C62" s="461" t="s">
        <v>484</v>
      </c>
      <c r="D62" s="459" t="s">
        <v>409</v>
      </c>
      <c r="E62" s="460">
        <v>206.18556701030928</v>
      </c>
      <c r="F62" s="442">
        <f t="shared" si="0"/>
        <v>123.71134020618557</v>
      </c>
      <c r="G62" s="444">
        <f t="shared" si="1"/>
        <v>0</v>
      </c>
      <c r="H62" s="443">
        <f t="shared" si="2"/>
        <v>10.292783505154638</v>
      </c>
      <c r="I62" s="443">
        <f t="shared" si="3"/>
        <v>0</v>
      </c>
      <c r="J62" s="443">
        <f t="shared" si="4"/>
        <v>3.8721649484536083</v>
      </c>
      <c r="K62" s="443">
        <f t="shared" si="5"/>
        <v>0</v>
      </c>
      <c r="L62" s="443">
        <f t="shared" si="6"/>
        <v>3.1670103092783508</v>
      </c>
      <c r="M62" s="443">
        <f t="shared" si="7"/>
        <v>0</v>
      </c>
      <c r="N62" s="443">
        <f t="shared" si="8"/>
        <v>2.6350515463917525</v>
      </c>
      <c r="O62" s="443">
        <f t="shared" si="9"/>
        <v>0</v>
      </c>
      <c r="P62" s="736"/>
    </row>
    <row r="63" spans="1:16" s="437" customFormat="1" ht="26.25" thickBot="1">
      <c r="A63" s="1122"/>
      <c r="B63" s="441"/>
      <c r="C63" s="461" t="s">
        <v>485</v>
      </c>
      <c r="D63" s="459" t="s">
        <v>3511</v>
      </c>
      <c r="E63" s="460">
        <v>287.62886597938143</v>
      </c>
      <c r="F63" s="442">
        <f t="shared" si="0"/>
        <v>172.57731958762886</v>
      </c>
      <c r="G63" s="444">
        <f t="shared" si="1"/>
        <v>0</v>
      </c>
      <c r="H63" s="443">
        <f t="shared" si="2"/>
        <v>14.358432989690721</v>
      </c>
      <c r="I63" s="443">
        <f t="shared" si="3"/>
        <v>0</v>
      </c>
      <c r="J63" s="443">
        <f t="shared" si="4"/>
        <v>5.4016701030927834</v>
      </c>
      <c r="K63" s="443">
        <f t="shared" si="5"/>
        <v>0</v>
      </c>
      <c r="L63" s="443">
        <f t="shared" si="6"/>
        <v>4.417979381443299</v>
      </c>
      <c r="M63" s="443">
        <f t="shared" si="7"/>
        <v>0</v>
      </c>
      <c r="N63" s="443">
        <f t="shared" si="8"/>
        <v>3.6758969072164946</v>
      </c>
      <c r="O63" s="443">
        <f t="shared" si="9"/>
        <v>0</v>
      </c>
      <c r="P63" s="736"/>
    </row>
    <row r="64" spans="1:16" s="424" customFormat="1" ht="13.5" thickBot="1">
      <c r="A64" s="1122"/>
      <c r="B64" s="438"/>
      <c r="C64" s="461" t="s">
        <v>3489</v>
      </c>
      <c r="D64" s="459" t="s">
        <v>3512</v>
      </c>
      <c r="E64" s="460">
        <v>875.25773195876286</v>
      </c>
      <c r="F64" s="442">
        <f t="shared" si="0"/>
        <v>525.15463917525767</v>
      </c>
      <c r="G64" s="465">
        <f t="shared" si="1"/>
        <v>0</v>
      </c>
      <c r="H64" s="443">
        <f t="shared" si="2"/>
        <v>43.692865979381438</v>
      </c>
      <c r="I64" s="443">
        <f t="shared" si="3"/>
        <v>0</v>
      </c>
      <c r="J64" s="443">
        <f t="shared" si="4"/>
        <v>16.437340206185567</v>
      </c>
      <c r="K64" s="443">
        <f t="shared" si="5"/>
        <v>0</v>
      </c>
      <c r="L64" s="443">
        <f t="shared" si="6"/>
        <v>13.443958762886597</v>
      </c>
      <c r="M64" s="443">
        <f t="shared" si="7"/>
        <v>0</v>
      </c>
      <c r="N64" s="443">
        <f t="shared" si="8"/>
        <v>11.185793814432989</v>
      </c>
      <c r="O64" s="443">
        <f t="shared" si="9"/>
        <v>0</v>
      </c>
      <c r="P64" s="736"/>
    </row>
    <row r="65" spans="1:16" s="424" customFormat="1" ht="13.5" thickBot="1">
      <c r="A65" s="1122"/>
      <c r="B65" s="440"/>
      <c r="C65" s="458" t="s">
        <v>87</v>
      </c>
      <c r="D65" s="459" t="s">
        <v>88</v>
      </c>
      <c r="E65" s="460">
        <v>1389.6907216494847</v>
      </c>
      <c r="F65" s="442">
        <f t="shared" si="0"/>
        <v>833.81443298969077</v>
      </c>
      <c r="G65" s="465">
        <f t="shared" si="1"/>
        <v>0</v>
      </c>
      <c r="H65" s="443">
        <f t="shared" si="2"/>
        <v>69.373360824742264</v>
      </c>
      <c r="I65" s="443">
        <f t="shared" si="3"/>
        <v>0</v>
      </c>
      <c r="J65" s="443">
        <f t="shared" si="4"/>
        <v>26.098391752577321</v>
      </c>
      <c r="K65" s="443">
        <f t="shared" si="5"/>
        <v>0</v>
      </c>
      <c r="L65" s="443">
        <f t="shared" si="6"/>
        <v>21.345649484536086</v>
      </c>
      <c r="M65" s="443">
        <f t="shared" si="7"/>
        <v>0</v>
      </c>
      <c r="N65" s="443">
        <f t="shared" si="8"/>
        <v>17.760247422680415</v>
      </c>
      <c r="O65" s="443">
        <f t="shared" si="9"/>
        <v>0</v>
      </c>
      <c r="P65" s="736"/>
    </row>
    <row r="66" spans="1:16" s="424" customFormat="1" ht="13.5" thickBot="1">
      <c r="A66" s="1122"/>
      <c r="B66" s="441"/>
      <c r="C66" s="458" t="s">
        <v>3490</v>
      </c>
      <c r="D66" s="459" t="s">
        <v>229</v>
      </c>
      <c r="E66" s="460">
        <v>229.48453608247422</v>
      </c>
      <c r="F66" s="442">
        <f t="shared" si="0"/>
        <v>137.69072164948452</v>
      </c>
      <c r="G66" s="465">
        <f t="shared" si="1"/>
        <v>0</v>
      </c>
      <c r="H66" s="443">
        <f t="shared" si="2"/>
        <v>11.45586804123711</v>
      </c>
      <c r="I66" s="443">
        <f t="shared" si="3"/>
        <v>0</v>
      </c>
      <c r="J66" s="443">
        <f t="shared" si="4"/>
        <v>4.3097195876288659</v>
      </c>
      <c r="K66" s="443">
        <f t="shared" si="5"/>
        <v>0</v>
      </c>
      <c r="L66" s="443">
        <f t="shared" si="6"/>
        <v>3.5248824742268039</v>
      </c>
      <c r="M66" s="443">
        <f t="shared" si="7"/>
        <v>0</v>
      </c>
      <c r="N66" s="443">
        <f t="shared" si="8"/>
        <v>2.9328123711340202</v>
      </c>
      <c r="O66" s="443">
        <f t="shared" si="9"/>
        <v>0</v>
      </c>
      <c r="P66" s="736"/>
    </row>
    <row r="67" spans="1:16" s="424" customFormat="1" ht="26.25" thickBot="1">
      <c r="A67" s="1122"/>
      <c r="B67" s="438"/>
      <c r="C67" s="458" t="s">
        <v>490</v>
      </c>
      <c r="D67" s="459" t="s">
        <v>3505</v>
      </c>
      <c r="E67" s="460">
        <v>1103.0927835051546</v>
      </c>
      <c r="F67" s="59">
        <f t="shared" si="0"/>
        <v>661.85567010309273</v>
      </c>
      <c r="G67" s="62">
        <f t="shared" si="1"/>
        <v>0</v>
      </c>
      <c r="H67" s="60">
        <f t="shared" si="2"/>
        <v>55.06639175257731</v>
      </c>
      <c r="I67" s="60">
        <f t="shared" si="3"/>
        <v>0</v>
      </c>
      <c r="J67" s="60">
        <f t="shared" si="4"/>
        <v>20.716082474226802</v>
      </c>
      <c r="K67" s="60">
        <f t="shared" si="5"/>
        <v>0</v>
      </c>
      <c r="L67" s="60">
        <f t="shared" si="6"/>
        <v>16.943505154639176</v>
      </c>
      <c r="M67" s="60">
        <f t="shared" si="7"/>
        <v>0</v>
      </c>
      <c r="N67" s="60">
        <f t="shared" si="8"/>
        <v>14.097525773195875</v>
      </c>
      <c r="O67" s="60">
        <f t="shared" si="9"/>
        <v>0</v>
      </c>
      <c r="P67" s="736"/>
    </row>
    <row r="68" spans="1:16" s="424" customFormat="1" ht="13.5" thickBot="1">
      <c r="A68" s="1122"/>
      <c r="B68" s="441"/>
      <c r="C68" s="461" t="s">
        <v>455</v>
      </c>
      <c r="D68" s="459" t="s">
        <v>3506</v>
      </c>
      <c r="E68" s="460">
        <v>1101.5257731958764</v>
      </c>
      <c r="F68" s="442">
        <f t="shared" si="0"/>
        <v>660.91546391752581</v>
      </c>
      <c r="G68" s="62">
        <f>F68*B68</f>
        <v>0</v>
      </c>
      <c r="H68" s="443">
        <f t="shared" si="2"/>
        <v>54.988166597938147</v>
      </c>
      <c r="I68" s="60">
        <f t="shared" si="3"/>
        <v>0</v>
      </c>
      <c r="J68" s="443">
        <f t="shared" si="4"/>
        <v>20.686654020618558</v>
      </c>
      <c r="K68" s="60">
        <f t="shared" si="5"/>
        <v>0</v>
      </c>
      <c r="L68" s="443">
        <f t="shared" si="6"/>
        <v>16.919435876288663</v>
      </c>
      <c r="M68" s="60">
        <f t="shared" si="7"/>
        <v>0</v>
      </c>
      <c r="N68" s="443">
        <f t="shared" si="8"/>
        <v>14.0774993814433</v>
      </c>
      <c r="O68" s="60">
        <f t="shared" si="9"/>
        <v>0</v>
      </c>
      <c r="P68" s="736"/>
    </row>
    <row r="69" spans="1:16" s="424" customFormat="1" ht="26.25" thickBot="1">
      <c r="A69" s="1122"/>
      <c r="B69" s="441"/>
      <c r="C69" s="458" t="s">
        <v>3492</v>
      </c>
      <c r="D69" s="459" t="s">
        <v>3515</v>
      </c>
      <c r="E69" s="460">
        <v>1673.1958762886597</v>
      </c>
      <c r="F69" s="442">
        <f t="shared" si="0"/>
        <v>1003.9175257731958</v>
      </c>
      <c r="G69" s="444">
        <f t="shared" si="1"/>
        <v>0</v>
      </c>
      <c r="H69" s="443">
        <f t="shared" si="2"/>
        <v>83.525938144329885</v>
      </c>
      <c r="I69" s="443">
        <f t="shared" si="3"/>
        <v>0</v>
      </c>
      <c r="J69" s="443">
        <f t="shared" si="4"/>
        <v>31.422618556701032</v>
      </c>
      <c r="K69" s="443">
        <f t="shared" si="5"/>
        <v>0</v>
      </c>
      <c r="L69" s="443">
        <f t="shared" si="6"/>
        <v>25.700288659793816</v>
      </c>
      <c r="M69" s="443">
        <f t="shared" si="7"/>
        <v>0</v>
      </c>
      <c r="N69" s="443">
        <f t="shared" si="8"/>
        <v>21.38344329896907</v>
      </c>
      <c r="O69" s="443">
        <f t="shared" si="9"/>
        <v>0</v>
      </c>
      <c r="P69" s="736"/>
    </row>
    <row r="70" spans="1:16" s="424" customFormat="1" ht="26.25" thickBot="1">
      <c r="A70" s="1122"/>
      <c r="B70" s="440"/>
      <c r="C70" s="458" t="s">
        <v>3495</v>
      </c>
      <c r="D70" s="459" t="s">
        <v>3518</v>
      </c>
      <c r="E70" s="460">
        <v>2020.340206185567</v>
      </c>
      <c r="F70" s="442">
        <f t="shared" si="0"/>
        <v>1212.2041237113401</v>
      </c>
      <c r="G70" s="444">
        <f t="shared" si="1"/>
        <v>0</v>
      </c>
      <c r="H70" s="443">
        <f t="shared" si="2"/>
        <v>100.8553830927835</v>
      </c>
      <c r="I70" s="443">
        <f t="shared" si="3"/>
        <v>0</v>
      </c>
      <c r="J70" s="443">
        <f t="shared" si="4"/>
        <v>37.941989072164951</v>
      </c>
      <c r="K70" s="443">
        <f t="shared" si="5"/>
        <v>0</v>
      </c>
      <c r="L70" s="443">
        <f t="shared" si="6"/>
        <v>31.032425567010307</v>
      </c>
      <c r="M70" s="443">
        <f t="shared" si="7"/>
        <v>0</v>
      </c>
      <c r="N70" s="443">
        <f t="shared" si="8"/>
        <v>25.819947835051543</v>
      </c>
      <c r="O70" s="443">
        <f t="shared" si="9"/>
        <v>0</v>
      </c>
      <c r="P70" s="736"/>
    </row>
    <row r="71" spans="1:16" s="437" customFormat="1" ht="26.25" thickBot="1">
      <c r="A71" s="1122"/>
      <c r="B71" s="447"/>
      <c r="C71" s="458" t="s">
        <v>3496</v>
      </c>
      <c r="D71" s="459" t="s">
        <v>3519</v>
      </c>
      <c r="E71" s="460">
        <v>3510.0309278350514</v>
      </c>
      <c r="F71" s="442">
        <f t="shared" si="0"/>
        <v>2106.0185567010308</v>
      </c>
      <c r="G71" s="444">
        <f t="shared" si="1"/>
        <v>0</v>
      </c>
      <c r="H71" s="443">
        <f t="shared" si="2"/>
        <v>175.22074391752577</v>
      </c>
      <c r="I71" s="443">
        <f t="shared" si="3"/>
        <v>0</v>
      </c>
      <c r="J71" s="443">
        <f t="shared" si="4"/>
        <v>65.918380824742272</v>
      </c>
      <c r="K71" s="443">
        <f t="shared" si="5"/>
        <v>0</v>
      </c>
      <c r="L71" s="443">
        <f t="shared" si="6"/>
        <v>53.914075051546391</v>
      </c>
      <c r="M71" s="443">
        <f t="shared" si="7"/>
        <v>0</v>
      </c>
      <c r="N71" s="443">
        <f t="shared" si="8"/>
        <v>44.858195257731957</v>
      </c>
      <c r="O71" s="443">
        <f t="shared" si="9"/>
        <v>0</v>
      </c>
      <c r="P71" s="736"/>
    </row>
    <row r="72" spans="1:16" s="437" customFormat="1" ht="26.25" thickBot="1">
      <c r="A72" s="1122"/>
      <c r="B72" s="441"/>
      <c r="C72" s="458" t="s">
        <v>3497</v>
      </c>
      <c r="D72" s="459" t="s">
        <v>3520</v>
      </c>
      <c r="E72" s="460">
        <v>3432.7113402061855</v>
      </c>
      <c r="F72" s="442">
        <f t="shared" si="0"/>
        <v>2059.6268041237113</v>
      </c>
      <c r="G72" s="444">
        <f t="shared" si="1"/>
        <v>0</v>
      </c>
      <c r="H72" s="443">
        <f t="shared" si="2"/>
        <v>171.36095010309276</v>
      </c>
      <c r="I72" s="443">
        <f t="shared" si="3"/>
        <v>0</v>
      </c>
      <c r="J72" s="443">
        <f t="shared" si="4"/>
        <v>64.466318969072162</v>
      </c>
      <c r="K72" s="443">
        <f t="shared" si="5"/>
        <v>0</v>
      </c>
      <c r="L72" s="443">
        <f t="shared" si="6"/>
        <v>52.726446185567013</v>
      </c>
      <c r="M72" s="443">
        <f t="shared" si="7"/>
        <v>0</v>
      </c>
      <c r="N72" s="443">
        <f t="shared" si="8"/>
        <v>43.870050927835052</v>
      </c>
      <c r="O72" s="443">
        <f t="shared" si="9"/>
        <v>0</v>
      </c>
      <c r="P72" s="736"/>
    </row>
    <row r="73" spans="1:16" s="437" customFormat="1" ht="26.25" thickBot="1">
      <c r="A73" s="1122"/>
      <c r="B73" s="441"/>
      <c r="C73" s="458" t="s">
        <v>3498</v>
      </c>
      <c r="D73" s="459" t="s">
        <v>3521</v>
      </c>
      <c r="E73" s="460">
        <v>4958.4845360824738</v>
      </c>
      <c r="F73" s="442">
        <f t="shared" si="0"/>
        <v>2975.0907216494843</v>
      </c>
      <c r="G73" s="444">
        <f t="shared" si="1"/>
        <v>0</v>
      </c>
      <c r="H73" s="443">
        <f t="shared" si="2"/>
        <v>247.52754804123708</v>
      </c>
      <c r="I73" s="443">
        <f t="shared" si="3"/>
        <v>0</v>
      </c>
      <c r="J73" s="443">
        <f t="shared" si="4"/>
        <v>93.120339587628862</v>
      </c>
      <c r="K73" s="443">
        <f t="shared" si="5"/>
        <v>0</v>
      </c>
      <c r="L73" s="443">
        <f t="shared" si="6"/>
        <v>76.162322474226798</v>
      </c>
      <c r="M73" s="443">
        <f t="shared" si="7"/>
        <v>0</v>
      </c>
      <c r="N73" s="443">
        <f t="shared" si="8"/>
        <v>63.36943237113401</v>
      </c>
      <c r="O73" s="443">
        <f t="shared" si="9"/>
        <v>0</v>
      </c>
      <c r="P73" s="736"/>
    </row>
    <row r="74" spans="1:16" s="437" customFormat="1" ht="13.5" thickBot="1">
      <c r="A74" s="1122"/>
      <c r="B74" s="441"/>
      <c r="C74" s="458" t="s">
        <v>691</v>
      </c>
      <c r="D74" s="459" t="s">
        <v>672</v>
      </c>
      <c r="E74" s="460">
        <v>4286.5979381443303</v>
      </c>
      <c r="F74" s="442">
        <f t="shared" si="0"/>
        <v>2571.9587628865979</v>
      </c>
      <c r="G74" s="444">
        <f t="shared" si="1"/>
        <v>0</v>
      </c>
      <c r="H74" s="443">
        <f t="shared" si="2"/>
        <v>213.98696907216492</v>
      </c>
      <c r="I74" s="443">
        <f t="shared" si="3"/>
        <v>0</v>
      </c>
      <c r="J74" s="443">
        <f t="shared" si="4"/>
        <v>80.502309278350523</v>
      </c>
      <c r="K74" s="443">
        <f t="shared" si="5"/>
        <v>0</v>
      </c>
      <c r="L74" s="443">
        <f t="shared" si="6"/>
        <v>65.842144329896911</v>
      </c>
      <c r="M74" s="443">
        <f t="shared" si="7"/>
        <v>0</v>
      </c>
      <c r="N74" s="443">
        <f t="shared" si="8"/>
        <v>54.782721649484536</v>
      </c>
      <c r="O74" s="443">
        <f t="shared" si="9"/>
        <v>0</v>
      </c>
      <c r="P74" s="736"/>
    </row>
    <row r="75" spans="1:16" s="437" customFormat="1" ht="13.5" thickBot="1">
      <c r="A75" s="1122"/>
      <c r="B75" s="441"/>
      <c r="C75" s="458" t="s">
        <v>3502</v>
      </c>
      <c r="D75" s="459" t="s">
        <v>3525</v>
      </c>
      <c r="E75" s="460">
        <v>515.46391752577324</v>
      </c>
      <c r="F75" s="442">
        <f t="shared" si="0"/>
        <v>309.27835051546396</v>
      </c>
      <c r="G75" s="444">
        <f t="shared" si="1"/>
        <v>0</v>
      </c>
      <c r="H75" s="443">
        <f t="shared" si="2"/>
        <v>25.731958762886599</v>
      </c>
      <c r="I75" s="443">
        <f t="shared" si="3"/>
        <v>0</v>
      </c>
      <c r="J75" s="443">
        <f t="shared" si="4"/>
        <v>9.6804123711340218</v>
      </c>
      <c r="K75" s="443">
        <f t="shared" si="5"/>
        <v>0</v>
      </c>
      <c r="L75" s="443">
        <f t="shared" si="6"/>
        <v>7.9175257731958775</v>
      </c>
      <c r="M75" s="443">
        <f t="shared" si="7"/>
        <v>0</v>
      </c>
      <c r="N75" s="443">
        <f t="shared" si="8"/>
        <v>6.587628865979382</v>
      </c>
      <c r="O75" s="443">
        <f t="shared" si="9"/>
        <v>0</v>
      </c>
      <c r="P75" s="736"/>
    </row>
    <row r="76" spans="1:16" s="437" customFormat="1" ht="13.5" thickBot="1">
      <c r="A76" s="1122"/>
      <c r="B76" s="440"/>
      <c r="C76" s="458" t="s">
        <v>476</v>
      </c>
      <c r="D76" s="459" t="s">
        <v>3514</v>
      </c>
      <c r="E76" s="460">
        <v>515.46391752577324</v>
      </c>
      <c r="F76" s="442">
        <f t="shared" si="0"/>
        <v>309.27835051546396</v>
      </c>
      <c r="G76" s="444">
        <f t="shared" si="1"/>
        <v>0</v>
      </c>
      <c r="H76" s="443">
        <f t="shared" si="2"/>
        <v>25.731958762886599</v>
      </c>
      <c r="I76" s="443">
        <f t="shared" si="3"/>
        <v>0</v>
      </c>
      <c r="J76" s="443">
        <f t="shared" si="4"/>
        <v>9.6804123711340218</v>
      </c>
      <c r="K76" s="443">
        <f t="shared" si="5"/>
        <v>0</v>
      </c>
      <c r="L76" s="443">
        <f t="shared" si="6"/>
        <v>7.9175257731958775</v>
      </c>
      <c r="M76" s="443">
        <f t="shared" si="7"/>
        <v>0</v>
      </c>
      <c r="N76" s="443">
        <f t="shared" si="8"/>
        <v>6.587628865979382</v>
      </c>
      <c r="O76" s="443">
        <f t="shared" si="9"/>
        <v>0</v>
      </c>
      <c r="P76" s="736"/>
    </row>
    <row r="77" spans="1:16" s="437" customFormat="1" ht="13.5" thickBot="1">
      <c r="A77" s="1122"/>
      <c r="B77" s="440"/>
      <c r="C77" s="461" t="s">
        <v>3488</v>
      </c>
      <c r="D77" s="459" t="s">
        <v>3508</v>
      </c>
      <c r="E77" s="460">
        <v>88.659793814432987</v>
      </c>
      <c r="F77" s="442">
        <f t="shared" si="0"/>
        <v>53.19587628865979</v>
      </c>
      <c r="G77" s="444">
        <f t="shared" si="1"/>
        <v>0</v>
      </c>
      <c r="H77" s="443">
        <f t="shared" si="2"/>
        <v>4.4258969072164946</v>
      </c>
      <c r="I77" s="443">
        <f t="shared" si="3"/>
        <v>0</v>
      </c>
      <c r="J77" s="443">
        <f t="shared" si="4"/>
        <v>1.6650309278350515</v>
      </c>
      <c r="K77" s="443">
        <f t="shared" si="5"/>
        <v>0</v>
      </c>
      <c r="L77" s="443">
        <f t="shared" si="6"/>
        <v>1.3618144329896906</v>
      </c>
      <c r="M77" s="443">
        <f t="shared" si="7"/>
        <v>0</v>
      </c>
      <c r="N77" s="443">
        <f t="shared" si="8"/>
        <v>1.1330721649484534</v>
      </c>
      <c r="O77" s="443">
        <f t="shared" si="9"/>
        <v>0</v>
      </c>
      <c r="P77" s="736"/>
    </row>
    <row r="78" spans="1:16" s="437" customFormat="1" ht="13.5" thickBot="1">
      <c r="A78" s="1122"/>
      <c r="B78" s="447"/>
      <c r="C78" s="462" t="s">
        <v>692</v>
      </c>
      <c r="D78" s="459" t="s">
        <v>3510</v>
      </c>
      <c r="E78" s="460">
        <v>126.80412371134021</v>
      </c>
      <c r="F78" s="442">
        <f t="shared" si="0"/>
        <v>76.082474226804123</v>
      </c>
      <c r="G78" s="444">
        <f t="shared" si="1"/>
        <v>0</v>
      </c>
      <c r="H78" s="443">
        <f t="shared" si="2"/>
        <v>6.3300618556701025</v>
      </c>
      <c r="I78" s="443">
        <f t="shared" si="3"/>
        <v>0</v>
      </c>
      <c r="J78" s="443">
        <f t="shared" si="4"/>
        <v>2.3813814432989693</v>
      </c>
      <c r="K78" s="443">
        <f t="shared" si="5"/>
        <v>0</v>
      </c>
      <c r="L78" s="443">
        <f t="shared" si="6"/>
        <v>1.9477113402061856</v>
      </c>
      <c r="M78" s="443">
        <f t="shared" si="7"/>
        <v>0</v>
      </c>
      <c r="N78" s="443">
        <f t="shared" si="8"/>
        <v>1.6205567010309279</v>
      </c>
      <c r="O78" s="443">
        <f t="shared" si="9"/>
        <v>0</v>
      </c>
      <c r="P78" s="736"/>
    </row>
    <row r="79" spans="1:16" s="437" customFormat="1" ht="13.5" thickBot="1">
      <c r="A79" s="1122"/>
      <c r="B79" s="440"/>
      <c r="C79" s="461" t="s">
        <v>693</v>
      </c>
      <c r="D79" s="459" t="s">
        <v>674</v>
      </c>
      <c r="E79" s="460">
        <v>129.89690721649484</v>
      </c>
      <c r="F79" s="442">
        <f t="shared" si="0"/>
        <v>77.9381443298969</v>
      </c>
      <c r="G79" s="444">
        <f t="shared" si="1"/>
        <v>0</v>
      </c>
      <c r="H79" s="443">
        <f t="shared" si="2"/>
        <v>6.4844536082474216</v>
      </c>
      <c r="I79" s="443">
        <f t="shared" si="3"/>
        <v>0</v>
      </c>
      <c r="J79" s="443">
        <f t="shared" si="4"/>
        <v>2.4394639175257731</v>
      </c>
      <c r="K79" s="443">
        <f t="shared" si="5"/>
        <v>0</v>
      </c>
      <c r="L79" s="443">
        <f t="shared" si="6"/>
        <v>1.9952164948453608</v>
      </c>
      <c r="M79" s="443">
        <f t="shared" si="7"/>
        <v>0</v>
      </c>
      <c r="N79" s="443">
        <f t="shared" si="8"/>
        <v>1.6600824742268039</v>
      </c>
      <c r="O79" s="443">
        <f t="shared" si="9"/>
        <v>0</v>
      </c>
      <c r="P79" s="736"/>
    </row>
    <row r="80" spans="1:16" s="424" customFormat="1" ht="26.25" thickBot="1">
      <c r="A80" s="1122"/>
      <c r="B80" s="441"/>
      <c r="C80" s="461" t="s">
        <v>438</v>
      </c>
      <c r="D80" s="459" t="s">
        <v>594</v>
      </c>
      <c r="E80" s="460">
        <v>1134.020618556701</v>
      </c>
      <c r="F80" s="442">
        <f t="shared" si="0"/>
        <v>680.41237113402065</v>
      </c>
      <c r="G80" s="61">
        <f t="shared" si="1"/>
        <v>0</v>
      </c>
      <c r="H80" s="443">
        <f t="shared" si="2"/>
        <v>56.610309278350513</v>
      </c>
      <c r="I80" s="60">
        <f t="shared" si="3"/>
        <v>0</v>
      </c>
      <c r="J80" s="443">
        <f t="shared" si="4"/>
        <v>21.296907216494848</v>
      </c>
      <c r="K80" s="60">
        <f t="shared" si="5"/>
        <v>0</v>
      </c>
      <c r="L80" s="443">
        <f t="shared" si="6"/>
        <v>17.41855670103093</v>
      </c>
      <c r="M80" s="60">
        <f t="shared" si="7"/>
        <v>0</v>
      </c>
      <c r="N80" s="443">
        <f t="shared" si="8"/>
        <v>14.492783505154639</v>
      </c>
      <c r="O80" s="60">
        <f t="shared" si="9"/>
        <v>0</v>
      </c>
      <c r="P80" s="736"/>
    </row>
    <row r="81" spans="1:16" s="424" customFormat="1" ht="13.5" thickBot="1">
      <c r="A81" s="1122"/>
      <c r="B81" s="440"/>
      <c r="C81" s="458" t="s">
        <v>439</v>
      </c>
      <c r="D81" s="459" t="s">
        <v>595</v>
      </c>
      <c r="E81" s="460">
        <v>809.2783505154639</v>
      </c>
      <c r="F81" s="442">
        <f t="shared" si="0"/>
        <v>485.56701030927832</v>
      </c>
      <c r="G81" s="444">
        <f t="shared" si="1"/>
        <v>0</v>
      </c>
      <c r="H81" s="443">
        <f t="shared" si="2"/>
        <v>40.399175257731955</v>
      </c>
      <c r="I81" s="443">
        <f t="shared" si="3"/>
        <v>0</v>
      </c>
      <c r="J81" s="443">
        <f t="shared" si="4"/>
        <v>15.198247422680412</v>
      </c>
      <c r="K81" s="443">
        <f t="shared" si="5"/>
        <v>0</v>
      </c>
      <c r="L81" s="443">
        <f t="shared" si="6"/>
        <v>12.430515463917526</v>
      </c>
      <c r="M81" s="443">
        <f t="shared" si="7"/>
        <v>0</v>
      </c>
      <c r="N81" s="443">
        <f t="shared" si="8"/>
        <v>10.342577319587628</v>
      </c>
      <c r="O81" s="443">
        <f t="shared" si="9"/>
        <v>0</v>
      </c>
      <c r="P81" s="736"/>
    </row>
    <row r="82" spans="1:16" s="424" customFormat="1" ht="13.5" thickBot="1">
      <c r="A82" s="1122"/>
      <c r="B82" s="441"/>
      <c r="C82" s="458" t="s">
        <v>440</v>
      </c>
      <c r="D82" s="459" t="s">
        <v>418</v>
      </c>
      <c r="E82" s="460">
        <v>688.45360824742261</v>
      </c>
      <c r="F82" s="442">
        <f t="shared" si="0"/>
        <v>413.07216494845358</v>
      </c>
      <c r="G82" s="444">
        <f t="shared" si="1"/>
        <v>0</v>
      </c>
      <c r="H82" s="443">
        <f t="shared" si="2"/>
        <v>34.367604123711338</v>
      </c>
      <c r="I82" s="443">
        <f t="shared" si="3"/>
        <v>0</v>
      </c>
      <c r="J82" s="443">
        <f t="shared" si="4"/>
        <v>12.929158762886598</v>
      </c>
      <c r="K82" s="443">
        <f t="shared" si="5"/>
        <v>0</v>
      </c>
      <c r="L82" s="443">
        <f t="shared" si="6"/>
        <v>10.574647422680412</v>
      </c>
      <c r="M82" s="443">
        <f t="shared" si="7"/>
        <v>0</v>
      </c>
      <c r="N82" s="443">
        <f t="shared" si="8"/>
        <v>8.7984371134020609</v>
      </c>
      <c r="O82" s="443">
        <f t="shared" si="9"/>
        <v>0</v>
      </c>
      <c r="P82" s="736"/>
    </row>
    <row r="83" spans="1:16" s="437" customFormat="1" ht="13.5" thickBot="1">
      <c r="A83" s="1122"/>
      <c r="B83" s="441"/>
      <c r="C83" s="458" t="s">
        <v>441</v>
      </c>
      <c r="D83" s="459" t="s">
        <v>596</v>
      </c>
      <c r="E83" s="460">
        <v>846.39175257731961</v>
      </c>
      <c r="F83" s="442">
        <f t="shared" si="0"/>
        <v>507.83505154639175</v>
      </c>
      <c r="G83" s="444">
        <f t="shared" si="1"/>
        <v>0</v>
      </c>
      <c r="H83" s="443">
        <f t="shared" si="2"/>
        <v>42.251876288659794</v>
      </c>
      <c r="I83" s="443">
        <f t="shared" si="3"/>
        <v>0</v>
      </c>
      <c r="J83" s="443">
        <f t="shared" si="4"/>
        <v>15.895237113402063</v>
      </c>
      <c r="K83" s="443">
        <f t="shared" si="5"/>
        <v>0</v>
      </c>
      <c r="L83" s="443">
        <f t="shared" si="6"/>
        <v>13.000577319587629</v>
      </c>
      <c r="M83" s="443">
        <f t="shared" si="7"/>
        <v>0</v>
      </c>
      <c r="N83" s="443">
        <f t="shared" si="8"/>
        <v>10.816886597938144</v>
      </c>
      <c r="O83" s="443">
        <f t="shared" si="9"/>
        <v>0</v>
      </c>
      <c r="P83" s="736"/>
    </row>
    <row r="84" spans="1:16" s="437" customFormat="1" ht="13.5" thickBot="1">
      <c r="A84" s="1122"/>
      <c r="B84" s="441"/>
      <c r="C84" s="462" t="s">
        <v>442</v>
      </c>
      <c r="D84" s="459" t="s">
        <v>597</v>
      </c>
      <c r="E84" s="460">
        <v>711.34020618556701</v>
      </c>
      <c r="F84" s="442">
        <f t="shared" si="0"/>
        <v>426.8041237113402</v>
      </c>
      <c r="G84" s="444">
        <f t="shared" si="1"/>
        <v>0</v>
      </c>
      <c r="H84" s="443">
        <f t="shared" si="2"/>
        <v>35.510103092783503</v>
      </c>
      <c r="I84" s="443">
        <f t="shared" si="3"/>
        <v>0</v>
      </c>
      <c r="J84" s="443">
        <f t="shared" si="4"/>
        <v>13.358969072164948</v>
      </c>
      <c r="K84" s="443">
        <f t="shared" si="5"/>
        <v>0</v>
      </c>
      <c r="L84" s="443">
        <f t="shared" si="6"/>
        <v>10.926185567010309</v>
      </c>
      <c r="M84" s="443">
        <f t="shared" si="7"/>
        <v>0</v>
      </c>
      <c r="N84" s="443">
        <f t="shared" si="8"/>
        <v>9.0909278350515468</v>
      </c>
      <c r="O84" s="443">
        <f t="shared" si="9"/>
        <v>0</v>
      </c>
      <c r="P84" s="736"/>
    </row>
    <row r="85" spans="1:16" s="437" customFormat="1" ht="13.5" thickBot="1">
      <c r="A85" s="1122"/>
      <c r="B85" s="441"/>
      <c r="C85" s="461" t="s">
        <v>443</v>
      </c>
      <c r="D85" s="459" t="s">
        <v>598</v>
      </c>
      <c r="E85" s="460">
        <v>196.90721649484536</v>
      </c>
      <c r="F85" s="442">
        <f t="shared" si="0"/>
        <v>118.14432989690721</v>
      </c>
      <c r="G85" s="444">
        <f t="shared" si="1"/>
        <v>0</v>
      </c>
      <c r="H85" s="443">
        <f t="shared" si="2"/>
        <v>9.82960824742268</v>
      </c>
      <c r="I85" s="443">
        <f t="shared" si="3"/>
        <v>0</v>
      </c>
      <c r="J85" s="443">
        <f t="shared" si="4"/>
        <v>3.697917525773196</v>
      </c>
      <c r="K85" s="443">
        <f t="shared" si="5"/>
        <v>0</v>
      </c>
      <c r="L85" s="443">
        <f t="shared" si="6"/>
        <v>3.0244948453608247</v>
      </c>
      <c r="M85" s="443">
        <f t="shared" si="7"/>
        <v>0</v>
      </c>
      <c r="N85" s="443">
        <f t="shared" si="8"/>
        <v>2.5164742268041236</v>
      </c>
      <c r="O85" s="443">
        <f t="shared" si="9"/>
        <v>0</v>
      </c>
      <c r="P85" s="736"/>
    </row>
    <row r="86" spans="1:16" s="437" customFormat="1" ht="13.5" thickBot="1">
      <c r="A86" s="1122"/>
      <c r="B86" s="441"/>
      <c r="C86" s="461" t="s">
        <v>444</v>
      </c>
      <c r="D86" s="459" t="s">
        <v>680</v>
      </c>
      <c r="E86" s="460">
        <v>688.45360824742261</v>
      </c>
      <c r="F86" s="442">
        <f t="shared" si="0"/>
        <v>413.07216494845358</v>
      </c>
      <c r="G86" s="444">
        <f t="shared" si="1"/>
        <v>0</v>
      </c>
      <c r="H86" s="443">
        <f t="shared" si="2"/>
        <v>34.367604123711338</v>
      </c>
      <c r="I86" s="443">
        <f t="shared" si="3"/>
        <v>0</v>
      </c>
      <c r="J86" s="443">
        <f t="shared" si="4"/>
        <v>12.929158762886598</v>
      </c>
      <c r="K86" s="443">
        <f t="shared" si="5"/>
        <v>0</v>
      </c>
      <c r="L86" s="443">
        <f t="shared" si="6"/>
        <v>10.574647422680412</v>
      </c>
      <c r="M86" s="443">
        <f t="shared" si="7"/>
        <v>0</v>
      </c>
      <c r="N86" s="443">
        <f t="shared" si="8"/>
        <v>8.7984371134020609</v>
      </c>
      <c r="O86" s="443">
        <f t="shared" si="9"/>
        <v>0</v>
      </c>
      <c r="P86" s="736"/>
    </row>
    <row r="87" spans="1:16" s="437" customFormat="1" ht="13.5" thickBot="1">
      <c r="A87" s="1122"/>
      <c r="B87" s="441"/>
      <c r="C87" s="458" t="s">
        <v>116</v>
      </c>
      <c r="D87" s="459" t="s">
        <v>117</v>
      </c>
      <c r="E87" s="460">
        <v>257.73195876288662</v>
      </c>
      <c r="F87" s="59">
        <f t="shared" si="0"/>
        <v>154.63917525773198</v>
      </c>
      <c r="G87" s="62">
        <f t="shared" si="1"/>
        <v>0</v>
      </c>
      <c r="H87" s="60">
        <f t="shared" si="2"/>
        <v>12.865979381443299</v>
      </c>
      <c r="I87" s="60">
        <f t="shared" si="3"/>
        <v>0</v>
      </c>
      <c r="J87" s="60">
        <f t="shared" si="4"/>
        <v>4.8402061855670109</v>
      </c>
      <c r="K87" s="60">
        <f t="shared" si="5"/>
        <v>0</v>
      </c>
      <c r="L87" s="60">
        <f t="shared" si="6"/>
        <v>3.9587628865979387</v>
      </c>
      <c r="M87" s="60">
        <f t="shared" si="7"/>
        <v>0</v>
      </c>
      <c r="N87" s="60">
        <f t="shared" si="8"/>
        <v>3.293814432989691</v>
      </c>
      <c r="O87" s="60">
        <f t="shared" si="9"/>
        <v>0</v>
      </c>
      <c r="P87" s="736"/>
    </row>
    <row r="88" spans="1:16" s="437" customFormat="1" ht="13.5" thickBot="1">
      <c r="A88" s="1122"/>
      <c r="B88" s="441"/>
      <c r="C88" s="461" t="s">
        <v>3487</v>
      </c>
      <c r="D88" s="459" t="s">
        <v>3507</v>
      </c>
      <c r="E88" s="460">
        <v>407.21649484536084</v>
      </c>
      <c r="F88" s="442">
        <f t="shared" si="0"/>
        <v>244.32989690721649</v>
      </c>
      <c r="G88" s="444">
        <f t="shared" si="1"/>
        <v>0</v>
      </c>
      <c r="H88" s="443">
        <f t="shared" si="2"/>
        <v>20.328247422680413</v>
      </c>
      <c r="I88" s="443">
        <f t="shared" si="3"/>
        <v>0</v>
      </c>
      <c r="J88" s="443">
        <f t="shared" si="4"/>
        <v>7.647525773195877</v>
      </c>
      <c r="K88" s="443">
        <f t="shared" si="5"/>
        <v>0</v>
      </c>
      <c r="L88" s="443">
        <f t="shared" si="6"/>
        <v>6.254845360824743</v>
      </c>
      <c r="M88" s="443">
        <f t="shared" si="7"/>
        <v>0</v>
      </c>
      <c r="N88" s="443">
        <f t="shared" si="8"/>
        <v>5.204226804123711</v>
      </c>
      <c r="O88" s="443">
        <f t="shared" si="9"/>
        <v>0</v>
      </c>
      <c r="P88" s="736"/>
    </row>
    <row r="89" spans="1:16" s="437" customFormat="1" ht="13.5" thickBot="1">
      <c r="A89" s="1122"/>
      <c r="B89" s="441"/>
      <c r="C89" s="458" t="s">
        <v>3503</v>
      </c>
      <c r="D89" s="459" t="s">
        <v>3528</v>
      </c>
      <c r="E89" s="460">
        <v>3442.2680412371137</v>
      </c>
      <c r="F89" s="442">
        <f t="shared" si="0"/>
        <v>2065.3608247422681</v>
      </c>
      <c r="G89" s="444">
        <f t="shared" si="1"/>
        <v>0</v>
      </c>
      <c r="H89" s="443">
        <f t="shared" si="2"/>
        <v>171.8380206185567</v>
      </c>
      <c r="I89" s="443">
        <f t="shared" si="3"/>
        <v>0</v>
      </c>
      <c r="J89" s="443">
        <f t="shared" si="4"/>
        <v>64.645793814432992</v>
      </c>
      <c r="K89" s="443">
        <f t="shared" si="5"/>
        <v>0</v>
      </c>
      <c r="L89" s="443">
        <f t="shared" si="6"/>
        <v>52.873237113402062</v>
      </c>
      <c r="M89" s="443">
        <f t="shared" si="7"/>
        <v>0</v>
      </c>
      <c r="N89" s="443">
        <f t="shared" si="8"/>
        <v>43.99218556701031</v>
      </c>
      <c r="O89" s="443">
        <f t="shared" si="9"/>
        <v>0</v>
      </c>
      <c r="P89" s="736"/>
    </row>
    <row r="90" spans="1:16" s="437" customFormat="1" ht="13.5" thickBot="1">
      <c r="A90" s="1122"/>
      <c r="B90" s="441"/>
      <c r="C90" s="458" t="s">
        <v>694</v>
      </c>
      <c r="D90" s="459" t="s">
        <v>3527</v>
      </c>
      <c r="E90" s="460">
        <v>1835.8762886597938</v>
      </c>
      <c r="F90" s="442">
        <f t="shared" si="0"/>
        <v>1101.5257731958761</v>
      </c>
      <c r="G90" s="444">
        <f t="shared" si="1"/>
        <v>0</v>
      </c>
      <c r="H90" s="443">
        <f t="shared" si="2"/>
        <v>91.646944329896883</v>
      </c>
      <c r="I90" s="443">
        <f t="shared" si="3"/>
        <v>0</v>
      </c>
      <c r="J90" s="443">
        <f t="shared" si="4"/>
        <v>34.477756701030927</v>
      </c>
      <c r="K90" s="443">
        <f t="shared" si="5"/>
        <v>0</v>
      </c>
      <c r="L90" s="443">
        <f t="shared" si="6"/>
        <v>28.199059793814431</v>
      </c>
      <c r="M90" s="443">
        <f t="shared" si="7"/>
        <v>0</v>
      </c>
      <c r="N90" s="443">
        <f t="shared" si="8"/>
        <v>23.462498969072161</v>
      </c>
      <c r="O90" s="443">
        <f t="shared" si="9"/>
        <v>0</v>
      </c>
      <c r="P90" s="736"/>
    </row>
    <row r="91" spans="1:16" s="437" customFormat="1" ht="13.5" thickBot="1">
      <c r="A91" s="1122"/>
      <c r="B91" s="441"/>
      <c r="C91" s="458" t="s">
        <v>454</v>
      </c>
      <c r="D91" s="459" t="s">
        <v>3526</v>
      </c>
      <c r="E91" s="460">
        <v>872.1649484536083</v>
      </c>
      <c r="F91" s="442">
        <f t="shared" si="0"/>
        <v>523.29896907216494</v>
      </c>
      <c r="G91" s="444">
        <f t="shared" si="1"/>
        <v>0</v>
      </c>
      <c r="H91" s="443">
        <f t="shared" si="2"/>
        <v>43.538474226804119</v>
      </c>
      <c r="I91" s="443">
        <f t="shared" si="3"/>
        <v>0</v>
      </c>
      <c r="J91" s="443">
        <f t="shared" si="4"/>
        <v>16.379257731958763</v>
      </c>
      <c r="K91" s="443">
        <f t="shared" si="5"/>
        <v>0</v>
      </c>
      <c r="L91" s="443">
        <f t="shared" si="6"/>
        <v>13.396453608247423</v>
      </c>
      <c r="M91" s="443">
        <f t="shared" si="7"/>
        <v>0</v>
      </c>
      <c r="N91" s="443">
        <f t="shared" si="8"/>
        <v>11.146268041237112</v>
      </c>
      <c r="O91" s="443">
        <f t="shared" si="9"/>
        <v>0</v>
      </c>
      <c r="P91" s="736"/>
    </row>
    <row r="92" spans="1:16" s="437" customFormat="1" ht="13.5" thickBot="1">
      <c r="A92" s="1122"/>
      <c r="B92" s="441"/>
      <c r="C92" s="458" t="s">
        <v>70</v>
      </c>
      <c r="D92" s="459" t="s">
        <v>682</v>
      </c>
      <c r="E92" s="460">
        <v>61.855670103092784</v>
      </c>
      <c r="F92" s="442">
        <f t="shared" si="0"/>
        <v>37.113402061855666</v>
      </c>
      <c r="G92" s="444">
        <f t="shared" si="1"/>
        <v>0</v>
      </c>
      <c r="H92" s="443">
        <f t="shared" si="2"/>
        <v>3.0878350515463913</v>
      </c>
      <c r="I92" s="443">
        <f t="shared" si="3"/>
        <v>0</v>
      </c>
      <c r="J92" s="443">
        <f t="shared" si="4"/>
        <v>1.1616494845360823</v>
      </c>
      <c r="K92" s="443">
        <f t="shared" si="5"/>
        <v>0</v>
      </c>
      <c r="L92" s="443">
        <f t="shared" si="6"/>
        <v>0.95010309278350513</v>
      </c>
      <c r="M92" s="443">
        <f t="shared" si="7"/>
        <v>0</v>
      </c>
      <c r="N92" s="443">
        <f t="shared" si="8"/>
        <v>0.7905154639175257</v>
      </c>
      <c r="O92" s="443">
        <f t="shared" si="9"/>
        <v>0</v>
      </c>
      <c r="P92" s="736"/>
    </row>
    <row r="93" spans="1:16" s="437" customFormat="1" ht="13.5" thickBot="1">
      <c r="A93" s="1122"/>
      <c r="B93" s="441"/>
      <c r="C93" s="458" t="s">
        <v>456</v>
      </c>
      <c r="D93" s="459" t="s">
        <v>683</v>
      </c>
      <c r="E93" s="460">
        <v>123.71134020618557</v>
      </c>
      <c r="F93" s="59">
        <f t="shared" si="0"/>
        <v>74.226804123711332</v>
      </c>
      <c r="G93" s="62">
        <f t="shared" si="1"/>
        <v>0</v>
      </c>
      <c r="H93" s="60">
        <f t="shared" si="2"/>
        <v>6.1756701030927825</v>
      </c>
      <c r="I93" s="60">
        <f t="shared" si="3"/>
        <v>0</v>
      </c>
      <c r="J93" s="60">
        <f t="shared" si="4"/>
        <v>2.3232989690721646</v>
      </c>
      <c r="K93" s="60">
        <f t="shared" si="5"/>
        <v>0</v>
      </c>
      <c r="L93" s="60">
        <f t="shared" si="6"/>
        <v>1.9002061855670103</v>
      </c>
      <c r="M93" s="60">
        <f t="shared" si="7"/>
        <v>0</v>
      </c>
      <c r="N93" s="60">
        <f t="shared" si="8"/>
        <v>1.5810309278350514</v>
      </c>
      <c r="O93" s="60">
        <f t="shared" si="9"/>
        <v>0</v>
      </c>
      <c r="P93" s="736"/>
    </row>
    <row r="94" spans="1:16" s="437" customFormat="1" ht="13.5" thickBot="1">
      <c r="A94" s="1122"/>
      <c r="B94" s="441"/>
      <c r="C94" s="458" t="s">
        <v>3501</v>
      </c>
      <c r="D94" s="459" t="s">
        <v>3524</v>
      </c>
      <c r="E94" s="460">
        <v>114.43298969072166</v>
      </c>
      <c r="F94" s="442">
        <f t="shared" si="0"/>
        <v>68.659793814432987</v>
      </c>
      <c r="G94" s="444">
        <f t="shared" si="1"/>
        <v>0</v>
      </c>
      <c r="H94" s="443">
        <f t="shared" si="2"/>
        <v>5.7124948453608244</v>
      </c>
      <c r="I94" s="443">
        <f t="shared" si="3"/>
        <v>0</v>
      </c>
      <c r="J94" s="443">
        <f t="shared" si="4"/>
        <v>2.1490515463917528</v>
      </c>
      <c r="K94" s="443">
        <f t="shared" si="5"/>
        <v>0</v>
      </c>
      <c r="L94" s="443">
        <f t="shared" si="6"/>
        <v>1.7576907216494846</v>
      </c>
      <c r="M94" s="443">
        <f t="shared" si="7"/>
        <v>0</v>
      </c>
      <c r="N94" s="443">
        <f t="shared" si="8"/>
        <v>1.4624536082474227</v>
      </c>
      <c r="O94" s="443">
        <f t="shared" si="9"/>
        <v>0</v>
      </c>
      <c r="P94" s="736"/>
    </row>
    <row r="95" spans="1:16" s="437" customFormat="1" ht="13.5" thickBot="1">
      <c r="A95" s="1122"/>
      <c r="B95" s="441"/>
      <c r="C95" s="458" t="s">
        <v>695</v>
      </c>
      <c r="D95" s="459" t="s">
        <v>3531</v>
      </c>
      <c r="E95" s="460">
        <v>941.23711340206194</v>
      </c>
      <c r="F95" s="442">
        <f t="shared" si="0"/>
        <v>564.74226804123714</v>
      </c>
      <c r="G95" s="444">
        <f t="shared" si="1"/>
        <v>0</v>
      </c>
      <c r="H95" s="443">
        <f t="shared" si="2"/>
        <v>46.986556701030928</v>
      </c>
      <c r="I95" s="443">
        <f t="shared" si="3"/>
        <v>0</v>
      </c>
      <c r="J95" s="443">
        <f t="shared" si="4"/>
        <v>17.676432989690724</v>
      </c>
      <c r="K95" s="443">
        <f t="shared" si="5"/>
        <v>0</v>
      </c>
      <c r="L95" s="443">
        <f t="shared" si="6"/>
        <v>14.457402061855671</v>
      </c>
      <c r="M95" s="443">
        <f t="shared" si="7"/>
        <v>0</v>
      </c>
      <c r="N95" s="443">
        <f t="shared" si="8"/>
        <v>12.02901030927835</v>
      </c>
      <c r="O95" s="443">
        <f t="shared" si="9"/>
        <v>0</v>
      </c>
      <c r="P95" s="736"/>
    </row>
    <row r="96" spans="1:16" s="437" customFormat="1" ht="13.5" thickBot="1">
      <c r="A96" s="1122"/>
      <c r="B96" s="439"/>
      <c r="C96" s="458" t="s">
        <v>696</v>
      </c>
      <c r="D96" s="459" t="s">
        <v>3532</v>
      </c>
      <c r="E96" s="460">
        <v>1227.8350515463917</v>
      </c>
      <c r="F96" s="442">
        <f t="shared" si="0"/>
        <v>736.70103092783495</v>
      </c>
      <c r="G96" s="444">
        <f t="shared" si="1"/>
        <v>0</v>
      </c>
      <c r="H96" s="443">
        <f t="shared" si="2"/>
        <v>61.293525773195867</v>
      </c>
      <c r="I96" s="443">
        <f t="shared" si="3"/>
        <v>0</v>
      </c>
      <c r="J96" s="443">
        <f t="shared" si="4"/>
        <v>23.058742268041236</v>
      </c>
      <c r="K96" s="443">
        <f t="shared" si="5"/>
        <v>0</v>
      </c>
      <c r="L96" s="443">
        <f t="shared" si="6"/>
        <v>18.859546391752577</v>
      </c>
      <c r="M96" s="443">
        <f t="shared" si="7"/>
        <v>0</v>
      </c>
      <c r="N96" s="443">
        <f t="shared" si="8"/>
        <v>15.691731958762883</v>
      </c>
      <c r="O96" s="443">
        <f t="shared" si="9"/>
        <v>0</v>
      </c>
      <c r="P96" s="736"/>
    </row>
    <row r="97" spans="1:16" s="437" customFormat="1" ht="13.5" thickBot="1">
      <c r="A97" s="1122"/>
      <c r="B97" s="449"/>
      <c r="C97" s="458" t="s">
        <v>697</v>
      </c>
      <c r="D97" s="459" t="s">
        <v>3529</v>
      </c>
      <c r="E97" s="460">
        <v>1445.3608247422681</v>
      </c>
      <c r="F97" s="442">
        <f t="shared" si="0"/>
        <v>867.21649484536078</v>
      </c>
      <c r="G97" s="444">
        <f t="shared" si="1"/>
        <v>0</v>
      </c>
      <c r="H97" s="443">
        <f t="shared" si="2"/>
        <v>72.15241237113402</v>
      </c>
      <c r="I97" s="443">
        <f t="shared" si="3"/>
        <v>0</v>
      </c>
      <c r="J97" s="443">
        <f t="shared" si="4"/>
        <v>27.143876288659794</v>
      </c>
      <c r="K97" s="443">
        <f t="shared" si="5"/>
        <v>0</v>
      </c>
      <c r="L97" s="443">
        <f t="shared" si="6"/>
        <v>22.200742268041235</v>
      </c>
      <c r="M97" s="443">
        <f t="shared" si="7"/>
        <v>0</v>
      </c>
      <c r="N97" s="443">
        <f t="shared" si="8"/>
        <v>18.471711340206184</v>
      </c>
      <c r="O97" s="443">
        <f t="shared" si="9"/>
        <v>0</v>
      </c>
      <c r="P97" s="736"/>
    </row>
    <row r="98" spans="1:16" s="437" customFormat="1" ht="13.5" thickBot="1">
      <c r="A98" s="1122"/>
      <c r="B98" s="440"/>
      <c r="C98" s="462" t="s">
        <v>3504</v>
      </c>
      <c r="D98" s="459" t="s">
        <v>3530</v>
      </c>
      <c r="E98" s="460">
        <v>1720.6185567010309</v>
      </c>
      <c r="F98" s="442">
        <f t="shared" si="0"/>
        <v>1032.3711340206185</v>
      </c>
      <c r="G98" s="444">
        <f t="shared" si="1"/>
        <v>0</v>
      </c>
      <c r="H98" s="443">
        <f t="shared" si="2"/>
        <v>85.893278350515445</v>
      </c>
      <c r="I98" s="443">
        <f t="shared" si="3"/>
        <v>0</v>
      </c>
      <c r="J98" s="443">
        <f t="shared" si="4"/>
        <v>32.313216494845356</v>
      </c>
      <c r="K98" s="443">
        <f t="shared" si="5"/>
        <v>0</v>
      </c>
      <c r="L98" s="443">
        <f t="shared" si="6"/>
        <v>26.428701030927833</v>
      </c>
      <c r="M98" s="443">
        <f t="shared" si="7"/>
        <v>0</v>
      </c>
      <c r="N98" s="443">
        <f t="shared" si="8"/>
        <v>21.989505154639172</v>
      </c>
      <c r="O98" s="443">
        <f t="shared" si="9"/>
        <v>0</v>
      </c>
      <c r="P98" s="736"/>
    </row>
    <row r="99" spans="1:16" s="437" customFormat="1" ht="13.5" thickBot="1">
      <c r="A99" s="1122"/>
      <c r="B99" s="441"/>
      <c r="C99" s="458" t="s">
        <v>3494</v>
      </c>
      <c r="D99" s="459" t="s">
        <v>3517</v>
      </c>
      <c r="E99" s="460">
        <v>1144.3298969072166</v>
      </c>
      <c r="F99" s="442">
        <f t="shared" si="0"/>
        <v>686.59793814432999</v>
      </c>
      <c r="G99" s="444">
        <f t="shared" si="1"/>
        <v>0</v>
      </c>
      <c r="H99" s="443">
        <f t="shared" si="2"/>
        <v>57.124948453608255</v>
      </c>
      <c r="I99" s="443">
        <f t="shared" si="3"/>
        <v>0</v>
      </c>
      <c r="J99" s="443">
        <f t="shared" si="4"/>
        <v>21.490515463917529</v>
      </c>
      <c r="K99" s="443">
        <f t="shared" si="5"/>
        <v>0</v>
      </c>
      <c r="L99" s="443">
        <f t="shared" si="6"/>
        <v>17.576907216494849</v>
      </c>
      <c r="M99" s="443">
        <f t="shared" si="7"/>
        <v>0</v>
      </c>
      <c r="N99" s="443">
        <f t="shared" si="8"/>
        <v>14.624536082474229</v>
      </c>
      <c r="O99" s="443">
        <f t="shared" si="9"/>
        <v>0</v>
      </c>
      <c r="P99" s="736"/>
    </row>
    <row r="100" spans="1:16" s="437" customFormat="1" ht="13.5" thickBot="1">
      <c r="A100" s="1122"/>
      <c r="B100" s="445"/>
      <c r="C100" s="458" t="s">
        <v>450</v>
      </c>
      <c r="D100" s="459" t="s">
        <v>684</v>
      </c>
      <c r="E100" s="460">
        <v>604.12371134020623</v>
      </c>
      <c r="F100" s="442">
        <f t="shared" si="0"/>
        <v>362.4742268041237</v>
      </c>
      <c r="G100" s="444">
        <f t="shared" si="1"/>
        <v>0</v>
      </c>
      <c r="H100" s="443">
        <f t="shared" si="2"/>
        <v>30.157855670103089</v>
      </c>
      <c r="I100" s="443">
        <f t="shared" si="3"/>
        <v>0</v>
      </c>
      <c r="J100" s="443">
        <f t="shared" si="4"/>
        <v>11.345443298969073</v>
      </c>
      <c r="K100" s="443">
        <f t="shared" si="5"/>
        <v>0</v>
      </c>
      <c r="L100" s="443">
        <f t="shared" si="6"/>
        <v>9.2793402061855677</v>
      </c>
      <c r="M100" s="443">
        <f t="shared" si="7"/>
        <v>0</v>
      </c>
      <c r="N100" s="443">
        <f t="shared" si="8"/>
        <v>7.7207010309278346</v>
      </c>
      <c r="O100" s="443">
        <f t="shared" si="9"/>
        <v>0</v>
      </c>
      <c r="P100" s="736"/>
    </row>
    <row r="101" spans="1:16" s="437" customFormat="1" ht="13.5" thickBot="1">
      <c r="A101" s="1122"/>
      <c r="B101" s="440"/>
      <c r="C101" s="458" t="s">
        <v>3499</v>
      </c>
      <c r="D101" s="459" t="s">
        <v>3522</v>
      </c>
      <c r="E101" s="460">
        <v>604.12371134020623</v>
      </c>
      <c r="F101" s="442">
        <f t="shared" si="0"/>
        <v>362.4742268041237</v>
      </c>
      <c r="G101" s="444">
        <f t="shared" si="1"/>
        <v>0</v>
      </c>
      <c r="H101" s="443">
        <f t="shared" si="2"/>
        <v>30.157855670103089</v>
      </c>
      <c r="I101" s="443">
        <f t="shared" si="3"/>
        <v>0</v>
      </c>
      <c r="J101" s="443">
        <f t="shared" si="4"/>
        <v>11.345443298969073</v>
      </c>
      <c r="K101" s="443">
        <f t="shared" si="5"/>
        <v>0</v>
      </c>
      <c r="L101" s="443">
        <f t="shared" si="6"/>
        <v>9.2793402061855677</v>
      </c>
      <c r="M101" s="443">
        <f t="shared" si="7"/>
        <v>0</v>
      </c>
      <c r="N101" s="443">
        <f t="shared" si="8"/>
        <v>7.7207010309278346</v>
      </c>
      <c r="O101" s="443">
        <f t="shared" si="9"/>
        <v>0</v>
      </c>
      <c r="P101" s="736"/>
    </row>
    <row r="102" spans="1:16" s="437" customFormat="1" ht="13.5" thickBot="1">
      <c r="A102" s="1122"/>
      <c r="B102" s="441"/>
      <c r="C102" s="458" t="s">
        <v>3500</v>
      </c>
      <c r="D102" s="459" t="s">
        <v>3523</v>
      </c>
      <c r="E102" s="460">
        <v>876.28865979381442</v>
      </c>
      <c r="F102" s="442">
        <f t="shared" si="0"/>
        <v>525.77319587628858</v>
      </c>
      <c r="G102" s="444">
        <f t="shared" si="1"/>
        <v>0</v>
      </c>
      <c r="H102" s="443">
        <f t="shared" si="2"/>
        <v>43.74432989690721</v>
      </c>
      <c r="I102" s="443">
        <f t="shared" si="3"/>
        <v>0</v>
      </c>
      <c r="J102" s="443">
        <f t="shared" si="4"/>
        <v>16.456701030927832</v>
      </c>
      <c r="K102" s="443">
        <f t="shared" si="5"/>
        <v>0</v>
      </c>
      <c r="L102" s="443">
        <f t="shared" si="6"/>
        <v>13.459793814432988</v>
      </c>
      <c r="M102" s="443">
        <f t="shared" si="7"/>
        <v>0</v>
      </c>
      <c r="N102" s="443">
        <f t="shared" si="8"/>
        <v>11.198969072164946</v>
      </c>
      <c r="O102" s="443">
        <f t="shared" si="9"/>
        <v>0</v>
      </c>
      <c r="P102" s="736"/>
    </row>
    <row r="103" spans="1:16" s="437" customFormat="1" ht="13.5" thickBot="1">
      <c r="A103" s="1122"/>
      <c r="B103" s="445"/>
      <c r="C103" s="458" t="s">
        <v>698</v>
      </c>
      <c r="D103" s="459" t="s">
        <v>685</v>
      </c>
      <c r="E103" s="460">
        <v>1262.8865979381444</v>
      </c>
      <c r="F103" s="442">
        <f t="shared" si="0"/>
        <v>757.73195876288662</v>
      </c>
      <c r="G103" s="444">
        <f t="shared" si="1"/>
        <v>0</v>
      </c>
      <c r="H103" s="443">
        <f t="shared" si="2"/>
        <v>63.043298969072161</v>
      </c>
      <c r="I103" s="443">
        <f t="shared" si="3"/>
        <v>0</v>
      </c>
      <c r="J103" s="443">
        <f t="shared" si="4"/>
        <v>23.717010309278351</v>
      </c>
      <c r="K103" s="443">
        <f t="shared" si="5"/>
        <v>0</v>
      </c>
      <c r="L103" s="443">
        <f t="shared" si="6"/>
        <v>19.397938144329899</v>
      </c>
      <c r="M103" s="443">
        <f t="shared" si="7"/>
        <v>0</v>
      </c>
      <c r="N103" s="443">
        <f t="shared" si="8"/>
        <v>16.139690721649483</v>
      </c>
      <c r="O103" s="443">
        <f t="shared" si="9"/>
        <v>0</v>
      </c>
      <c r="P103" s="736"/>
    </row>
    <row r="104" spans="1:16" s="437" customFormat="1" ht="13.5" thickBot="1">
      <c r="A104" s="1122"/>
      <c r="B104" s="441"/>
      <c r="C104" s="458" t="s">
        <v>493</v>
      </c>
      <c r="D104" s="459" t="s">
        <v>52</v>
      </c>
      <c r="E104" s="460">
        <v>49.175257731958766</v>
      </c>
      <c r="F104" s="59">
        <f t="shared" si="0"/>
        <v>29.505154639175259</v>
      </c>
      <c r="G104" s="62">
        <f t="shared" si="1"/>
        <v>0</v>
      </c>
      <c r="H104" s="60">
        <f t="shared" si="2"/>
        <v>2.4548288659793815</v>
      </c>
      <c r="I104" s="60">
        <f t="shared" si="3"/>
        <v>0</v>
      </c>
      <c r="J104" s="60">
        <f t="shared" si="4"/>
        <v>0.92351134020618564</v>
      </c>
      <c r="K104" s="60">
        <f t="shared" si="5"/>
        <v>0</v>
      </c>
      <c r="L104" s="60">
        <f t="shared" si="6"/>
        <v>0.75533195876288672</v>
      </c>
      <c r="M104" s="60">
        <f t="shared" si="7"/>
        <v>0</v>
      </c>
      <c r="N104" s="60">
        <f t="shared" si="8"/>
        <v>0.62845979381443307</v>
      </c>
      <c r="O104" s="60">
        <f t="shared" si="9"/>
        <v>0</v>
      </c>
      <c r="P104" s="736"/>
    </row>
    <row r="105" spans="1:16" s="437" customFormat="1" ht="13.5" thickBot="1">
      <c r="A105" s="1122"/>
      <c r="B105" s="447"/>
      <c r="C105" s="458" t="s">
        <v>478</v>
      </c>
      <c r="D105" s="459" t="s">
        <v>686</v>
      </c>
      <c r="E105" s="460">
        <v>27.319587628865982</v>
      </c>
      <c r="F105" s="59">
        <f t="shared" si="0"/>
        <v>16.39175257731959</v>
      </c>
      <c r="G105" s="62">
        <f t="shared" si="1"/>
        <v>0</v>
      </c>
      <c r="H105" s="60">
        <f t="shared" si="2"/>
        <v>1.3637938144329897</v>
      </c>
      <c r="I105" s="60">
        <f t="shared" si="3"/>
        <v>0</v>
      </c>
      <c r="J105" s="60">
        <f t="shared" si="4"/>
        <v>0.51306185567010321</v>
      </c>
      <c r="K105" s="60">
        <f t="shared" si="5"/>
        <v>0</v>
      </c>
      <c r="L105" s="60">
        <f t="shared" si="6"/>
        <v>0.41962886597938154</v>
      </c>
      <c r="M105" s="60">
        <f t="shared" si="7"/>
        <v>0</v>
      </c>
      <c r="N105" s="60">
        <f t="shared" si="8"/>
        <v>0.34914432989690725</v>
      </c>
      <c r="O105" s="60">
        <f t="shared" si="9"/>
        <v>0</v>
      </c>
      <c r="P105" s="736"/>
    </row>
    <row r="106" spans="1:16" s="437" customFormat="1" ht="13.5" thickBot="1">
      <c r="A106" s="1122"/>
      <c r="B106" s="440"/>
      <c r="C106" s="462" t="s">
        <v>33</v>
      </c>
      <c r="D106" s="459" t="s">
        <v>3509</v>
      </c>
      <c r="E106" s="460">
        <v>30.927835051546392</v>
      </c>
      <c r="F106" s="442">
        <f t="shared" si="0"/>
        <v>18.556701030927833</v>
      </c>
      <c r="G106" s="444">
        <f t="shared" si="1"/>
        <v>0</v>
      </c>
      <c r="H106" s="443">
        <f t="shared" si="2"/>
        <v>1.5439175257731956</v>
      </c>
      <c r="I106" s="443">
        <f t="shared" si="3"/>
        <v>0</v>
      </c>
      <c r="J106" s="443">
        <f t="shared" si="4"/>
        <v>0.58082474226804115</v>
      </c>
      <c r="K106" s="443">
        <f t="shared" si="5"/>
        <v>0</v>
      </c>
      <c r="L106" s="443">
        <f t="shared" si="6"/>
        <v>0.47505154639175257</v>
      </c>
      <c r="M106" s="443">
        <f t="shared" si="7"/>
        <v>0</v>
      </c>
      <c r="N106" s="443">
        <f t="shared" si="8"/>
        <v>0.39525773195876285</v>
      </c>
      <c r="O106" s="443">
        <f t="shared" si="9"/>
        <v>0</v>
      </c>
      <c r="P106" s="736"/>
    </row>
    <row r="107" spans="1:16" s="437" customFormat="1" ht="13.5" thickBot="1">
      <c r="A107" s="1122"/>
      <c r="B107" s="440"/>
      <c r="C107" s="458" t="s">
        <v>699</v>
      </c>
      <c r="D107" s="459" t="s">
        <v>687</v>
      </c>
      <c r="E107" s="460">
        <v>586.59793814432987</v>
      </c>
      <c r="F107" s="59">
        <f t="shared" si="0"/>
        <v>351.95876288659792</v>
      </c>
      <c r="G107" s="62">
        <f t="shared" si="1"/>
        <v>0</v>
      </c>
      <c r="H107" s="60">
        <f t="shared" si="2"/>
        <v>29.282969072164946</v>
      </c>
      <c r="I107" s="60">
        <f t="shared" si="3"/>
        <v>0</v>
      </c>
      <c r="J107" s="60">
        <f t="shared" si="4"/>
        <v>11.016309278350516</v>
      </c>
      <c r="K107" s="60">
        <f t="shared" si="5"/>
        <v>0</v>
      </c>
      <c r="L107" s="60">
        <f t="shared" si="6"/>
        <v>9.0101443298969066</v>
      </c>
      <c r="M107" s="60">
        <f t="shared" si="7"/>
        <v>0</v>
      </c>
      <c r="N107" s="60">
        <f t="shared" si="8"/>
        <v>7.4967216494845355</v>
      </c>
      <c r="O107" s="60">
        <f t="shared" si="9"/>
        <v>0</v>
      </c>
      <c r="P107" s="736"/>
    </row>
    <row r="108" spans="1:16" s="437" customFormat="1" ht="13.5" thickBot="1">
      <c r="A108" s="1122"/>
      <c r="B108" s="441"/>
      <c r="C108" s="462" t="s">
        <v>700</v>
      </c>
      <c r="D108" s="459" t="s">
        <v>3513</v>
      </c>
      <c r="E108" s="460">
        <v>268.04123711340208</v>
      </c>
      <c r="F108" s="442">
        <f t="shared" si="0"/>
        <v>160.82474226804123</v>
      </c>
      <c r="G108" s="444">
        <f t="shared" si="1"/>
        <v>0</v>
      </c>
      <c r="H108" s="443">
        <f t="shared" si="2"/>
        <v>13.38061855670103</v>
      </c>
      <c r="I108" s="443">
        <f t="shared" si="3"/>
        <v>0</v>
      </c>
      <c r="J108" s="443">
        <f t="shared" si="4"/>
        <v>5.0338144329896908</v>
      </c>
      <c r="K108" s="443">
        <f t="shared" si="5"/>
        <v>0</v>
      </c>
      <c r="L108" s="443">
        <f t="shared" si="6"/>
        <v>4.1171134020618556</v>
      </c>
      <c r="M108" s="443">
        <f t="shared" si="7"/>
        <v>0</v>
      </c>
      <c r="N108" s="443">
        <f t="shared" si="8"/>
        <v>3.4255670103092783</v>
      </c>
      <c r="O108" s="443">
        <f t="shared" si="9"/>
        <v>0</v>
      </c>
      <c r="P108" s="736"/>
    </row>
    <row r="109" spans="1:16" s="437" customFormat="1" ht="13.5" thickBot="1">
      <c r="A109" s="1122"/>
      <c r="B109" s="440"/>
      <c r="C109" s="458" t="s">
        <v>701</v>
      </c>
      <c r="D109" s="459" t="s">
        <v>688</v>
      </c>
      <c r="E109" s="460">
        <v>305.15463917525773</v>
      </c>
      <c r="F109" s="442">
        <f t="shared" si="0"/>
        <v>183.09278350515464</v>
      </c>
      <c r="G109" s="444">
        <f t="shared" si="1"/>
        <v>0</v>
      </c>
      <c r="H109" s="443">
        <f t="shared" si="2"/>
        <v>15.233319587628866</v>
      </c>
      <c r="I109" s="443">
        <f t="shared" si="3"/>
        <v>0</v>
      </c>
      <c r="J109" s="443">
        <f t="shared" si="4"/>
        <v>5.7308041237113407</v>
      </c>
      <c r="K109" s="443">
        <f t="shared" si="5"/>
        <v>0</v>
      </c>
      <c r="L109" s="443">
        <f t="shared" si="6"/>
        <v>4.6871752577319592</v>
      </c>
      <c r="M109" s="443">
        <f t="shared" si="7"/>
        <v>0</v>
      </c>
      <c r="N109" s="443">
        <f t="shared" si="8"/>
        <v>3.8998762886597937</v>
      </c>
      <c r="O109" s="443">
        <f t="shared" si="9"/>
        <v>0</v>
      </c>
      <c r="P109" s="736"/>
    </row>
    <row r="110" spans="1:16" ht="13.5" thickBot="1">
      <c r="A110" s="1122"/>
      <c r="B110" s="438"/>
      <c r="C110" s="660" t="s">
        <v>453</v>
      </c>
      <c r="D110" s="662" t="s">
        <v>32</v>
      </c>
      <c r="E110" s="664">
        <v>115.4639175257732</v>
      </c>
      <c r="F110" s="442">
        <f t="shared" si="0"/>
        <v>69.278350515463913</v>
      </c>
      <c r="G110" s="444">
        <f t="shared" si="1"/>
        <v>0</v>
      </c>
      <c r="H110" s="443">
        <f t="shared" si="2"/>
        <v>5.7639587628865971</v>
      </c>
      <c r="I110" s="443">
        <f t="shared" si="3"/>
        <v>0</v>
      </c>
      <c r="J110" s="466">
        <f t="shared" si="4"/>
        <v>2.1684123711340204</v>
      </c>
      <c r="K110" s="443">
        <f t="shared" si="5"/>
        <v>0</v>
      </c>
      <c r="L110" s="443">
        <f t="shared" si="6"/>
        <v>1.7735257731958762</v>
      </c>
      <c r="M110" s="443">
        <f t="shared" si="7"/>
        <v>0</v>
      </c>
      <c r="N110" s="466">
        <f t="shared" si="8"/>
        <v>1.4756288659793813</v>
      </c>
      <c r="O110" s="443">
        <f t="shared" si="9"/>
        <v>0</v>
      </c>
      <c r="P110" s="736"/>
    </row>
    <row r="111" spans="1:16" s="437" customFormat="1" ht="13.5" thickBot="1">
      <c r="A111" s="1123"/>
      <c r="B111" s="441"/>
      <c r="C111" s="458" t="s">
        <v>3493</v>
      </c>
      <c r="D111" s="459" t="s">
        <v>3516</v>
      </c>
      <c r="E111" s="460">
        <v>5164.9484536082473</v>
      </c>
      <c r="F111" s="442">
        <f t="shared" si="0"/>
        <v>3098.9690721649481</v>
      </c>
      <c r="G111" s="444">
        <f t="shared" si="1"/>
        <v>0</v>
      </c>
      <c r="H111" s="443">
        <f t="shared" si="2"/>
        <v>257.83422680412366</v>
      </c>
      <c r="I111" s="443">
        <f t="shared" si="3"/>
        <v>0</v>
      </c>
      <c r="J111" s="443">
        <f t="shared" si="4"/>
        <v>96.997731958762884</v>
      </c>
      <c r="K111" s="443">
        <f t="shared" si="5"/>
        <v>0</v>
      </c>
      <c r="L111" s="443">
        <f t="shared" si="6"/>
        <v>79.333608247422674</v>
      </c>
      <c r="M111" s="443">
        <f t="shared" si="7"/>
        <v>0</v>
      </c>
      <c r="N111" s="443">
        <f t="shared" si="8"/>
        <v>66.008041237113389</v>
      </c>
      <c r="O111" s="443">
        <f t="shared" si="9"/>
        <v>0</v>
      </c>
      <c r="P111" s="736"/>
    </row>
    <row r="112" spans="1:16" s="437" customFormat="1" ht="15">
      <c r="B112" s="378"/>
      <c r="C112" s="378"/>
      <c r="D112" s="1059" t="s">
        <v>183</v>
      </c>
      <c r="E112" s="1124"/>
      <c r="F112" s="1124"/>
      <c r="G112" s="450">
        <f t="array" ref="G112">SUM(G49:G111)+G37:G49:G111+G41:G49:G111+G45</f>
        <v>0</v>
      </c>
      <c r="H112" s="451" t="s">
        <v>184</v>
      </c>
      <c r="I112" s="450">
        <f t="array" ref="I112">SUM(I49:I111)+I37:I49:I111+I41:I49:I111+I45</f>
        <v>0</v>
      </c>
      <c r="J112" s="451" t="s">
        <v>185</v>
      </c>
      <c r="K112" s="450">
        <f t="array" ref="K112">SUM(K49:K111)+K37:K49:K111+K41:K49:K111+K45</f>
        <v>0</v>
      </c>
      <c r="L112" s="451" t="s">
        <v>186</v>
      </c>
      <c r="M112" s="450">
        <f t="array" ref="M112">SUM(M49:M111)+M37:M49:M111+M41:M49:M111+M45</f>
        <v>0</v>
      </c>
      <c r="N112" s="451" t="s">
        <v>187</v>
      </c>
      <c r="O112" s="450">
        <f t="array" ref="O112">SUM(O49:O111)+O37:O49:O111+O41:O49:O111+O45</f>
        <v>0</v>
      </c>
    </row>
    <row r="113" spans="2:8">
      <c r="F113" s="452"/>
      <c r="G113" s="452"/>
      <c r="H113" s="453"/>
    </row>
    <row r="114" spans="2:8" ht="15" customHeight="1">
      <c r="B114" s="454"/>
      <c r="F114" s="452"/>
      <c r="G114" s="452"/>
    </row>
    <row r="115" spans="2:8" ht="15" customHeight="1">
      <c r="B115" s="454"/>
      <c r="F115" s="452"/>
      <c r="G115" s="452"/>
    </row>
    <row r="116" spans="2:8">
      <c r="F116" s="452"/>
      <c r="G116" s="452"/>
    </row>
    <row r="117" spans="2:8">
      <c r="F117" s="452"/>
      <c r="G117" s="452"/>
    </row>
    <row r="118" spans="2:8">
      <c r="F118" s="452"/>
      <c r="G118" s="452"/>
    </row>
    <row r="119" spans="2:8">
      <c r="F119" s="452"/>
      <c r="G119" s="452"/>
    </row>
    <row r="120" spans="2:8">
      <c r="F120" s="452"/>
      <c r="G120" s="452"/>
    </row>
    <row r="121" spans="2:8">
      <c r="F121" s="452"/>
      <c r="G121" s="452"/>
    </row>
    <row r="122" spans="2:8">
      <c r="F122" s="452"/>
      <c r="G122" s="452"/>
    </row>
    <row r="123" spans="2:8">
      <c r="F123" s="452"/>
      <c r="G123" s="452"/>
    </row>
    <row r="124" spans="2:8">
      <c r="F124" s="452"/>
      <c r="G124" s="452"/>
    </row>
    <row r="125" spans="2:8">
      <c r="F125" s="452"/>
      <c r="G125" s="452"/>
    </row>
    <row r="126" spans="2:8">
      <c r="F126" s="452"/>
      <c r="G126" s="452"/>
    </row>
    <row r="127" spans="2:8">
      <c r="F127" s="452"/>
      <c r="G127" s="452"/>
    </row>
    <row r="128" spans="2:8">
      <c r="F128" s="452"/>
      <c r="G128" s="452"/>
    </row>
    <row r="129" spans="2:7">
      <c r="F129" s="452"/>
      <c r="G129" s="452"/>
    </row>
    <row r="130" spans="2:7">
      <c r="F130" s="452"/>
      <c r="G130" s="452"/>
    </row>
    <row r="131" spans="2:7">
      <c r="B131" s="454"/>
      <c r="C131" s="454"/>
      <c r="F131" s="452"/>
      <c r="G131" s="452"/>
    </row>
    <row r="132" spans="2:7">
      <c r="F132" s="452"/>
      <c r="G132" s="452"/>
    </row>
    <row r="133" spans="2:7">
      <c r="F133" s="452"/>
      <c r="G133" s="452"/>
    </row>
    <row r="134" spans="2:7">
      <c r="F134" s="452"/>
      <c r="G134" s="452"/>
    </row>
    <row r="135" spans="2:7">
      <c r="F135" s="452"/>
      <c r="G135" s="452"/>
    </row>
    <row r="136" spans="2:7">
      <c r="F136" s="452"/>
      <c r="G136" s="452"/>
    </row>
    <row r="137" spans="2:7">
      <c r="F137" s="452"/>
      <c r="G137" s="452"/>
    </row>
    <row r="138" spans="2:7">
      <c r="F138" s="452"/>
      <c r="G138" s="452"/>
    </row>
    <row r="139" spans="2:7">
      <c r="F139" s="452"/>
      <c r="G139" s="452"/>
    </row>
    <row r="140" spans="2:7">
      <c r="F140" s="452"/>
      <c r="G140" s="452"/>
    </row>
    <row r="141" spans="2:7">
      <c r="F141" s="452"/>
      <c r="G141" s="452"/>
    </row>
    <row r="142" spans="2:7">
      <c r="F142" s="452"/>
      <c r="G142" s="452"/>
    </row>
    <row r="143" spans="2:7">
      <c r="F143" s="452"/>
      <c r="G143" s="452"/>
    </row>
    <row r="144" spans="2:7">
      <c r="F144" s="452"/>
      <c r="G144" s="452"/>
    </row>
    <row r="145" spans="6:7">
      <c r="F145" s="452"/>
      <c r="G145" s="452"/>
    </row>
    <row r="146" spans="6:7">
      <c r="F146" s="452"/>
      <c r="G146" s="452"/>
    </row>
    <row r="147" spans="6:7">
      <c r="F147" s="452"/>
      <c r="G147" s="452"/>
    </row>
    <row r="148" spans="6:7">
      <c r="F148" s="452"/>
      <c r="G148" s="452"/>
    </row>
    <row r="149" spans="6:7">
      <c r="F149" s="452"/>
      <c r="G149" s="452"/>
    </row>
    <row r="150" spans="6:7">
      <c r="F150" s="452"/>
      <c r="G150" s="452"/>
    </row>
    <row r="151" spans="6:7">
      <c r="F151" s="452"/>
      <c r="G151" s="452"/>
    </row>
    <row r="152" spans="6:7">
      <c r="F152" s="452"/>
      <c r="G152" s="452"/>
    </row>
    <row r="153" spans="6:7">
      <c r="F153" s="452"/>
      <c r="G153" s="452"/>
    </row>
    <row r="154" spans="6:7">
      <c r="F154" s="452"/>
      <c r="G154" s="452"/>
    </row>
    <row r="155" spans="6:7">
      <c r="F155" s="452"/>
      <c r="G155" s="452"/>
    </row>
    <row r="156" spans="6:7">
      <c r="F156" s="452"/>
      <c r="G156" s="452"/>
    </row>
    <row r="157" spans="6:7">
      <c r="F157" s="452"/>
      <c r="G157" s="452"/>
    </row>
    <row r="158" spans="6:7">
      <c r="F158" s="452"/>
      <c r="G158" s="452"/>
    </row>
    <row r="159" spans="6:7">
      <c r="F159" s="452"/>
      <c r="G159" s="452"/>
    </row>
    <row r="160" spans="6:7">
      <c r="F160" s="452"/>
      <c r="G160" s="452"/>
    </row>
    <row r="161" spans="6:7">
      <c r="F161" s="452"/>
      <c r="G161" s="452"/>
    </row>
    <row r="162" spans="6:7">
      <c r="F162" s="452"/>
      <c r="G162" s="452"/>
    </row>
    <row r="163" spans="6:7">
      <c r="F163" s="452"/>
      <c r="G163" s="452"/>
    </row>
    <row r="164" spans="6:7">
      <c r="F164" s="452"/>
      <c r="G164" s="452"/>
    </row>
    <row r="165" spans="6:7">
      <c r="F165" s="452"/>
      <c r="G165" s="452"/>
    </row>
    <row r="166" spans="6:7">
      <c r="F166" s="452"/>
      <c r="G166" s="452"/>
    </row>
    <row r="167" spans="6:7">
      <c r="F167" s="452"/>
      <c r="G167" s="452"/>
    </row>
    <row r="168" spans="6:7">
      <c r="F168" s="452"/>
      <c r="G168" s="452"/>
    </row>
    <row r="169" spans="6:7">
      <c r="F169" s="452"/>
      <c r="G169" s="452"/>
    </row>
    <row r="170" spans="6:7">
      <c r="F170" s="452"/>
      <c r="G170" s="452"/>
    </row>
    <row r="171" spans="6:7">
      <c r="F171" s="452"/>
      <c r="G171" s="452"/>
    </row>
    <row r="172" spans="6:7">
      <c r="F172" s="452"/>
      <c r="G172" s="452"/>
    </row>
    <row r="173" spans="6:7">
      <c r="F173" s="452"/>
      <c r="G173" s="452"/>
    </row>
    <row r="174" spans="6:7">
      <c r="F174" s="452"/>
      <c r="G174" s="452"/>
    </row>
    <row r="175" spans="6:7">
      <c r="F175" s="452"/>
      <c r="G175" s="452"/>
    </row>
    <row r="176" spans="6:7">
      <c r="F176" s="452"/>
      <c r="G176" s="452"/>
    </row>
    <row r="177" spans="6:7">
      <c r="F177" s="452"/>
      <c r="G177" s="452"/>
    </row>
    <row r="178" spans="6:7">
      <c r="F178" s="452"/>
      <c r="G178" s="452"/>
    </row>
    <row r="179" spans="6:7">
      <c r="F179" s="452"/>
      <c r="G179" s="452"/>
    </row>
    <row r="180" spans="6:7">
      <c r="F180" s="452"/>
      <c r="G180" s="452"/>
    </row>
    <row r="181" spans="6:7">
      <c r="F181" s="452"/>
      <c r="G181" s="452"/>
    </row>
    <row r="182" spans="6:7">
      <c r="F182" s="452"/>
      <c r="G182" s="452"/>
    </row>
    <row r="183" spans="6:7">
      <c r="F183" s="452"/>
      <c r="G183" s="452"/>
    </row>
    <row r="184" spans="6:7">
      <c r="F184" s="452"/>
      <c r="G184" s="452"/>
    </row>
    <row r="185" spans="6:7">
      <c r="F185" s="452"/>
      <c r="G185" s="452"/>
    </row>
    <row r="186" spans="6:7">
      <c r="F186" s="452"/>
      <c r="G186" s="452"/>
    </row>
    <row r="187" spans="6:7">
      <c r="F187" s="452"/>
      <c r="G187" s="452"/>
    </row>
    <row r="188" spans="6:7">
      <c r="F188" s="452"/>
      <c r="G188" s="452"/>
    </row>
    <row r="189" spans="6:7">
      <c r="F189" s="452"/>
      <c r="G189" s="452"/>
    </row>
    <row r="190" spans="6:7">
      <c r="F190" s="452"/>
      <c r="G190" s="452"/>
    </row>
    <row r="191" spans="6:7">
      <c r="F191" s="452"/>
      <c r="G191" s="452"/>
    </row>
    <row r="192" spans="6:7">
      <c r="F192" s="452"/>
      <c r="G192" s="452"/>
    </row>
    <row r="193" spans="6:7">
      <c r="F193" s="452"/>
      <c r="G193" s="452"/>
    </row>
    <row r="194" spans="6:7">
      <c r="F194" s="452"/>
      <c r="G194" s="452"/>
    </row>
    <row r="195" spans="6:7">
      <c r="F195" s="452"/>
      <c r="G195" s="452"/>
    </row>
    <row r="196" spans="6:7">
      <c r="F196" s="452"/>
      <c r="G196" s="452"/>
    </row>
    <row r="197" spans="6:7">
      <c r="F197" s="452"/>
      <c r="G197" s="452"/>
    </row>
    <row r="198" spans="6:7">
      <c r="F198" s="452"/>
      <c r="G198" s="452"/>
    </row>
    <row r="199" spans="6:7">
      <c r="F199" s="452"/>
      <c r="G199" s="452"/>
    </row>
    <row r="200" spans="6:7">
      <c r="F200" s="452"/>
      <c r="G200" s="452"/>
    </row>
    <row r="201" spans="6:7">
      <c r="F201" s="452"/>
      <c r="G201" s="452"/>
    </row>
    <row r="202" spans="6:7">
      <c r="F202" s="452"/>
      <c r="G202" s="452"/>
    </row>
    <row r="203" spans="6:7">
      <c r="F203" s="452"/>
      <c r="G203" s="452"/>
    </row>
    <row r="204" spans="6:7">
      <c r="F204" s="452"/>
      <c r="G204" s="452"/>
    </row>
    <row r="205" spans="6:7">
      <c r="F205" s="452"/>
      <c r="G205" s="452"/>
    </row>
    <row r="206" spans="6:7">
      <c r="F206" s="452"/>
      <c r="G206" s="452"/>
    </row>
    <row r="207" spans="6:7">
      <c r="F207" s="452"/>
      <c r="G207" s="452"/>
    </row>
    <row r="208" spans="6:7">
      <c r="F208" s="452"/>
      <c r="G208" s="452"/>
    </row>
    <row r="209" spans="6:7">
      <c r="F209" s="452"/>
      <c r="G209" s="452"/>
    </row>
    <row r="210" spans="6:7">
      <c r="F210" s="452"/>
      <c r="G210" s="452"/>
    </row>
    <row r="211" spans="6:7">
      <c r="F211" s="452"/>
      <c r="G211" s="452"/>
    </row>
    <row r="212" spans="6:7">
      <c r="F212" s="452"/>
      <c r="G212" s="452"/>
    </row>
    <row r="213" spans="6:7">
      <c r="F213" s="452"/>
      <c r="G213" s="452"/>
    </row>
    <row r="214" spans="6:7">
      <c r="F214" s="452"/>
      <c r="G214" s="452"/>
    </row>
    <row r="215" spans="6:7">
      <c r="F215" s="452"/>
      <c r="G215" s="452"/>
    </row>
    <row r="216" spans="6:7">
      <c r="F216" s="452"/>
      <c r="G216" s="452"/>
    </row>
    <row r="217" spans="6:7">
      <c r="F217" s="452"/>
      <c r="G217" s="452"/>
    </row>
  </sheetData>
  <mergeCells count="58">
    <mergeCell ref="F35:G35"/>
    <mergeCell ref="O45:O47"/>
    <mergeCell ref="A48:O48"/>
    <mergeCell ref="A49:A111"/>
    <mergeCell ref="D112:F112"/>
    <mergeCell ref="A45:A47"/>
    <mergeCell ref="B45:B47"/>
    <mergeCell ref="G45:G47"/>
    <mergeCell ref="I45:I47"/>
    <mergeCell ref="K45:K47"/>
    <mergeCell ref="M45:M47"/>
    <mergeCell ref="O37:O39"/>
    <mergeCell ref="A41:A43"/>
    <mergeCell ref="B41:B43"/>
    <mergeCell ref="G41:G43"/>
    <mergeCell ref="I41:I43"/>
    <mergeCell ref="K41:K43"/>
    <mergeCell ref="M41:M43"/>
    <mergeCell ref="O41:O43"/>
    <mergeCell ref="A37:A39"/>
    <mergeCell ref="B37:B39"/>
    <mergeCell ref="G37:G39"/>
    <mergeCell ref="I37:I39"/>
    <mergeCell ref="K37:K39"/>
    <mergeCell ref="M37:M39"/>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A28:C28"/>
    <mergeCell ref="E28:H28"/>
    <mergeCell ref="I28:K28"/>
    <mergeCell ref="L28:M28"/>
    <mergeCell ref="N28:O28"/>
    <mergeCell ref="A29:C29"/>
    <mergeCell ref="E29:H29"/>
    <mergeCell ref="I29:K29"/>
    <mergeCell ref="L29:M29"/>
    <mergeCell ref="N29:O29"/>
    <mergeCell ref="A4:O4"/>
    <mergeCell ref="A5:O5"/>
    <mergeCell ref="F10:I10"/>
    <mergeCell ref="A26:O26"/>
    <mergeCell ref="A27:D27"/>
    <mergeCell ref="E27:K27"/>
    <mergeCell ref="L27:O27"/>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E736C-C23F-4798-AD4C-0D841211C123}">
  <sheetPr>
    <tabColor indexed="62"/>
  </sheetPr>
  <dimension ref="A1:P217"/>
  <sheetViews>
    <sheetView topLeftCell="A16" zoomScale="82" zoomScaleNormal="82" workbookViewId="0">
      <selection activeCell="D36" sqref="D36"/>
    </sheetView>
  </sheetViews>
  <sheetFormatPr defaultColWidth="8.85546875" defaultRowHeight="12.75"/>
  <cols>
    <col min="1" max="1" width="14.28515625" style="378" customWidth="1"/>
    <col min="2" max="2" width="8.7109375" style="378" customWidth="1"/>
    <col min="3" max="3" width="19" style="378" customWidth="1"/>
    <col min="4" max="4" width="46.7109375" style="378" customWidth="1"/>
    <col min="5" max="5" width="24" style="378" customWidth="1"/>
    <col min="6" max="6" width="18.28515625" style="455" customWidth="1"/>
    <col min="7" max="7" width="16" style="455" customWidth="1"/>
    <col min="8" max="8" width="24.5703125" style="378" bestFit="1" customWidth="1"/>
    <col min="9" max="9" width="23" style="378" customWidth="1"/>
    <col min="10" max="10" width="25" style="378" bestFit="1" customWidth="1"/>
    <col min="11" max="11" width="23" style="378" customWidth="1"/>
    <col min="12" max="12" width="25" style="378" bestFit="1" customWidth="1"/>
    <col min="13" max="13" width="23" style="378" customWidth="1"/>
    <col min="14" max="14" width="25" style="378" bestFit="1" customWidth="1"/>
    <col min="15" max="15" width="23" style="378" customWidth="1"/>
    <col min="16" max="16" width="12.42578125" style="378" customWidth="1"/>
    <col min="17" max="16384" width="8.85546875" style="378"/>
  </cols>
  <sheetData>
    <row r="1" spans="1:15" ht="13.5" thickBot="1">
      <c r="B1" s="379"/>
      <c r="C1" s="379"/>
      <c r="D1" s="380"/>
      <c r="E1" s="380"/>
      <c r="F1" s="381"/>
      <c r="G1" s="381"/>
      <c r="H1" s="381"/>
      <c r="I1" s="381"/>
      <c r="J1" s="381"/>
      <c r="K1" s="380"/>
      <c r="L1" s="381"/>
    </row>
    <row r="2" spans="1:15" ht="9" customHeight="1">
      <c r="A2" s="382"/>
      <c r="B2" s="383"/>
      <c r="C2" s="383"/>
      <c r="D2" s="384"/>
      <c r="E2" s="384"/>
      <c r="F2" s="385"/>
      <c r="G2" s="385"/>
      <c r="H2" s="385"/>
      <c r="I2" s="386"/>
      <c r="J2" s="386"/>
      <c r="K2" s="386"/>
      <c r="L2" s="386"/>
      <c r="M2" s="382"/>
      <c r="N2" s="382"/>
      <c r="O2" s="382"/>
    </row>
    <row r="3" spans="1:15" ht="10.5" customHeight="1">
      <c r="B3" s="379"/>
      <c r="C3" s="379"/>
      <c r="D3" s="380"/>
      <c r="E3" s="380"/>
      <c r="F3" s="381"/>
      <c r="G3" s="381"/>
      <c r="H3" s="381"/>
      <c r="I3" s="387"/>
      <c r="J3" s="387"/>
      <c r="K3" s="387"/>
      <c r="L3" s="387"/>
    </row>
    <row r="4" spans="1:15" ht="36" customHeight="1">
      <c r="A4" s="1141" t="s">
        <v>4472</v>
      </c>
      <c r="B4" s="1141"/>
      <c r="C4" s="1141"/>
      <c r="D4" s="1141"/>
      <c r="E4" s="1141"/>
      <c r="F4" s="1141"/>
      <c r="G4" s="1141"/>
      <c r="H4" s="1141"/>
      <c r="I4" s="1141"/>
      <c r="J4" s="1141"/>
      <c r="K4" s="1141"/>
      <c r="L4" s="1141"/>
      <c r="M4" s="1141"/>
      <c r="N4" s="1141"/>
      <c r="O4" s="1141"/>
    </row>
    <row r="5" spans="1:15" s="388" customFormat="1" ht="61.5" customHeight="1">
      <c r="A5" s="1142" t="s">
        <v>3542</v>
      </c>
      <c r="B5" s="1142"/>
      <c r="C5" s="1142"/>
      <c r="D5" s="1142"/>
      <c r="E5" s="1142"/>
      <c r="F5" s="1142"/>
      <c r="G5" s="1142"/>
      <c r="H5" s="1142"/>
      <c r="I5" s="1142"/>
      <c r="J5" s="1142"/>
      <c r="K5" s="1142"/>
      <c r="L5" s="1142"/>
      <c r="M5" s="1142"/>
      <c r="N5" s="1142"/>
      <c r="O5" s="1142"/>
    </row>
    <row r="6" spans="1:15" ht="9" customHeight="1" thickBot="1">
      <c r="A6" s="389"/>
      <c r="B6" s="389"/>
      <c r="C6" s="389"/>
      <c r="D6" s="389"/>
      <c r="E6" s="389"/>
      <c r="F6" s="389"/>
      <c r="G6" s="389"/>
      <c r="H6" s="389"/>
      <c r="I6" s="389"/>
      <c r="J6" s="389"/>
      <c r="K6" s="389"/>
      <c r="L6" s="389"/>
      <c r="M6" s="389"/>
      <c r="N6" s="389"/>
      <c r="O6" s="389"/>
    </row>
    <row r="9" spans="1:15" s="387" customFormat="1" ht="14.25">
      <c r="B9" s="390"/>
      <c r="C9" s="390"/>
      <c r="D9" s="391"/>
      <c r="E9" s="391"/>
      <c r="F9" s="391"/>
      <c r="G9" s="391"/>
      <c r="H9" s="391"/>
      <c r="I9" s="391"/>
      <c r="J9" s="391"/>
      <c r="K9" s="391"/>
      <c r="L9" s="391"/>
      <c r="M9" s="391"/>
      <c r="N9" s="391"/>
      <c r="O9" s="391"/>
    </row>
    <row r="10" spans="1:15" s="387" customFormat="1" ht="14.25">
      <c r="F10" s="1026" t="s">
        <v>3</v>
      </c>
      <c r="G10" s="1026"/>
      <c r="H10" s="1026"/>
      <c r="I10" s="1026"/>
      <c r="J10" s="378"/>
      <c r="K10" s="378"/>
      <c r="L10" s="378"/>
    </row>
    <row r="11" spans="1:15" s="387" customFormat="1" ht="14.25">
      <c r="F11" s="392" t="s">
        <v>210</v>
      </c>
      <c r="G11" s="393" t="s">
        <v>458</v>
      </c>
      <c r="I11" s="394"/>
      <c r="L11" s="394"/>
    </row>
    <row r="12" spans="1:15" s="387" customFormat="1" ht="14.25">
      <c r="F12" s="392" t="s">
        <v>212</v>
      </c>
      <c r="G12" s="850" t="s">
        <v>459</v>
      </c>
      <c r="I12" s="394"/>
      <c r="J12" s="395"/>
      <c r="L12" s="394"/>
    </row>
    <row r="13" spans="1:15" s="387" customFormat="1" ht="14.25">
      <c r="F13" s="392" t="s">
        <v>214</v>
      </c>
      <c r="G13" s="850" t="s">
        <v>460</v>
      </c>
      <c r="I13" s="394"/>
      <c r="L13" s="394"/>
    </row>
    <row r="14" spans="1:15" s="387" customFormat="1" ht="14.25">
      <c r="F14" s="392" t="s">
        <v>8</v>
      </c>
      <c r="G14" s="387" t="s">
        <v>3543</v>
      </c>
      <c r="I14" s="394"/>
      <c r="J14" s="394"/>
      <c r="L14" s="394"/>
    </row>
    <row r="15" spans="1:15" s="387" customFormat="1" ht="14.25">
      <c r="D15" s="396"/>
      <c r="E15" s="396"/>
      <c r="F15" s="392" t="s">
        <v>9</v>
      </c>
      <c r="G15" s="387" t="s">
        <v>119</v>
      </c>
      <c r="I15" s="394"/>
      <c r="J15" s="394"/>
      <c r="L15" s="394"/>
    </row>
    <row r="16" spans="1:15" s="387" customFormat="1" ht="14.25">
      <c r="F16" s="392" t="s">
        <v>10</v>
      </c>
      <c r="G16" s="387" t="s">
        <v>3537</v>
      </c>
      <c r="I16" s="394"/>
      <c r="J16" s="394"/>
      <c r="L16" s="394"/>
    </row>
    <row r="17" spans="1:15" s="387" customFormat="1" ht="14.25">
      <c r="F17" s="392" t="s">
        <v>99</v>
      </c>
      <c r="G17" s="387" t="s">
        <v>3538</v>
      </c>
      <c r="I17" s="394"/>
      <c r="J17" s="394"/>
      <c r="L17" s="394"/>
    </row>
    <row r="18" spans="1:15" s="387" customFormat="1" ht="14.25">
      <c r="F18" s="392" t="s">
        <v>12</v>
      </c>
      <c r="G18" s="387" t="s">
        <v>3544</v>
      </c>
      <c r="I18" s="397"/>
      <c r="J18" s="397"/>
      <c r="L18" s="397"/>
    </row>
    <row r="19" spans="1:15" s="387" customFormat="1" ht="14.25">
      <c r="F19" s="392"/>
      <c r="G19" s="387" t="s">
        <v>3545</v>
      </c>
      <c r="I19" s="397"/>
      <c r="J19" s="397"/>
      <c r="L19" s="397"/>
    </row>
    <row r="20" spans="1:15" s="387" customFormat="1" ht="14.25">
      <c r="F20" s="392" t="s">
        <v>13</v>
      </c>
      <c r="G20" s="387" t="s">
        <v>216</v>
      </c>
      <c r="I20" s="397"/>
      <c r="J20" s="397"/>
      <c r="L20" s="397"/>
    </row>
    <row r="21" spans="1:15" s="387" customFormat="1" ht="14.25">
      <c r="F21" s="398"/>
      <c r="G21" s="387" t="s">
        <v>217</v>
      </c>
      <c r="I21" s="397"/>
      <c r="J21" s="397"/>
      <c r="L21" s="397"/>
    </row>
    <row r="22" spans="1:15" s="387" customFormat="1" ht="14.25">
      <c r="F22" s="392" t="s">
        <v>16</v>
      </c>
      <c r="G22" s="387" t="s">
        <v>218</v>
      </c>
      <c r="I22" s="397"/>
      <c r="J22" s="397"/>
      <c r="L22" s="397"/>
    </row>
    <row r="23" spans="1:15" s="387" customFormat="1" ht="14.25">
      <c r="F23" s="392" t="s">
        <v>220</v>
      </c>
      <c r="G23" s="850" t="s">
        <v>461</v>
      </c>
      <c r="I23" s="397"/>
      <c r="J23" s="397"/>
      <c r="L23" s="397"/>
    </row>
    <row r="24" spans="1:15" s="387" customFormat="1" ht="14.25">
      <c r="F24" s="392" t="s">
        <v>21</v>
      </c>
      <c r="G24" s="387" t="s">
        <v>3541</v>
      </c>
      <c r="I24" s="397"/>
      <c r="J24" s="397"/>
      <c r="L24" s="397"/>
    </row>
    <row r="25" spans="1:15" s="387" customFormat="1" ht="14.25">
      <c r="D25" s="399"/>
      <c r="E25" s="399"/>
      <c r="F25" s="392" t="s">
        <v>22</v>
      </c>
      <c r="G25" s="400" t="s">
        <v>3536</v>
      </c>
      <c r="K25" s="397"/>
    </row>
    <row r="26" spans="1:15" s="387" customFormat="1" ht="15" thickBot="1">
      <c r="A26" s="1104" t="s">
        <v>23</v>
      </c>
      <c r="B26" s="1187"/>
      <c r="C26" s="1187"/>
      <c r="D26" s="1187"/>
      <c r="E26" s="1187"/>
      <c r="F26" s="1187"/>
      <c r="G26" s="1187"/>
      <c r="H26" s="1187"/>
      <c r="I26" s="1187"/>
      <c r="J26" s="1187"/>
      <c r="K26" s="1187"/>
      <c r="L26" s="1187"/>
      <c r="M26" s="1187"/>
      <c r="N26" s="1187"/>
      <c r="O26" s="1187"/>
    </row>
    <row r="27" spans="1:15" s="387" customFormat="1" ht="14.25">
      <c r="A27" s="1098" t="s">
        <v>101</v>
      </c>
      <c r="B27" s="1099"/>
      <c r="C27" s="1099"/>
      <c r="D27" s="1100"/>
      <c r="E27" s="1101" t="s">
        <v>102</v>
      </c>
      <c r="F27" s="1184"/>
      <c r="G27" s="1184"/>
      <c r="H27" s="1184"/>
      <c r="I27" s="1184"/>
      <c r="J27" s="1184"/>
      <c r="K27" s="1185"/>
      <c r="L27" s="1098" t="s">
        <v>103</v>
      </c>
      <c r="M27" s="1099"/>
      <c r="N27" s="1099"/>
      <c r="O27" s="1100"/>
    </row>
    <row r="28" spans="1:15" s="387" customFormat="1" ht="12.75" customHeight="1">
      <c r="A28" s="1030" t="s">
        <v>160</v>
      </c>
      <c r="B28" s="1031"/>
      <c r="C28" s="1031"/>
      <c r="D28" s="401" t="s">
        <v>161</v>
      </c>
      <c r="E28" s="1030" t="s">
        <v>160</v>
      </c>
      <c r="F28" s="1031"/>
      <c r="G28" s="1031"/>
      <c r="H28" s="1031"/>
      <c r="I28" s="1109" t="s">
        <v>162</v>
      </c>
      <c r="J28" s="1109"/>
      <c r="K28" s="1140"/>
      <c r="L28" s="1030" t="s">
        <v>160</v>
      </c>
      <c r="M28" s="1031"/>
      <c r="N28" s="1110" t="s">
        <v>162</v>
      </c>
      <c r="O28" s="1111"/>
    </row>
    <row r="29" spans="1:15" s="387" customFormat="1" ht="12.75" customHeight="1">
      <c r="A29" s="1030" t="s">
        <v>43</v>
      </c>
      <c r="B29" s="1031"/>
      <c r="C29" s="1031"/>
      <c r="D29" s="402">
        <v>0</v>
      </c>
      <c r="E29" s="1030" t="s">
        <v>43</v>
      </c>
      <c r="F29" s="1031"/>
      <c r="G29" s="1031"/>
      <c r="H29" s="1031"/>
      <c r="I29" s="1105">
        <v>856</v>
      </c>
      <c r="J29" s="1105"/>
      <c r="K29" s="1186"/>
      <c r="L29" s="1030" t="s">
        <v>43</v>
      </c>
      <c r="M29" s="1031"/>
      <c r="N29" s="1107">
        <v>1127</v>
      </c>
      <c r="O29" s="1108"/>
    </row>
    <row r="30" spans="1:15" s="387" customFormat="1" ht="12.75" customHeight="1">
      <c r="A30" s="1030" t="s">
        <v>164</v>
      </c>
      <c r="B30" s="1031"/>
      <c r="C30" s="1031"/>
      <c r="D30" s="401" t="s">
        <v>165</v>
      </c>
      <c r="E30" s="1030" t="s">
        <v>164</v>
      </c>
      <c r="F30" s="1031"/>
      <c r="G30" s="1031"/>
      <c r="H30" s="1031"/>
      <c r="I30" s="1109" t="s">
        <v>239</v>
      </c>
      <c r="J30" s="1109"/>
      <c r="K30" s="1140"/>
      <c r="L30" s="1030" t="s">
        <v>164</v>
      </c>
      <c r="M30" s="1031"/>
      <c r="N30" s="1110" t="s">
        <v>240</v>
      </c>
      <c r="O30" s="1111"/>
    </row>
    <row r="31" spans="1:15" s="387" customFormat="1" ht="12.75" customHeight="1">
      <c r="A31" s="1030" t="s">
        <v>46</v>
      </c>
      <c r="B31" s="1031"/>
      <c r="C31" s="1031"/>
      <c r="D31" s="401" t="s">
        <v>27</v>
      </c>
      <c r="E31" s="1030" t="s">
        <v>47</v>
      </c>
      <c r="F31" s="1023"/>
      <c r="G31" s="1023"/>
      <c r="H31" s="1023"/>
      <c r="I31" s="1109" t="s">
        <v>3551</v>
      </c>
      <c r="J31" s="1139"/>
      <c r="K31" s="1106"/>
      <c r="L31" s="1030" t="s">
        <v>166</v>
      </c>
      <c r="M31" s="1023"/>
      <c r="N31" s="1110" t="s">
        <v>3551</v>
      </c>
      <c r="O31" s="1111"/>
    </row>
    <row r="32" spans="1:15" s="387" customFormat="1" ht="12.75" customHeight="1" thickBot="1">
      <c r="A32" s="1035" t="s">
        <v>225</v>
      </c>
      <c r="B32" s="1036"/>
      <c r="C32" s="1036"/>
      <c r="D32" s="403" t="s">
        <v>809</v>
      </c>
      <c r="E32" s="1035" t="s">
        <v>225</v>
      </c>
      <c r="F32" s="1036"/>
      <c r="G32" s="1037"/>
      <c r="H32" s="1037"/>
      <c r="I32" s="1112" t="s">
        <v>3550</v>
      </c>
      <c r="J32" s="1112"/>
      <c r="K32" s="1138"/>
      <c r="L32" s="1035" t="s">
        <v>225</v>
      </c>
      <c r="M32" s="1037"/>
      <c r="N32" s="1037" t="s">
        <v>3550</v>
      </c>
      <c r="O32" s="1038"/>
    </row>
    <row r="33" spans="1:15" s="387" customFormat="1" ht="12.75" customHeight="1">
      <c r="B33" s="404"/>
      <c r="C33" s="404"/>
      <c r="D33" s="399"/>
      <c r="E33" s="399"/>
      <c r="F33" s="405"/>
      <c r="G33" s="405"/>
      <c r="I33" s="388"/>
      <c r="J33" s="388"/>
      <c r="K33" s="388"/>
      <c r="L33" s="388"/>
    </row>
    <row r="34" spans="1:15" s="387" customFormat="1" ht="18" customHeight="1" thickBot="1">
      <c r="C34" s="399"/>
      <c r="D34" s="405"/>
      <c r="E34" s="406"/>
      <c r="F34" s="378"/>
      <c r="G34" s="407"/>
      <c r="H34" s="408"/>
      <c r="I34" s="409"/>
      <c r="J34" s="410"/>
    </row>
    <row r="35" spans="1:15" s="387" customFormat="1" ht="15.75" customHeight="1" thickBot="1">
      <c r="F35" s="1040" t="s">
        <v>167</v>
      </c>
      <c r="G35" s="1207"/>
      <c r="H35" s="1042" t="s">
        <v>168</v>
      </c>
      <c r="I35" s="1043"/>
      <c r="J35" s="1043"/>
      <c r="K35" s="1043"/>
      <c r="L35" s="1043"/>
      <c r="M35" s="1043"/>
      <c r="N35" s="1043"/>
      <c r="O35" s="1206"/>
    </row>
    <row r="36" spans="1:15" s="413" customFormat="1" ht="57.75" customHeight="1" thickBot="1">
      <c r="A36" s="411" t="s">
        <v>122</v>
      </c>
      <c r="B36" s="411" t="s">
        <v>169</v>
      </c>
      <c r="C36" s="412" t="s">
        <v>170</v>
      </c>
      <c r="D36" s="412" t="s">
        <v>171</v>
      </c>
      <c r="E36" s="412" t="s">
        <v>172</v>
      </c>
      <c r="F36" s="412" t="s">
        <v>173</v>
      </c>
      <c r="G36" s="411" t="s">
        <v>174</v>
      </c>
      <c r="H36" s="412" t="s">
        <v>175</v>
      </c>
      <c r="I36" s="411" t="s">
        <v>174</v>
      </c>
      <c r="J36" s="412" t="s">
        <v>176</v>
      </c>
      <c r="K36" s="411" t="s">
        <v>174</v>
      </c>
      <c r="L36" s="412" t="s">
        <v>177</v>
      </c>
      <c r="M36" s="411" t="s">
        <v>174</v>
      </c>
      <c r="N36" s="412" t="s">
        <v>178</v>
      </c>
      <c r="O36" s="411" t="s">
        <v>174</v>
      </c>
    </row>
    <row r="37" spans="1:15" s="418" customFormat="1" ht="26.25" thickBot="1">
      <c r="A37" s="1046">
        <v>15</v>
      </c>
      <c r="B37" s="1205"/>
      <c r="C37" s="463" t="s">
        <v>4473</v>
      </c>
      <c r="D37" s="464" t="s">
        <v>4474</v>
      </c>
      <c r="E37" s="414">
        <v>36002</v>
      </c>
      <c r="F37" s="962">
        <f>SUM(E37:E39)*(1-83%)</f>
        <v>6212.3100000000013</v>
      </c>
      <c r="G37" s="1050">
        <f>F37*B37</f>
        <v>0</v>
      </c>
      <c r="H37" s="416">
        <f>F37*0.0832</f>
        <v>516.86419200000012</v>
      </c>
      <c r="I37" s="1050">
        <f>H37*B37</f>
        <v>0</v>
      </c>
      <c r="J37" s="416">
        <f>F37*0.0313</f>
        <v>194.44530300000005</v>
      </c>
      <c r="K37" s="1050">
        <f>J37*B37</f>
        <v>0</v>
      </c>
      <c r="L37" s="417">
        <f>F37*0.0256</f>
        <v>159.03513600000005</v>
      </c>
      <c r="M37" s="1050">
        <f>L37*B37</f>
        <v>0</v>
      </c>
      <c r="N37" s="417">
        <f>F37*0.0213</f>
        <v>132.32220300000003</v>
      </c>
      <c r="O37" s="1050">
        <f>N37*B37</f>
        <v>0</v>
      </c>
    </row>
    <row r="38" spans="1:15" s="424" customFormat="1" ht="13.5" thickBot="1">
      <c r="A38" s="1047"/>
      <c r="B38" s="1210"/>
      <c r="C38" s="419" t="s">
        <v>714</v>
      </c>
      <c r="D38" s="420" t="s">
        <v>670</v>
      </c>
      <c r="E38" s="421">
        <v>282</v>
      </c>
      <c r="F38" s="963" t="s">
        <v>162</v>
      </c>
      <c r="G38" s="1212"/>
      <c r="H38" s="422" t="s">
        <v>162</v>
      </c>
      <c r="I38" s="1212"/>
      <c r="J38" s="422" t="s">
        <v>162</v>
      </c>
      <c r="K38" s="1212"/>
      <c r="L38" s="423" t="s">
        <v>162</v>
      </c>
      <c r="M38" s="1212"/>
      <c r="N38" s="423" t="s">
        <v>162</v>
      </c>
      <c r="O38" s="1212"/>
    </row>
    <row r="39" spans="1:15" s="424" customFormat="1" ht="13.5" thickBot="1">
      <c r="A39" s="1048"/>
      <c r="B39" s="1211"/>
      <c r="C39" s="425" t="s">
        <v>179</v>
      </c>
      <c r="D39" s="426" t="s">
        <v>104</v>
      </c>
      <c r="E39" s="427">
        <v>259</v>
      </c>
      <c r="F39" s="964" t="s">
        <v>162</v>
      </c>
      <c r="G39" s="1064"/>
      <c r="H39" s="428" t="s">
        <v>162</v>
      </c>
      <c r="I39" s="1064"/>
      <c r="J39" s="428" t="s">
        <v>162</v>
      </c>
      <c r="K39" s="1064"/>
      <c r="L39" s="423" t="e">
        <f>F39*0.0256</f>
        <v>#VALUE!</v>
      </c>
      <c r="M39" s="1064"/>
      <c r="N39" s="423" t="s">
        <v>162</v>
      </c>
      <c r="O39" s="1064"/>
    </row>
    <row r="40" spans="1:15" s="424" customFormat="1" ht="13.5" thickBot="1">
      <c r="A40" s="429"/>
      <c r="B40" s="430"/>
      <c r="C40" s="431"/>
      <c r="D40" s="432"/>
      <c r="E40" s="433"/>
      <c r="F40" s="965"/>
      <c r="G40" s="430"/>
      <c r="H40" s="434"/>
      <c r="I40" s="430"/>
      <c r="J40" s="434"/>
      <c r="K40" s="435"/>
      <c r="L40" s="436"/>
      <c r="M40" s="430"/>
      <c r="N40" s="436"/>
      <c r="O40" s="435"/>
    </row>
    <row r="41" spans="1:15" s="418" customFormat="1" ht="26.25" thickBot="1">
      <c r="A41" s="1046" t="s">
        <v>105</v>
      </c>
      <c r="B41" s="1205"/>
      <c r="C41" s="463" t="s">
        <v>4473</v>
      </c>
      <c r="D41" s="464" t="s">
        <v>4474</v>
      </c>
      <c r="E41" s="414">
        <v>36002</v>
      </c>
      <c r="F41" s="966">
        <f>SUM(E41:E43)*(1-83%)</f>
        <v>6212.3100000000013</v>
      </c>
      <c r="G41" s="1062">
        <f>F41*B41</f>
        <v>0</v>
      </c>
      <c r="H41" s="50">
        <f>F41*0.0832+I29/12</f>
        <v>588.19752533333349</v>
      </c>
      <c r="I41" s="1062">
        <f>H41*B41</f>
        <v>0</v>
      </c>
      <c r="J41" s="50">
        <f>F41*0.0313+I29/12</f>
        <v>265.7786363333334</v>
      </c>
      <c r="K41" s="1062">
        <f>J41*B41</f>
        <v>0</v>
      </c>
      <c r="L41" s="51">
        <f>F41*0.0256+I29/12</f>
        <v>230.36846933333339</v>
      </c>
      <c r="M41" s="1062">
        <f>L41*B41</f>
        <v>0</v>
      </c>
      <c r="N41" s="51">
        <f>F41*0.0213+I29/12</f>
        <v>203.65553633333337</v>
      </c>
      <c r="O41" s="1062">
        <f>N41*B41</f>
        <v>0</v>
      </c>
    </row>
    <row r="42" spans="1:15" s="424" customFormat="1" ht="13.5" thickBot="1">
      <c r="A42" s="1047"/>
      <c r="B42" s="1210"/>
      <c r="C42" s="419" t="s">
        <v>714</v>
      </c>
      <c r="D42" s="420" t="s">
        <v>670</v>
      </c>
      <c r="E42" s="421">
        <v>282</v>
      </c>
      <c r="F42" s="963" t="s">
        <v>162</v>
      </c>
      <c r="G42" s="1051"/>
      <c r="H42" s="52" t="s">
        <v>162</v>
      </c>
      <c r="I42" s="1051"/>
      <c r="J42" s="52" t="s">
        <v>162</v>
      </c>
      <c r="K42" s="1051"/>
      <c r="L42" s="53" t="s">
        <v>162</v>
      </c>
      <c r="M42" s="1051"/>
      <c r="N42" s="53" t="s">
        <v>162</v>
      </c>
      <c r="O42" s="1051"/>
    </row>
    <row r="43" spans="1:15" s="424" customFormat="1" ht="13.5" thickBot="1">
      <c r="A43" s="1048"/>
      <c r="B43" s="1211"/>
      <c r="C43" s="425" t="s">
        <v>179</v>
      </c>
      <c r="D43" s="426" t="s">
        <v>104</v>
      </c>
      <c r="E43" s="427">
        <v>259</v>
      </c>
      <c r="F43" s="964" t="s">
        <v>162</v>
      </c>
      <c r="G43" s="1052"/>
      <c r="H43" s="422" t="s">
        <v>162</v>
      </c>
      <c r="I43" s="1052"/>
      <c r="J43" s="422" t="s">
        <v>162</v>
      </c>
      <c r="K43" s="1052"/>
      <c r="L43" s="423" t="s">
        <v>162</v>
      </c>
      <c r="M43" s="1052"/>
      <c r="N43" s="423" t="s">
        <v>162</v>
      </c>
      <c r="O43" s="1052"/>
    </row>
    <row r="44" spans="1:15" s="424" customFormat="1" ht="13.5" thickBot="1">
      <c r="A44" s="429"/>
      <c r="B44" s="430"/>
      <c r="C44" s="431"/>
      <c r="D44" s="432"/>
      <c r="E44" s="433"/>
      <c r="F44" s="967"/>
      <c r="G44" s="55"/>
      <c r="H44" s="54"/>
      <c r="I44" s="55"/>
      <c r="J44" s="54"/>
      <c r="K44" s="56"/>
      <c r="L44" s="57"/>
      <c r="M44" s="55"/>
      <c r="N44" s="57"/>
      <c r="O44" s="56"/>
    </row>
    <row r="45" spans="1:15" s="418" customFormat="1" ht="26.25" thickBot="1">
      <c r="A45" s="1046" t="s">
        <v>106</v>
      </c>
      <c r="B45" s="1205"/>
      <c r="C45" s="463" t="s">
        <v>4473</v>
      </c>
      <c r="D45" s="464" t="s">
        <v>4474</v>
      </c>
      <c r="E45" s="414">
        <v>36002</v>
      </c>
      <c r="F45" s="962">
        <f>SUM(E45:E47)*(1-83%)</f>
        <v>6212.3100000000013</v>
      </c>
      <c r="G45" s="1062">
        <f>F45*B45</f>
        <v>0</v>
      </c>
      <c r="H45" s="50">
        <f>F45*0.0832+N29/12</f>
        <v>610.78085866666675</v>
      </c>
      <c r="I45" s="1062">
        <f>H45*B45</f>
        <v>0</v>
      </c>
      <c r="J45" s="50">
        <f>F45*0.0313+N29/12</f>
        <v>288.36196966666671</v>
      </c>
      <c r="K45" s="1062">
        <f>J45*B45</f>
        <v>0</v>
      </c>
      <c r="L45" s="51">
        <f>F45*0.0256+N29/12</f>
        <v>252.95180266666671</v>
      </c>
      <c r="M45" s="1062">
        <f>L45*B45</f>
        <v>0</v>
      </c>
      <c r="N45" s="51">
        <f>F45*0.0213+N29/12</f>
        <v>226.23886966666669</v>
      </c>
      <c r="O45" s="1062">
        <f>N45*B45</f>
        <v>0</v>
      </c>
    </row>
    <row r="46" spans="1:15" s="424" customFormat="1" ht="13.5" thickBot="1">
      <c r="A46" s="1047"/>
      <c r="B46" s="1210"/>
      <c r="C46" s="419" t="s">
        <v>714</v>
      </c>
      <c r="D46" s="420" t="s">
        <v>670</v>
      </c>
      <c r="E46" s="421">
        <v>282</v>
      </c>
      <c r="F46" s="963" t="s">
        <v>162</v>
      </c>
      <c r="G46" s="1051"/>
      <c r="H46" s="422" t="s">
        <v>162</v>
      </c>
      <c r="I46" s="1051"/>
      <c r="J46" s="422" t="s">
        <v>162</v>
      </c>
      <c r="K46" s="1051"/>
      <c r="L46" s="423" t="s">
        <v>162</v>
      </c>
      <c r="M46" s="1051"/>
      <c r="N46" s="423" t="s">
        <v>162</v>
      </c>
      <c r="O46" s="1051"/>
    </row>
    <row r="47" spans="1:15" s="424" customFormat="1" ht="13.5" thickBot="1">
      <c r="A47" s="1048"/>
      <c r="B47" s="1211"/>
      <c r="C47" s="425" t="s">
        <v>179</v>
      </c>
      <c r="D47" s="426" t="s">
        <v>104</v>
      </c>
      <c r="E47" s="427">
        <v>259</v>
      </c>
      <c r="F47" s="968" t="s">
        <v>162</v>
      </c>
      <c r="G47" s="1052"/>
      <c r="H47" s="52" t="s">
        <v>162</v>
      </c>
      <c r="I47" s="1052"/>
      <c r="J47" s="52" t="s">
        <v>162</v>
      </c>
      <c r="K47" s="1052"/>
      <c r="L47" s="53" t="s">
        <v>162</v>
      </c>
      <c r="M47" s="1052"/>
      <c r="N47" s="53" t="s">
        <v>162</v>
      </c>
      <c r="O47" s="1052"/>
    </row>
    <row r="48" spans="1:15" s="437" customFormat="1" ht="13.5" customHeight="1" thickBot="1">
      <c r="A48" s="1135" t="s">
        <v>182</v>
      </c>
      <c r="B48" s="1208"/>
      <c r="C48" s="1208"/>
      <c r="D48" s="1208"/>
      <c r="E48" s="1208"/>
      <c r="F48" s="1208"/>
      <c r="G48" s="1208"/>
      <c r="H48" s="1208"/>
      <c r="I48" s="1208"/>
      <c r="J48" s="1208"/>
      <c r="K48" s="1208"/>
      <c r="L48" s="1208"/>
      <c r="M48" s="1208"/>
      <c r="N48" s="1208"/>
      <c r="O48" s="1209"/>
    </row>
    <row r="49" spans="1:16" s="424" customFormat="1" ht="13.5" thickBot="1">
      <c r="A49" s="1126"/>
      <c r="B49" s="440"/>
      <c r="C49" s="658" t="s">
        <v>209</v>
      </c>
      <c r="D49" s="456" t="s">
        <v>66</v>
      </c>
      <c r="E49" s="457">
        <v>975.85567010309285</v>
      </c>
      <c r="F49" s="442">
        <f t="shared" ref="F49:F80" si="0">E49*(1-40%)</f>
        <v>585.51340206185569</v>
      </c>
      <c r="G49" s="465">
        <f t="shared" ref="G49:G80" si="1">F49*B49</f>
        <v>0</v>
      </c>
      <c r="H49" s="443">
        <f t="shared" ref="H49:H80" si="2">F49*0.0832</f>
        <v>48.714715051546392</v>
      </c>
      <c r="I49" s="443">
        <f t="shared" ref="I49:I80" si="3">H49*B49</f>
        <v>0</v>
      </c>
      <c r="J49" s="443">
        <f t="shared" ref="J49:J80" si="4">F49*0.0313</f>
        <v>18.326569484536083</v>
      </c>
      <c r="K49" s="443">
        <f t="shared" ref="K49:K80" si="5">J49*B49</f>
        <v>0</v>
      </c>
      <c r="L49" s="443">
        <f t="shared" ref="L49:L80" si="6">F49*0.0256</f>
        <v>14.989143092783506</v>
      </c>
      <c r="M49" s="443">
        <f t="shared" ref="M49:M80" si="7">L49*B49</f>
        <v>0</v>
      </c>
      <c r="N49" s="443">
        <f t="shared" ref="N49:N80" si="8">F49*0.0213</f>
        <v>12.471435463917526</v>
      </c>
      <c r="O49" s="443">
        <f t="shared" ref="O49:O80" si="9">N49*B49</f>
        <v>0</v>
      </c>
      <c r="P49" s="736"/>
    </row>
    <row r="50" spans="1:16" s="424" customFormat="1" ht="13.5" thickBot="1">
      <c r="A50" s="1122"/>
      <c r="B50" s="441"/>
      <c r="C50" s="462" t="s">
        <v>486</v>
      </c>
      <c r="D50" s="459" t="s">
        <v>671</v>
      </c>
      <c r="E50" s="460">
        <v>134.01030927835052</v>
      </c>
      <c r="F50" s="442">
        <f t="shared" si="0"/>
        <v>80.406185567010311</v>
      </c>
      <c r="G50" s="444">
        <f t="shared" si="1"/>
        <v>0</v>
      </c>
      <c r="H50" s="443">
        <f t="shared" si="2"/>
        <v>6.6897946391752576</v>
      </c>
      <c r="I50" s="443">
        <f t="shared" si="3"/>
        <v>0</v>
      </c>
      <c r="J50" s="443">
        <f t="shared" si="4"/>
        <v>2.5167136082474229</v>
      </c>
      <c r="K50" s="443">
        <f t="shared" si="5"/>
        <v>0</v>
      </c>
      <c r="L50" s="443">
        <f t="shared" si="6"/>
        <v>2.0583983505154642</v>
      </c>
      <c r="M50" s="443">
        <f t="shared" si="7"/>
        <v>0</v>
      </c>
      <c r="N50" s="443">
        <f t="shared" si="8"/>
        <v>1.7126517525773195</v>
      </c>
      <c r="O50" s="443">
        <f t="shared" si="9"/>
        <v>0</v>
      </c>
      <c r="P50" s="736"/>
    </row>
    <row r="51" spans="1:16" s="437" customFormat="1" ht="26.25" thickBot="1">
      <c r="A51" s="1122"/>
      <c r="B51" s="439"/>
      <c r="C51" s="458" t="s">
        <v>3491</v>
      </c>
      <c r="D51" s="459" t="s">
        <v>568</v>
      </c>
      <c r="E51" s="460">
        <v>411.34020618556701</v>
      </c>
      <c r="F51" s="442">
        <f t="shared" si="0"/>
        <v>246.8041237113402</v>
      </c>
      <c r="G51" s="444">
        <f t="shared" si="1"/>
        <v>0</v>
      </c>
      <c r="H51" s="443">
        <f t="shared" si="2"/>
        <v>20.534103092783504</v>
      </c>
      <c r="I51" s="443">
        <f t="shared" si="3"/>
        <v>0</v>
      </c>
      <c r="J51" s="443">
        <f t="shared" si="4"/>
        <v>7.7249690721649484</v>
      </c>
      <c r="K51" s="443">
        <f t="shared" si="5"/>
        <v>0</v>
      </c>
      <c r="L51" s="443">
        <f t="shared" si="6"/>
        <v>6.3181855670103095</v>
      </c>
      <c r="M51" s="443">
        <f t="shared" si="7"/>
        <v>0</v>
      </c>
      <c r="N51" s="443">
        <f t="shared" si="8"/>
        <v>5.2569278350515463</v>
      </c>
      <c r="O51" s="443">
        <f t="shared" si="9"/>
        <v>0</v>
      </c>
      <c r="P51" s="736"/>
    </row>
    <row r="52" spans="1:16" s="437" customFormat="1" ht="13.5" thickBot="1">
      <c r="A52" s="1122"/>
      <c r="B52" s="440"/>
      <c r="C52" s="458" t="s">
        <v>472</v>
      </c>
      <c r="D52" s="459" t="s">
        <v>54</v>
      </c>
      <c r="E52" s="460">
        <v>257.73195876288662</v>
      </c>
      <c r="F52" s="442">
        <f t="shared" si="0"/>
        <v>154.63917525773198</v>
      </c>
      <c r="G52" s="444">
        <f t="shared" si="1"/>
        <v>0</v>
      </c>
      <c r="H52" s="443">
        <f t="shared" si="2"/>
        <v>12.865979381443299</v>
      </c>
      <c r="I52" s="443">
        <f t="shared" si="3"/>
        <v>0</v>
      </c>
      <c r="J52" s="443">
        <f t="shared" si="4"/>
        <v>4.8402061855670109</v>
      </c>
      <c r="K52" s="443">
        <f t="shared" si="5"/>
        <v>0</v>
      </c>
      <c r="L52" s="443">
        <f t="shared" si="6"/>
        <v>3.9587628865979387</v>
      </c>
      <c r="M52" s="443">
        <f t="shared" si="7"/>
        <v>0</v>
      </c>
      <c r="N52" s="443">
        <f t="shared" si="8"/>
        <v>3.293814432989691</v>
      </c>
      <c r="O52" s="443">
        <f t="shared" si="9"/>
        <v>0</v>
      </c>
      <c r="P52" s="736"/>
    </row>
    <row r="53" spans="1:16" s="437" customFormat="1" ht="13.5" thickBot="1">
      <c r="A53" s="1122"/>
      <c r="B53" s="440"/>
      <c r="C53" s="659" t="s">
        <v>689</v>
      </c>
      <c r="D53" s="661" t="s">
        <v>408</v>
      </c>
      <c r="E53" s="663">
        <v>412.37113402061857</v>
      </c>
      <c r="F53" s="442">
        <f t="shared" si="0"/>
        <v>247.42268041237114</v>
      </c>
      <c r="G53" s="444">
        <f t="shared" si="1"/>
        <v>0</v>
      </c>
      <c r="H53" s="443">
        <f t="shared" si="2"/>
        <v>20.585567010309276</v>
      </c>
      <c r="I53" s="465">
        <f t="shared" si="3"/>
        <v>0</v>
      </c>
      <c r="J53" s="443">
        <f t="shared" si="4"/>
        <v>7.7443298969072165</v>
      </c>
      <c r="K53" s="465">
        <f t="shared" si="5"/>
        <v>0</v>
      </c>
      <c r="L53" s="443">
        <f t="shared" si="6"/>
        <v>6.3340206185567016</v>
      </c>
      <c r="M53" s="465">
        <f t="shared" si="7"/>
        <v>0</v>
      </c>
      <c r="N53" s="443">
        <f t="shared" si="8"/>
        <v>5.2701030927835051</v>
      </c>
      <c r="O53" s="465">
        <f t="shared" si="9"/>
        <v>0</v>
      </c>
      <c r="P53" s="736"/>
    </row>
    <row r="54" spans="1:16" s="437" customFormat="1" ht="13.5" thickBot="1">
      <c r="A54" s="1122"/>
      <c r="B54" s="439"/>
      <c r="C54" s="458" t="s">
        <v>690</v>
      </c>
      <c r="D54" s="459" t="s">
        <v>713</v>
      </c>
      <c r="E54" s="460">
        <v>514.43298969072168</v>
      </c>
      <c r="F54" s="442">
        <f t="shared" si="0"/>
        <v>308.65979381443299</v>
      </c>
      <c r="G54" s="444">
        <f t="shared" si="1"/>
        <v>0</v>
      </c>
      <c r="H54" s="443">
        <f t="shared" si="2"/>
        <v>25.680494845360823</v>
      </c>
      <c r="I54" s="443">
        <f t="shared" si="3"/>
        <v>0</v>
      </c>
      <c r="J54" s="443">
        <f t="shared" si="4"/>
        <v>9.6610515463917537</v>
      </c>
      <c r="K54" s="443">
        <f t="shared" si="5"/>
        <v>0</v>
      </c>
      <c r="L54" s="443">
        <f t="shared" si="6"/>
        <v>7.9016907216494845</v>
      </c>
      <c r="M54" s="443">
        <f t="shared" si="7"/>
        <v>0</v>
      </c>
      <c r="N54" s="443">
        <f t="shared" si="8"/>
        <v>6.5744536082474223</v>
      </c>
      <c r="O54" s="443">
        <f t="shared" si="9"/>
        <v>0</v>
      </c>
      <c r="P54" s="736"/>
    </row>
    <row r="55" spans="1:16" s="437" customFormat="1" ht="13.5" thickBot="1">
      <c r="A55" s="1122"/>
      <c r="B55" s="440"/>
      <c r="C55" s="458" t="s">
        <v>542</v>
      </c>
      <c r="D55" s="459" t="s">
        <v>3533</v>
      </c>
      <c r="E55" s="460">
        <v>1025.7731958762886</v>
      </c>
      <c r="F55" s="442">
        <f t="shared" si="0"/>
        <v>615.46391752577313</v>
      </c>
      <c r="G55" s="444">
        <f t="shared" si="1"/>
        <v>0</v>
      </c>
      <c r="H55" s="443">
        <f t="shared" si="2"/>
        <v>51.20659793814432</v>
      </c>
      <c r="I55" s="443">
        <f t="shared" si="3"/>
        <v>0</v>
      </c>
      <c r="J55" s="443">
        <f t="shared" si="4"/>
        <v>19.2640206185567</v>
      </c>
      <c r="K55" s="443">
        <f t="shared" si="5"/>
        <v>0</v>
      </c>
      <c r="L55" s="443">
        <f t="shared" si="6"/>
        <v>15.755876288659794</v>
      </c>
      <c r="M55" s="443">
        <f t="shared" si="7"/>
        <v>0</v>
      </c>
      <c r="N55" s="443">
        <f t="shared" si="8"/>
        <v>13.109381443298968</v>
      </c>
      <c r="O55" s="443">
        <f t="shared" si="9"/>
        <v>0</v>
      </c>
      <c r="P55" s="736"/>
    </row>
    <row r="56" spans="1:16" s="437" customFormat="1" ht="26.25" thickBot="1">
      <c r="A56" s="1122"/>
      <c r="B56" s="440"/>
      <c r="C56" s="458" t="s">
        <v>89</v>
      </c>
      <c r="D56" s="459" t="s">
        <v>483</v>
      </c>
      <c r="E56" s="460">
        <v>3505.1546391752577</v>
      </c>
      <c r="F56" s="442">
        <f t="shared" si="0"/>
        <v>2103.0927835051543</v>
      </c>
      <c r="G56" s="444">
        <f t="shared" si="1"/>
        <v>0</v>
      </c>
      <c r="H56" s="443">
        <f t="shared" si="2"/>
        <v>174.97731958762884</v>
      </c>
      <c r="I56" s="443">
        <f t="shared" si="3"/>
        <v>0</v>
      </c>
      <c r="J56" s="443">
        <f t="shared" si="4"/>
        <v>65.826804123711327</v>
      </c>
      <c r="K56" s="443">
        <f t="shared" si="5"/>
        <v>0</v>
      </c>
      <c r="L56" s="443">
        <f t="shared" si="6"/>
        <v>53.839175257731952</v>
      </c>
      <c r="M56" s="443">
        <f t="shared" si="7"/>
        <v>0</v>
      </c>
      <c r="N56" s="443">
        <f t="shared" si="8"/>
        <v>44.795876288659784</v>
      </c>
      <c r="O56" s="443">
        <f t="shared" si="9"/>
        <v>0</v>
      </c>
      <c r="P56" s="736"/>
    </row>
    <row r="57" spans="1:16" s="437" customFormat="1" ht="13.5" thickBot="1">
      <c r="A57" s="1122"/>
      <c r="B57" s="441"/>
      <c r="C57" s="458" t="s">
        <v>272</v>
      </c>
      <c r="D57" s="459" t="s">
        <v>234</v>
      </c>
      <c r="E57" s="460">
        <v>1134.020618556701</v>
      </c>
      <c r="F57" s="442">
        <f t="shared" si="0"/>
        <v>680.41237113402065</v>
      </c>
      <c r="G57" s="444">
        <f t="shared" si="1"/>
        <v>0</v>
      </c>
      <c r="H57" s="443">
        <f t="shared" si="2"/>
        <v>56.610309278350513</v>
      </c>
      <c r="I57" s="443">
        <f t="shared" si="3"/>
        <v>0</v>
      </c>
      <c r="J57" s="443">
        <f t="shared" si="4"/>
        <v>21.296907216494848</v>
      </c>
      <c r="K57" s="443">
        <f t="shared" si="5"/>
        <v>0</v>
      </c>
      <c r="L57" s="443">
        <f t="shared" si="6"/>
        <v>17.41855670103093</v>
      </c>
      <c r="M57" s="443">
        <f t="shared" si="7"/>
        <v>0</v>
      </c>
      <c r="N57" s="443">
        <f t="shared" si="8"/>
        <v>14.492783505154639</v>
      </c>
      <c r="O57" s="443">
        <f t="shared" si="9"/>
        <v>0</v>
      </c>
      <c r="P57" s="736"/>
    </row>
    <row r="58" spans="1:16" s="437" customFormat="1" ht="13.5" thickBot="1">
      <c r="A58" s="1122"/>
      <c r="B58" s="438"/>
      <c r="C58" s="458" t="s">
        <v>275</v>
      </c>
      <c r="D58" s="459" t="s">
        <v>233</v>
      </c>
      <c r="E58" s="460">
        <v>2577.319587628866</v>
      </c>
      <c r="F58" s="442">
        <f t="shared" si="0"/>
        <v>1546.3917525773195</v>
      </c>
      <c r="G58" s="444">
        <f t="shared" si="1"/>
        <v>0</v>
      </c>
      <c r="H58" s="443">
        <f t="shared" si="2"/>
        <v>128.65979381443299</v>
      </c>
      <c r="I58" s="443">
        <f t="shared" si="3"/>
        <v>0</v>
      </c>
      <c r="J58" s="443">
        <f t="shared" si="4"/>
        <v>48.402061855670105</v>
      </c>
      <c r="K58" s="443">
        <f t="shared" si="5"/>
        <v>0</v>
      </c>
      <c r="L58" s="443">
        <f t="shared" si="6"/>
        <v>39.587628865979383</v>
      </c>
      <c r="M58" s="443">
        <f t="shared" si="7"/>
        <v>0</v>
      </c>
      <c r="N58" s="443">
        <f t="shared" si="8"/>
        <v>32.938144329896907</v>
      </c>
      <c r="O58" s="443">
        <f t="shared" si="9"/>
        <v>0</v>
      </c>
      <c r="P58" s="736"/>
    </row>
    <row r="59" spans="1:16" s="437" customFormat="1" ht="13.5" thickBot="1">
      <c r="A59" s="1122"/>
      <c r="B59" s="445"/>
      <c r="C59" s="458" t="s">
        <v>273</v>
      </c>
      <c r="D59" s="459" t="s">
        <v>3534</v>
      </c>
      <c r="E59" s="460">
        <v>3092.7835051546394</v>
      </c>
      <c r="F59" s="442">
        <f t="shared" si="0"/>
        <v>1855.6701030927836</v>
      </c>
      <c r="G59" s="444">
        <f t="shared" si="1"/>
        <v>0</v>
      </c>
      <c r="H59" s="443">
        <f t="shared" si="2"/>
        <v>154.39175257731958</v>
      </c>
      <c r="I59" s="443">
        <f t="shared" si="3"/>
        <v>0</v>
      </c>
      <c r="J59" s="443">
        <f t="shared" si="4"/>
        <v>58.082474226804131</v>
      </c>
      <c r="K59" s="443">
        <f t="shared" si="5"/>
        <v>0</v>
      </c>
      <c r="L59" s="443">
        <f t="shared" si="6"/>
        <v>47.505154639175259</v>
      </c>
      <c r="M59" s="443">
        <f t="shared" si="7"/>
        <v>0</v>
      </c>
      <c r="N59" s="443">
        <f t="shared" si="8"/>
        <v>39.52577319587629</v>
      </c>
      <c r="O59" s="443">
        <f t="shared" si="9"/>
        <v>0</v>
      </c>
      <c r="P59" s="736"/>
    </row>
    <row r="60" spans="1:16" s="437" customFormat="1" ht="13.5" thickBot="1">
      <c r="A60" s="1122"/>
      <c r="B60" s="438"/>
      <c r="C60" s="458" t="s">
        <v>487</v>
      </c>
      <c r="D60" s="459" t="s">
        <v>3535</v>
      </c>
      <c r="E60" s="460">
        <v>1025.7731958762886</v>
      </c>
      <c r="F60" s="442">
        <f t="shared" si="0"/>
        <v>615.46391752577313</v>
      </c>
      <c r="G60" s="444">
        <f t="shared" si="1"/>
        <v>0</v>
      </c>
      <c r="H60" s="443">
        <f t="shared" si="2"/>
        <v>51.20659793814432</v>
      </c>
      <c r="I60" s="443">
        <f t="shared" si="3"/>
        <v>0</v>
      </c>
      <c r="J60" s="443">
        <f t="shared" si="4"/>
        <v>19.2640206185567</v>
      </c>
      <c r="K60" s="443">
        <f t="shared" si="5"/>
        <v>0</v>
      </c>
      <c r="L60" s="443">
        <f t="shared" si="6"/>
        <v>15.755876288659794</v>
      </c>
      <c r="M60" s="443">
        <f t="shared" si="7"/>
        <v>0</v>
      </c>
      <c r="N60" s="443">
        <f t="shared" si="8"/>
        <v>13.109381443298968</v>
      </c>
      <c r="O60" s="443">
        <f t="shared" si="9"/>
        <v>0</v>
      </c>
      <c r="P60" s="736"/>
    </row>
    <row r="61" spans="1:16" s="437" customFormat="1" ht="13.5" thickBot="1">
      <c r="A61" s="1122"/>
      <c r="B61" s="447"/>
      <c r="C61" s="462" t="s">
        <v>488</v>
      </c>
      <c r="D61" s="459" t="s">
        <v>566</v>
      </c>
      <c r="E61" s="460">
        <v>5463.9175257731958</v>
      </c>
      <c r="F61" s="442">
        <f t="shared" si="0"/>
        <v>3278.3505154639174</v>
      </c>
      <c r="G61" s="444">
        <f t="shared" si="1"/>
        <v>0</v>
      </c>
      <c r="H61" s="443">
        <f t="shared" si="2"/>
        <v>272.75876288659794</v>
      </c>
      <c r="I61" s="443">
        <f t="shared" si="3"/>
        <v>0</v>
      </c>
      <c r="J61" s="443">
        <f t="shared" si="4"/>
        <v>102.61237113402062</v>
      </c>
      <c r="K61" s="443">
        <f t="shared" si="5"/>
        <v>0</v>
      </c>
      <c r="L61" s="443">
        <f t="shared" si="6"/>
        <v>83.925773195876289</v>
      </c>
      <c r="M61" s="443">
        <f t="shared" si="7"/>
        <v>0</v>
      </c>
      <c r="N61" s="443">
        <f t="shared" si="8"/>
        <v>69.828865979381433</v>
      </c>
      <c r="O61" s="443">
        <f t="shared" si="9"/>
        <v>0</v>
      </c>
      <c r="P61" s="736"/>
    </row>
    <row r="62" spans="1:16" s="437" customFormat="1" ht="13.5" thickBot="1">
      <c r="A62" s="1122"/>
      <c r="B62" s="438"/>
      <c r="C62" s="461" t="s">
        <v>484</v>
      </c>
      <c r="D62" s="459" t="s">
        <v>409</v>
      </c>
      <c r="E62" s="460">
        <v>206.18556701030928</v>
      </c>
      <c r="F62" s="442">
        <f t="shared" si="0"/>
        <v>123.71134020618557</v>
      </c>
      <c r="G62" s="444">
        <f t="shared" si="1"/>
        <v>0</v>
      </c>
      <c r="H62" s="443">
        <f t="shared" si="2"/>
        <v>10.292783505154638</v>
      </c>
      <c r="I62" s="443">
        <f t="shared" si="3"/>
        <v>0</v>
      </c>
      <c r="J62" s="443">
        <f t="shared" si="4"/>
        <v>3.8721649484536083</v>
      </c>
      <c r="K62" s="443">
        <f t="shared" si="5"/>
        <v>0</v>
      </c>
      <c r="L62" s="443">
        <f t="shared" si="6"/>
        <v>3.1670103092783508</v>
      </c>
      <c r="M62" s="443">
        <f t="shared" si="7"/>
        <v>0</v>
      </c>
      <c r="N62" s="443">
        <f t="shared" si="8"/>
        <v>2.6350515463917525</v>
      </c>
      <c r="O62" s="443">
        <f t="shared" si="9"/>
        <v>0</v>
      </c>
      <c r="P62" s="736"/>
    </row>
    <row r="63" spans="1:16" s="437" customFormat="1" ht="26.25" thickBot="1">
      <c r="A63" s="1122"/>
      <c r="B63" s="441"/>
      <c r="C63" s="461" t="s">
        <v>485</v>
      </c>
      <c r="D63" s="459" t="s">
        <v>3511</v>
      </c>
      <c r="E63" s="460">
        <v>287.62886597938143</v>
      </c>
      <c r="F63" s="442">
        <f t="shared" si="0"/>
        <v>172.57731958762886</v>
      </c>
      <c r="G63" s="444">
        <f t="shared" si="1"/>
        <v>0</v>
      </c>
      <c r="H63" s="443">
        <f t="shared" si="2"/>
        <v>14.358432989690721</v>
      </c>
      <c r="I63" s="443">
        <f t="shared" si="3"/>
        <v>0</v>
      </c>
      <c r="J63" s="443">
        <f t="shared" si="4"/>
        <v>5.4016701030927834</v>
      </c>
      <c r="K63" s="443">
        <f t="shared" si="5"/>
        <v>0</v>
      </c>
      <c r="L63" s="443">
        <f t="shared" si="6"/>
        <v>4.417979381443299</v>
      </c>
      <c r="M63" s="443">
        <f t="shared" si="7"/>
        <v>0</v>
      </c>
      <c r="N63" s="443">
        <f t="shared" si="8"/>
        <v>3.6758969072164946</v>
      </c>
      <c r="O63" s="443">
        <f t="shared" si="9"/>
        <v>0</v>
      </c>
      <c r="P63" s="736"/>
    </row>
    <row r="64" spans="1:16" s="424" customFormat="1" ht="13.5" thickBot="1">
      <c r="A64" s="1122"/>
      <c r="B64" s="438"/>
      <c r="C64" s="461" t="s">
        <v>3489</v>
      </c>
      <c r="D64" s="459" t="s">
        <v>3512</v>
      </c>
      <c r="E64" s="460">
        <v>875.25773195876286</v>
      </c>
      <c r="F64" s="442">
        <f t="shared" si="0"/>
        <v>525.15463917525767</v>
      </c>
      <c r="G64" s="465">
        <f t="shared" si="1"/>
        <v>0</v>
      </c>
      <c r="H64" s="443">
        <f t="shared" si="2"/>
        <v>43.692865979381438</v>
      </c>
      <c r="I64" s="443">
        <f t="shared" si="3"/>
        <v>0</v>
      </c>
      <c r="J64" s="443">
        <f t="shared" si="4"/>
        <v>16.437340206185567</v>
      </c>
      <c r="K64" s="443">
        <f t="shared" si="5"/>
        <v>0</v>
      </c>
      <c r="L64" s="443">
        <f t="shared" si="6"/>
        <v>13.443958762886597</v>
      </c>
      <c r="M64" s="443">
        <f t="shared" si="7"/>
        <v>0</v>
      </c>
      <c r="N64" s="443">
        <f t="shared" si="8"/>
        <v>11.185793814432989</v>
      </c>
      <c r="O64" s="443">
        <f t="shared" si="9"/>
        <v>0</v>
      </c>
      <c r="P64" s="736"/>
    </row>
    <row r="65" spans="1:16" s="424" customFormat="1" ht="13.5" thickBot="1">
      <c r="A65" s="1122"/>
      <c r="B65" s="440"/>
      <c r="C65" s="458" t="s">
        <v>87</v>
      </c>
      <c r="D65" s="459" t="s">
        <v>88</v>
      </c>
      <c r="E65" s="460">
        <v>1389.6907216494847</v>
      </c>
      <c r="F65" s="442">
        <f t="shared" si="0"/>
        <v>833.81443298969077</v>
      </c>
      <c r="G65" s="465">
        <f t="shared" si="1"/>
        <v>0</v>
      </c>
      <c r="H65" s="443">
        <f t="shared" si="2"/>
        <v>69.373360824742264</v>
      </c>
      <c r="I65" s="443">
        <f t="shared" si="3"/>
        <v>0</v>
      </c>
      <c r="J65" s="443">
        <f t="shared" si="4"/>
        <v>26.098391752577321</v>
      </c>
      <c r="K65" s="443">
        <f t="shared" si="5"/>
        <v>0</v>
      </c>
      <c r="L65" s="443">
        <f t="shared" si="6"/>
        <v>21.345649484536086</v>
      </c>
      <c r="M65" s="443">
        <f t="shared" si="7"/>
        <v>0</v>
      </c>
      <c r="N65" s="443">
        <f t="shared" si="8"/>
        <v>17.760247422680415</v>
      </c>
      <c r="O65" s="443">
        <f t="shared" si="9"/>
        <v>0</v>
      </c>
      <c r="P65" s="736"/>
    </row>
    <row r="66" spans="1:16" s="424" customFormat="1" ht="13.5" thickBot="1">
      <c r="A66" s="1122"/>
      <c r="B66" s="441"/>
      <c r="C66" s="458" t="s">
        <v>3490</v>
      </c>
      <c r="D66" s="459" t="s">
        <v>229</v>
      </c>
      <c r="E66" s="460">
        <v>229.48453608247422</v>
      </c>
      <c r="F66" s="442">
        <f t="shared" si="0"/>
        <v>137.69072164948452</v>
      </c>
      <c r="G66" s="465">
        <f t="shared" si="1"/>
        <v>0</v>
      </c>
      <c r="H66" s="443">
        <f t="shared" si="2"/>
        <v>11.45586804123711</v>
      </c>
      <c r="I66" s="443">
        <f t="shared" si="3"/>
        <v>0</v>
      </c>
      <c r="J66" s="443">
        <f t="shared" si="4"/>
        <v>4.3097195876288659</v>
      </c>
      <c r="K66" s="443">
        <f t="shared" si="5"/>
        <v>0</v>
      </c>
      <c r="L66" s="443">
        <f t="shared" si="6"/>
        <v>3.5248824742268039</v>
      </c>
      <c r="M66" s="443">
        <f t="shared" si="7"/>
        <v>0</v>
      </c>
      <c r="N66" s="443">
        <f t="shared" si="8"/>
        <v>2.9328123711340202</v>
      </c>
      <c r="O66" s="443">
        <f t="shared" si="9"/>
        <v>0</v>
      </c>
      <c r="P66" s="736"/>
    </row>
    <row r="67" spans="1:16" s="424" customFormat="1" ht="26.25" thickBot="1">
      <c r="A67" s="1122"/>
      <c r="B67" s="438"/>
      <c r="C67" s="458" t="s">
        <v>490</v>
      </c>
      <c r="D67" s="459" t="s">
        <v>3505</v>
      </c>
      <c r="E67" s="460">
        <v>1103.0927835051546</v>
      </c>
      <c r="F67" s="59">
        <f t="shared" si="0"/>
        <v>661.85567010309273</v>
      </c>
      <c r="G67" s="62">
        <f t="shared" si="1"/>
        <v>0</v>
      </c>
      <c r="H67" s="60">
        <f t="shared" si="2"/>
        <v>55.06639175257731</v>
      </c>
      <c r="I67" s="60">
        <f t="shared" si="3"/>
        <v>0</v>
      </c>
      <c r="J67" s="60">
        <f t="shared" si="4"/>
        <v>20.716082474226802</v>
      </c>
      <c r="K67" s="60">
        <f t="shared" si="5"/>
        <v>0</v>
      </c>
      <c r="L67" s="60">
        <f t="shared" si="6"/>
        <v>16.943505154639176</v>
      </c>
      <c r="M67" s="60">
        <f t="shared" si="7"/>
        <v>0</v>
      </c>
      <c r="N67" s="60">
        <f t="shared" si="8"/>
        <v>14.097525773195875</v>
      </c>
      <c r="O67" s="60">
        <f t="shared" si="9"/>
        <v>0</v>
      </c>
      <c r="P67" s="736"/>
    </row>
    <row r="68" spans="1:16" s="424" customFormat="1" ht="13.5" thickBot="1">
      <c r="A68" s="1122"/>
      <c r="B68" s="441"/>
      <c r="C68" s="461" t="s">
        <v>455</v>
      </c>
      <c r="D68" s="459" t="s">
        <v>3506</v>
      </c>
      <c r="E68" s="460">
        <v>1101.5257731958764</v>
      </c>
      <c r="F68" s="442">
        <f t="shared" si="0"/>
        <v>660.91546391752581</v>
      </c>
      <c r="G68" s="62">
        <f t="shared" si="1"/>
        <v>0</v>
      </c>
      <c r="H68" s="443">
        <f t="shared" si="2"/>
        <v>54.988166597938147</v>
      </c>
      <c r="I68" s="60">
        <f t="shared" si="3"/>
        <v>0</v>
      </c>
      <c r="J68" s="443">
        <f t="shared" si="4"/>
        <v>20.686654020618558</v>
      </c>
      <c r="K68" s="60">
        <f t="shared" si="5"/>
        <v>0</v>
      </c>
      <c r="L68" s="443">
        <f t="shared" si="6"/>
        <v>16.919435876288663</v>
      </c>
      <c r="M68" s="60">
        <f t="shared" si="7"/>
        <v>0</v>
      </c>
      <c r="N68" s="443">
        <f t="shared" si="8"/>
        <v>14.0774993814433</v>
      </c>
      <c r="O68" s="60">
        <f t="shared" si="9"/>
        <v>0</v>
      </c>
      <c r="P68" s="736"/>
    </row>
    <row r="69" spans="1:16" s="424" customFormat="1" ht="26.25" thickBot="1">
      <c r="A69" s="1122"/>
      <c r="B69" s="441"/>
      <c r="C69" s="458" t="s">
        <v>3492</v>
      </c>
      <c r="D69" s="459" t="s">
        <v>3515</v>
      </c>
      <c r="E69" s="460">
        <v>1673.1958762886597</v>
      </c>
      <c r="F69" s="442">
        <f t="shared" si="0"/>
        <v>1003.9175257731958</v>
      </c>
      <c r="G69" s="444">
        <f t="shared" si="1"/>
        <v>0</v>
      </c>
      <c r="H69" s="443">
        <f t="shared" si="2"/>
        <v>83.525938144329885</v>
      </c>
      <c r="I69" s="443">
        <f t="shared" si="3"/>
        <v>0</v>
      </c>
      <c r="J69" s="443">
        <f t="shared" si="4"/>
        <v>31.422618556701032</v>
      </c>
      <c r="K69" s="443">
        <f t="shared" si="5"/>
        <v>0</v>
      </c>
      <c r="L69" s="443">
        <f t="shared" si="6"/>
        <v>25.700288659793816</v>
      </c>
      <c r="M69" s="443">
        <f t="shared" si="7"/>
        <v>0</v>
      </c>
      <c r="N69" s="443">
        <f t="shared" si="8"/>
        <v>21.38344329896907</v>
      </c>
      <c r="O69" s="443">
        <f t="shared" si="9"/>
        <v>0</v>
      </c>
      <c r="P69" s="736"/>
    </row>
    <row r="70" spans="1:16" s="424" customFormat="1" ht="26.25" thickBot="1">
      <c r="A70" s="1122"/>
      <c r="B70" s="440"/>
      <c r="C70" s="458" t="s">
        <v>3495</v>
      </c>
      <c r="D70" s="459" t="s">
        <v>3518</v>
      </c>
      <c r="E70" s="460">
        <v>2020.340206185567</v>
      </c>
      <c r="F70" s="442">
        <f t="shared" si="0"/>
        <v>1212.2041237113401</v>
      </c>
      <c r="G70" s="444">
        <f t="shared" si="1"/>
        <v>0</v>
      </c>
      <c r="H70" s="443">
        <f t="shared" si="2"/>
        <v>100.8553830927835</v>
      </c>
      <c r="I70" s="443">
        <f t="shared" si="3"/>
        <v>0</v>
      </c>
      <c r="J70" s="443">
        <f t="shared" si="4"/>
        <v>37.941989072164951</v>
      </c>
      <c r="K70" s="443">
        <f t="shared" si="5"/>
        <v>0</v>
      </c>
      <c r="L70" s="443">
        <f t="shared" si="6"/>
        <v>31.032425567010307</v>
      </c>
      <c r="M70" s="443">
        <f t="shared" si="7"/>
        <v>0</v>
      </c>
      <c r="N70" s="443">
        <f t="shared" si="8"/>
        <v>25.819947835051543</v>
      </c>
      <c r="O70" s="443">
        <f t="shared" si="9"/>
        <v>0</v>
      </c>
      <c r="P70" s="736"/>
    </row>
    <row r="71" spans="1:16" s="437" customFormat="1" ht="26.25" thickBot="1">
      <c r="A71" s="1122"/>
      <c r="B71" s="447"/>
      <c r="C71" s="458" t="s">
        <v>3496</v>
      </c>
      <c r="D71" s="459" t="s">
        <v>3519</v>
      </c>
      <c r="E71" s="460">
        <v>3510.0309278350514</v>
      </c>
      <c r="F71" s="442">
        <f t="shared" si="0"/>
        <v>2106.0185567010308</v>
      </c>
      <c r="G71" s="444">
        <f t="shared" si="1"/>
        <v>0</v>
      </c>
      <c r="H71" s="443">
        <f t="shared" si="2"/>
        <v>175.22074391752577</v>
      </c>
      <c r="I71" s="443">
        <f t="shared" si="3"/>
        <v>0</v>
      </c>
      <c r="J71" s="443">
        <f t="shared" si="4"/>
        <v>65.918380824742272</v>
      </c>
      <c r="K71" s="443">
        <f t="shared" si="5"/>
        <v>0</v>
      </c>
      <c r="L71" s="443">
        <f t="shared" si="6"/>
        <v>53.914075051546391</v>
      </c>
      <c r="M71" s="443">
        <f t="shared" si="7"/>
        <v>0</v>
      </c>
      <c r="N71" s="443">
        <f t="shared" si="8"/>
        <v>44.858195257731957</v>
      </c>
      <c r="O71" s="443">
        <f t="shared" si="9"/>
        <v>0</v>
      </c>
      <c r="P71" s="736"/>
    </row>
    <row r="72" spans="1:16" s="437" customFormat="1" ht="26.25" thickBot="1">
      <c r="A72" s="1122"/>
      <c r="B72" s="441"/>
      <c r="C72" s="458" t="s">
        <v>3497</v>
      </c>
      <c r="D72" s="459" t="s">
        <v>3520</v>
      </c>
      <c r="E72" s="460">
        <v>3432.7113402061855</v>
      </c>
      <c r="F72" s="442">
        <f t="shared" si="0"/>
        <v>2059.6268041237113</v>
      </c>
      <c r="G72" s="444">
        <f t="shared" si="1"/>
        <v>0</v>
      </c>
      <c r="H72" s="443">
        <f t="shared" si="2"/>
        <v>171.36095010309276</v>
      </c>
      <c r="I72" s="443">
        <f t="shared" si="3"/>
        <v>0</v>
      </c>
      <c r="J72" s="443">
        <f t="shared" si="4"/>
        <v>64.466318969072162</v>
      </c>
      <c r="K72" s="443">
        <f t="shared" si="5"/>
        <v>0</v>
      </c>
      <c r="L72" s="443">
        <f t="shared" si="6"/>
        <v>52.726446185567013</v>
      </c>
      <c r="M72" s="443">
        <f t="shared" si="7"/>
        <v>0</v>
      </c>
      <c r="N72" s="443">
        <f t="shared" si="8"/>
        <v>43.870050927835052</v>
      </c>
      <c r="O72" s="443">
        <f t="shared" si="9"/>
        <v>0</v>
      </c>
      <c r="P72" s="736"/>
    </row>
    <row r="73" spans="1:16" s="437" customFormat="1" ht="26.25" thickBot="1">
      <c r="A73" s="1122"/>
      <c r="B73" s="441"/>
      <c r="C73" s="458" t="s">
        <v>3498</v>
      </c>
      <c r="D73" s="459" t="s">
        <v>3521</v>
      </c>
      <c r="E73" s="460">
        <v>4958.4845360824738</v>
      </c>
      <c r="F73" s="442">
        <f t="shared" si="0"/>
        <v>2975.0907216494843</v>
      </c>
      <c r="G73" s="444">
        <f t="shared" si="1"/>
        <v>0</v>
      </c>
      <c r="H73" s="443">
        <f t="shared" si="2"/>
        <v>247.52754804123708</v>
      </c>
      <c r="I73" s="443">
        <f t="shared" si="3"/>
        <v>0</v>
      </c>
      <c r="J73" s="443">
        <f t="shared" si="4"/>
        <v>93.120339587628862</v>
      </c>
      <c r="K73" s="443">
        <f t="shared" si="5"/>
        <v>0</v>
      </c>
      <c r="L73" s="443">
        <f t="shared" si="6"/>
        <v>76.162322474226798</v>
      </c>
      <c r="M73" s="443">
        <f t="shared" si="7"/>
        <v>0</v>
      </c>
      <c r="N73" s="443">
        <f t="shared" si="8"/>
        <v>63.36943237113401</v>
      </c>
      <c r="O73" s="443">
        <f t="shared" si="9"/>
        <v>0</v>
      </c>
      <c r="P73" s="736"/>
    </row>
    <row r="74" spans="1:16" s="437" customFormat="1" ht="13.5" thickBot="1">
      <c r="A74" s="1122"/>
      <c r="B74" s="441"/>
      <c r="C74" s="458" t="s">
        <v>691</v>
      </c>
      <c r="D74" s="459" t="s">
        <v>672</v>
      </c>
      <c r="E74" s="460">
        <v>4286.5979381443303</v>
      </c>
      <c r="F74" s="442">
        <f t="shared" si="0"/>
        <v>2571.9587628865979</v>
      </c>
      <c r="G74" s="444">
        <f t="shared" si="1"/>
        <v>0</v>
      </c>
      <c r="H74" s="443">
        <f t="shared" si="2"/>
        <v>213.98696907216492</v>
      </c>
      <c r="I74" s="443">
        <f t="shared" si="3"/>
        <v>0</v>
      </c>
      <c r="J74" s="443">
        <f t="shared" si="4"/>
        <v>80.502309278350523</v>
      </c>
      <c r="K74" s="443">
        <f t="shared" si="5"/>
        <v>0</v>
      </c>
      <c r="L74" s="443">
        <f t="shared" si="6"/>
        <v>65.842144329896911</v>
      </c>
      <c r="M74" s="443">
        <f t="shared" si="7"/>
        <v>0</v>
      </c>
      <c r="N74" s="443">
        <f t="shared" si="8"/>
        <v>54.782721649484536</v>
      </c>
      <c r="O74" s="443">
        <f t="shared" si="9"/>
        <v>0</v>
      </c>
      <c r="P74" s="736"/>
    </row>
    <row r="75" spans="1:16" s="437" customFormat="1" ht="13.5" thickBot="1">
      <c r="A75" s="1122"/>
      <c r="B75" s="441"/>
      <c r="C75" s="458" t="s">
        <v>3502</v>
      </c>
      <c r="D75" s="459" t="s">
        <v>3525</v>
      </c>
      <c r="E75" s="460">
        <v>515.46391752577324</v>
      </c>
      <c r="F75" s="442">
        <f t="shared" si="0"/>
        <v>309.27835051546396</v>
      </c>
      <c r="G75" s="444">
        <f t="shared" si="1"/>
        <v>0</v>
      </c>
      <c r="H75" s="443">
        <f t="shared" si="2"/>
        <v>25.731958762886599</v>
      </c>
      <c r="I75" s="443">
        <f t="shared" si="3"/>
        <v>0</v>
      </c>
      <c r="J75" s="443">
        <f t="shared" si="4"/>
        <v>9.6804123711340218</v>
      </c>
      <c r="K75" s="443">
        <f t="shared" si="5"/>
        <v>0</v>
      </c>
      <c r="L75" s="443">
        <f t="shared" si="6"/>
        <v>7.9175257731958775</v>
      </c>
      <c r="M75" s="443">
        <f t="shared" si="7"/>
        <v>0</v>
      </c>
      <c r="N75" s="443">
        <f t="shared" si="8"/>
        <v>6.587628865979382</v>
      </c>
      <c r="O75" s="443">
        <f t="shared" si="9"/>
        <v>0</v>
      </c>
      <c r="P75" s="736"/>
    </row>
    <row r="76" spans="1:16" s="437" customFormat="1" ht="13.5" thickBot="1">
      <c r="A76" s="1122"/>
      <c r="B76" s="440"/>
      <c r="C76" s="458" t="s">
        <v>476</v>
      </c>
      <c r="D76" s="459" t="s">
        <v>3514</v>
      </c>
      <c r="E76" s="460">
        <v>515.46391752577324</v>
      </c>
      <c r="F76" s="442">
        <f t="shared" si="0"/>
        <v>309.27835051546396</v>
      </c>
      <c r="G76" s="444">
        <f t="shared" si="1"/>
        <v>0</v>
      </c>
      <c r="H76" s="443">
        <f t="shared" si="2"/>
        <v>25.731958762886599</v>
      </c>
      <c r="I76" s="443">
        <f t="shared" si="3"/>
        <v>0</v>
      </c>
      <c r="J76" s="443">
        <f t="shared" si="4"/>
        <v>9.6804123711340218</v>
      </c>
      <c r="K76" s="443">
        <f t="shared" si="5"/>
        <v>0</v>
      </c>
      <c r="L76" s="443">
        <f t="shared" si="6"/>
        <v>7.9175257731958775</v>
      </c>
      <c r="M76" s="443">
        <f t="shared" si="7"/>
        <v>0</v>
      </c>
      <c r="N76" s="443">
        <f t="shared" si="8"/>
        <v>6.587628865979382</v>
      </c>
      <c r="O76" s="443">
        <f t="shared" si="9"/>
        <v>0</v>
      </c>
      <c r="P76" s="736"/>
    </row>
    <row r="77" spans="1:16" s="437" customFormat="1" ht="13.5" thickBot="1">
      <c r="A77" s="1122"/>
      <c r="B77" s="440"/>
      <c r="C77" s="461" t="s">
        <v>3488</v>
      </c>
      <c r="D77" s="459" t="s">
        <v>3508</v>
      </c>
      <c r="E77" s="460">
        <v>88.659793814432987</v>
      </c>
      <c r="F77" s="442">
        <f t="shared" si="0"/>
        <v>53.19587628865979</v>
      </c>
      <c r="G77" s="444">
        <f t="shared" si="1"/>
        <v>0</v>
      </c>
      <c r="H77" s="443">
        <f t="shared" si="2"/>
        <v>4.4258969072164946</v>
      </c>
      <c r="I77" s="443">
        <f t="shared" si="3"/>
        <v>0</v>
      </c>
      <c r="J77" s="443">
        <f t="shared" si="4"/>
        <v>1.6650309278350515</v>
      </c>
      <c r="K77" s="443">
        <f t="shared" si="5"/>
        <v>0</v>
      </c>
      <c r="L77" s="443">
        <f t="shared" si="6"/>
        <v>1.3618144329896906</v>
      </c>
      <c r="M77" s="443">
        <f t="shared" si="7"/>
        <v>0</v>
      </c>
      <c r="N77" s="443">
        <f t="shared" si="8"/>
        <v>1.1330721649484534</v>
      </c>
      <c r="O77" s="443">
        <f t="shared" si="9"/>
        <v>0</v>
      </c>
      <c r="P77" s="736"/>
    </row>
    <row r="78" spans="1:16" s="437" customFormat="1" ht="13.5" thickBot="1">
      <c r="A78" s="1122"/>
      <c r="B78" s="447"/>
      <c r="C78" s="462" t="s">
        <v>692</v>
      </c>
      <c r="D78" s="459" t="s">
        <v>3510</v>
      </c>
      <c r="E78" s="460">
        <v>126.80412371134021</v>
      </c>
      <c r="F78" s="442">
        <f t="shared" si="0"/>
        <v>76.082474226804123</v>
      </c>
      <c r="G78" s="444">
        <f t="shared" si="1"/>
        <v>0</v>
      </c>
      <c r="H78" s="443">
        <f t="shared" si="2"/>
        <v>6.3300618556701025</v>
      </c>
      <c r="I78" s="443">
        <f t="shared" si="3"/>
        <v>0</v>
      </c>
      <c r="J78" s="443">
        <f t="shared" si="4"/>
        <v>2.3813814432989693</v>
      </c>
      <c r="K78" s="443">
        <f t="shared" si="5"/>
        <v>0</v>
      </c>
      <c r="L78" s="443">
        <f t="shared" si="6"/>
        <v>1.9477113402061856</v>
      </c>
      <c r="M78" s="443">
        <f t="shared" si="7"/>
        <v>0</v>
      </c>
      <c r="N78" s="443">
        <f t="shared" si="8"/>
        <v>1.6205567010309279</v>
      </c>
      <c r="O78" s="443">
        <f t="shared" si="9"/>
        <v>0</v>
      </c>
      <c r="P78" s="736"/>
    </row>
    <row r="79" spans="1:16" s="437" customFormat="1" ht="13.5" thickBot="1">
      <c r="A79" s="1122"/>
      <c r="B79" s="440"/>
      <c r="C79" s="461" t="s">
        <v>693</v>
      </c>
      <c r="D79" s="459" t="s">
        <v>674</v>
      </c>
      <c r="E79" s="460">
        <v>129.89690721649484</v>
      </c>
      <c r="F79" s="442">
        <f t="shared" si="0"/>
        <v>77.9381443298969</v>
      </c>
      <c r="G79" s="444">
        <f t="shared" si="1"/>
        <v>0</v>
      </c>
      <c r="H79" s="443">
        <f t="shared" si="2"/>
        <v>6.4844536082474216</v>
      </c>
      <c r="I79" s="443">
        <f t="shared" si="3"/>
        <v>0</v>
      </c>
      <c r="J79" s="443">
        <f t="shared" si="4"/>
        <v>2.4394639175257731</v>
      </c>
      <c r="K79" s="443">
        <f t="shared" si="5"/>
        <v>0</v>
      </c>
      <c r="L79" s="443">
        <f t="shared" si="6"/>
        <v>1.9952164948453608</v>
      </c>
      <c r="M79" s="443">
        <f t="shared" si="7"/>
        <v>0</v>
      </c>
      <c r="N79" s="443">
        <f t="shared" si="8"/>
        <v>1.6600824742268039</v>
      </c>
      <c r="O79" s="443">
        <f t="shared" si="9"/>
        <v>0</v>
      </c>
      <c r="P79" s="736"/>
    </row>
    <row r="80" spans="1:16" s="424" customFormat="1" ht="26.25" thickBot="1">
      <c r="A80" s="1122"/>
      <c r="B80" s="441"/>
      <c r="C80" s="461" t="s">
        <v>438</v>
      </c>
      <c r="D80" s="459" t="s">
        <v>594</v>
      </c>
      <c r="E80" s="460">
        <v>1134.020618556701</v>
      </c>
      <c r="F80" s="442">
        <f t="shared" si="0"/>
        <v>680.41237113402065</v>
      </c>
      <c r="G80" s="61">
        <f t="shared" si="1"/>
        <v>0</v>
      </c>
      <c r="H80" s="443">
        <f t="shared" si="2"/>
        <v>56.610309278350513</v>
      </c>
      <c r="I80" s="60">
        <f t="shared" si="3"/>
        <v>0</v>
      </c>
      <c r="J80" s="443">
        <f t="shared" si="4"/>
        <v>21.296907216494848</v>
      </c>
      <c r="K80" s="60">
        <f t="shared" si="5"/>
        <v>0</v>
      </c>
      <c r="L80" s="443">
        <f t="shared" si="6"/>
        <v>17.41855670103093</v>
      </c>
      <c r="M80" s="60">
        <f t="shared" si="7"/>
        <v>0</v>
      </c>
      <c r="N80" s="443">
        <f t="shared" si="8"/>
        <v>14.492783505154639</v>
      </c>
      <c r="O80" s="60">
        <f t="shared" si="9"/>
        <v>0</v>
      </c>
      <c r="P80" s="736"/>
    </row>
    <row r="81" spans="1:16" s="424" customFormat="1" ht="13.5" thickBot="1">
      <c r="A81" s="1122"/>
      <c r="B81" s="440"/>
      <c r="C81" s="458" t="s">
        <v>439</v>
      </c>
      <c r="D81" s="459" t="s">
        <v>595</v>
      </c>
      <c r="E81" s="460">
        <v>809.2783505154639</v>
      </c>
      <c r="F81" s="442">
        <f t="shared" ref="F81:F111" si="10">E81*(1-40%)</f>
        <v>485.56701030927832</v>
      </c>
      <c r="G81" s="444">
        <f t="shared" ref="G81:G111" si="11">F81*B81</f>
        <v>0</v>
      </c>
      <c r="H81" s="443">
        <f t="shared" ref="H81:H111" si="12">F81*0.0832</f>
        <v>40.399175257731955</v>
      </c>
      <c r="I81" s="443">
        <f t="shared" ref="I81:I111" si="13">H81*B81</f>
        <v>0</v>
      </c>
      <c r="J81" s="443">
        <f t="shared" ref="J81:J111" si="14">F81*0.0313</f>
        <v>15.198247422680412</v>
      </c>
      <c r="K81" s="443">
        <f t="shared" ref="K81:K111" si="15">J81*B81</f>
        <v>0</v>
      </c>
      <c r="L81" s="443">
        <f t="shared" ref="L81:L111" si="16">F81*0.0256</f>
        <v>12.430515463917526</v>
      </c>
      <c r="M81" s="443">
        <f t="shared" ref="M81:M111" si="17">L81*B81</f>
        <v>0</v>
      </c>
      <c r="N81" s="443">
        <f t="shared" ref="N81:N111" si="18">F81*0.0213</f>
        <v>10.342577319587628</v>
      </c>
      <c r="O81" s="443">
        <f t="shared" ref="O81:O111" si="19">N81*B81</f>
        <v>0</v>
      </c>
      <c r="P81" s="736"/>
    </row>
    <row r="82" spans="1:16" s="424" customFormat="1" ht="13.5" thickBot="1">
      <c r="A82" s="1122"/>
      <c r="B82" s="441"/>
      <c r="C82" s="458" t="s">
        <v>440</v>
      </c>
      <c r="D82" s="459" t="s">
        <v>418</v>
      </c>
      <c r="E82" s="460">
        <v>688.45360824742261</v>
      </c>
      <c r="F82" s="442">
        <f t="shared" si="10"/>
        <v>413.07216494845358</v>
      </c>
      <c r="G82" s="444">
        <f t="shared" si="11"/>
        <v>0</v>
      </c>
      <c r="H82" s="443">
        <f t="shared" si="12"/>
        <v>34.367604123711338</v>
      </c>
      <c r="I82" s="443">
        <f t="shared" si="13"/>
        <v>0</v>
      </c>
      <c r="J82" s="443">
        <f t="shared" si="14"/>
        <v>12.929158762886598</v>
      </c>
      <c r="K82" s="443">
        <f t="shared" si="15"/>
        <v>0</v>
      </c>
      <c r="L82" s="443">
        <f t="shared" si="16"/>
        <v>10.574647422680412</v>
      </c>
      <c r="M82" s="443">
        <f t="shared" si="17"/>
        <v>0</v>
      </c>
      <c r="N82" s="443">
        <f t="shared" si="18"/>
        <v>8.7984371134020609</v>
      </c>
      <c r="O82" s="443">
        <f t="shared" si="19"/>
        <v>0</v>
      </c>
      <c r="P82" s="736"/>
    </row>
    <row r="83" spans="1:16" s="437" customFormat="1" ht="13.5" thickBot="1">
      <c r="A83" s="1122"/>
      <c r="B83" s="441"/>
      <c r="C83" s="458" t="s">
        <v>441</v>
      </c>
      <c r="D83" s="459" t="s">
        <v>596</v>
      </c>
      <c r="E83" s="460">
        <v>846.39175257731961</v>
      </c>
      <c r="F83" s="442">
        <f t="shared" si="10"/>
        <v>507.83505154639175</v>
      </c>
      <c r="G83" s="444">
        <f t="shared" si="11"/>
        <v>0</v>
      </c>
      <c r="H83" s="443">
        <f t="shared" si="12"/>
        <v>42.251876288659794</v>
      </c>
      <c r="I83" s="443">
        <f t="shared" si="13"/>
        <v>0</v>
      </c>
      <c r="J83" s="443">
        <f t="shared" si="14"/>
        <v>15.895237113402063</v>
      </c>
      <c r="K83" s="443">
        <f t="shared" si="15"/>
        <v>0</v>
      </c>
      <c r="L83" s="443">
        <f t="shared" si="16"/>
        <v>13.000577319587629</v>
      </c>
      <c r="M83" s="443">
        <f t="shared" si="17"/>
        <v>0</v>
      </c>
      <c r="N83" s="443">
        <f t="shared" si="18"/>
        <v>10.816886597938144</v>
      </c>
      <c r="O83" s="443">
        <f t="shared" si="19"/>
        <v>0</v>
      </c>
      <c r="P83" s="736"/>
    </row>
    <row r="84" spans="1:16" s="437" customFormat="1" ht="13.5" thickBot="1">
      <c r="A84" s="1122"/>
      <c r="B84" s="441"/>
      <c r="C84" s="462" t="s">
        <v>442</v>
      </c>
      <c r="D84" s="459" t="s">
        <v>597</v>
      </c>
      <c r="E84" s="460">
        <v>711.34020618556701</v>
      </c>
      <c r="F84" s="442">
        <f t="shared" si="10"/>
        <v>426.8041237113402</v>
      </c>
      <c r="G84" s="444">
        <f t="shared" si="11"/>
        <v>0</v>
      </c>
      <c r="H84" s="443">
        <f t="shared" si="12"/>
        <v>35.510103092783503</v>
      </c>
      <c r="I84" s="443">
        <f t="shared" si="13"/>
        <v>0</v>
      </c>
      <c r="J84" s="443">
        <f t="shared" si="14"/>
        <v>13.358969072164948</v>
      </c>
      <c r="K84" s="443">
        <f t="shared" si="15"/>
        <v>0</v>
      </c>
      <c r="L84" s="443">
        <f t="shared" si="16"/>
        <v>10.926185567010309</v>
      </c>
      <c r="M84" s="443">
        <f t="shared" si="17"/>
        <v>0</v>
      </c>
      <c r="N84" s="443">
        <f t="shared" si="18"/>
        <v>9.0909278350515468</v>
      </c>
      <c r="O84" s="443">
        <f t="shared" si="19"/>
        <v>0</v>
      </c>
      <c r="P84" s="736"/>
    </row>
    <row r="85" spans="1:16" s="437" customFormat="1" ht="13.5" thickBot="1">
      <c r="A85" s="1122"/>
      <c r="B85" s="441"/>
      <c r="C85" s="461" t="s">
        <v>443</v>
      </c>
      <c r="D85" s="459" t="s">
        <v>598</v>
      </c>
      <c r="E85" s="460">
        <v>196.90721649484536</v>
      </c>
      <c r="F85" s="442">
        <f t="shared" si="10"/>
        <v>118.14432989690721</v>
      </c>
      <c r="G85" s="444">
        <f t="shared" si="11"/>
        <v>0</v>
      </c>
      <c r="H85" s="443">
        <f t="shared" si="12"/>
        <v>9.82960824742268</v>
      </c>
      <c r="I85" s="443">
        <f t="shared" si="13"/>
        <v>0</v>
      </c>
      <c r="J85" s="443">
        <f t="shared" si="14"/>
        <v>3.697917525773196</v>
      </c>
      <c r="K85" s="443">
        <f t="shared" si="15"/>
        <v>0</v>
      </c>
      <c r="L85" s="443">
        <f t="shared" si="16"/>
        <v>3.0244948453608247</v>
      </c>
      <c r="M85" s="443">
        <f t="shared" si="17"/>
        <v>0</v>
      </c>
      <c r="N85" s="443">
        <f t="shared" si="18"/>
        <v>2.5164742268041236</v>
      </c>
      <c r="O85" s="443">
        <f t="shared" si="19"/>
        <v>0</v>
      </c>
      <c r="P85" s="736"/>
    </row>
    <row r="86" spans="1:16" s="437" customFormat="1" ht="13.5" thickBot="1">
      <c r="A86" s="1122"/>
      <c r="B86" s="441"/>
      <c r="C86" s="461" t="s">
        <v>444</v>
      </c>
      <c r="D86" s="459" t="s">
        <v>680</v>
      </c>
      <c r="E86" s="460">
        <v>688.45360824742261</v>
      </c>
      <c r="F86" s="442">
        <f t="shared" si="10"/>
        <v>413.07216494845358</v>
      </c>
      <c r="G86" s="444">
        <f t="shared" si="11"/>
        <v>0</v>
      </c>
      <c r="H86" s="443">
        <f t="shared" si="12"/>
        <v>34.367604123711338</v>
      </c>
      <c r="I86" s="443">
        <f t="shared" si="13"/>
        <v>0</v>
      </c>
      <c r="J86" s="443">
        <f t="shared" si="14"/>
        <v>12.929158762886598</v>
      </c>
      <c r="K86" s="443">
        <f t="shared" si="15"/>
        <v>0</v>
      </c>
      <c r="L86" s="443">
        <f t="shared" si="16"/>
        <v>10.574647422680412</v>
      </c>
      <c r="M86" s="443">
        <f t="shared" si="17"/>
        <v>0</v>
      </c>
      <c r="N86" s="443">
        <f t="shared" si="18"/>
        <v>8.7984371134020609</v>
      </c>
      <c r="O86" s="443">
        <f t="shared" si="19"/>
        <v>0</v>
      </c>
      <c r="P86" s="736"/>
    </row>
    <row r="87" spans="1:16" s="437" customFormat="1" ht="13.5" thickBot="1">
      <c r="A87" s="1122"/>
      <c r="B87" s="441"/>
      <c r="C87" s="458" t="s">
        <v>116</v>
      </c>
      <c r="D87" s="459" t="s">
        <v>117</v>
      </c>
      <c r="E87" s="460">
        <v>257.73195876288662</v>
      </c>
      <c r="F87" s="59">
        <f t="shared" si="10"/>
        <v>154.63917525773198</v>
      </c>
      <c r="G87" s="62">
        <f t="shared" si="11"/>
        <v>0</v>
      </c>
      <c r="H87" s="60">
        <f t="shared" si="12"/>
        <v>12.865979381443299</v>
      </c>
      <c r="I87" s="60">
        <f t="shared" si="13"/>
        <v>0</v>
      </c>
      <c r="J87" s="60">
        <f t="shared" si="14"/>
        <v>4.8402061855670109</v>
      </c>
      <c r="K87" s="60">
        <f t="shared" si="15"/>
        <v>0</v>
      </c>
      <c r="L87" s="60">
        <f t="shared" si="16"/>
        <v>3.9587628865979387</v>
      </c>
      <c r="M87" s="60">
        <f t="shared" si="17"/>
        <v>0</v>
      </c>
      <c r="N87" s="60">
        <f t="shared" si="18"/>
        <v>3.293814432989691</v>
      </c>
      <c r="O87" s="60">
        <f t="shared" si="19"/>
        <v>0</v>
      </c>
      <c r="P87" s="736"/>
    </row>
    <row r="88" spans="1:16" s="437" customFormat="1" ht="13.5" thickBot="1">
      <c r="A88" s="1122"/>
      <c r="B88" s="441"/>
      <c r="C88" s="461" t="s">
        <v>3487</v>
      </c>
      <c r="D88" s="459" t="s">
        <v>3507</v>
      </c>
      <c r="E88" s="460">
        <v>407.21649484536084</v>
      </c>
      <c r="F88" s="442">
        <f t="shared" si="10"/>
        <v>244.32989690721649</v>
      </c>
      <c r="G88" s="444">
        <f t="shared" si="11"/>
        <v>0</v>
      </c>
      <c r="H88" s="443">
        <f t="shared" si="12"/>
        <v>20.328247422680413</v>
      </c>
      <c r="I88" s="443">
        <f t="shared" si="13"/>
        <v>0</v>
      </c>
      <c r="J88" s="443">
        <f t="shared" si="14"/>
        <v>7.647525773195877</v>
      </c>
      <c r="K88" s="443">
        <f t="shared" si="15"/>
        <v>0</v>
      </c>
      <c r="L88" s="443">
        <f t="shared" si="16"/>
        <v>6.254845360824743</v>
      </c>
      <c r="M88" s="443">
        <f t="shared" si="17"/>
        <v>0</v>
      </c>
      <c r="N88" s="443">
        <f t="shared" si="18"/>
        <v>5.204226804123711</v>
      </c>
      <c r="O88" s="443">
        <f t="shared" si="19"/>
        <v>0</v>
      </c>
      <c r="P88" s="736"/>
    </row>
    <row r="89" spans="1:16" s="437" customFormat="1" ht="13.5" thickBot="1">
      <c r="A89" s="1122"/>
      <c r="B89" s="441"/>
      <c r="C89" s="458" t="s">
        <v>3503</v>
      </c>
      <c r="D89" s="459" t="s">
        <v>3528</v>
      </c>
      <c r="E89" s="460">
        <v>3442.2680412371137</v>
      </c>
      <c r="F89" s="442">
        <f t="shared" si="10"/>
        <v>2065.3608247422681</v>
      </c>
      <c r="G89" s="444">
        <f t="shared" si="11"/>
        <v>0</v>
      </c>
      <c r="H89" s="443">
        <f t="shared" si="12"/>
        <v>171.8380206185567</v>
      </c>
      <c r="I89" s="443">
        <f t="shared" si="13"/>
        <v>0</v>
      </c>
      <c r="J89" s="443">
        <f t="shared" si="14"/>
        <v>64.645793814432992</v>
      </c>
      <c r="K89" s="443">
        <f t="shared" si="15"/>
        <v>0</v>
      </c>
      <c r="L89" s="443">
        <f t="shared" si="16"/>
        <v>52.873237113402062</v>
      </c>
      <c r="M89" s="443">
        <f t="shared" si="17"/>
        <v>0</v>
      </c>
      <c r="N89" s="443">
        <f t="shared" si="18"/>
        <v>43.99218556701031</v>
      </c>
      <c r="O89" s="443">
        <f t="shared" si="19"/>
        <v>0</v>
      </c>
      <c r="P89" s="736"/>
    </row>
    <row r="90" spans="1:16" s="437" customFormat="1" ht="13.5" thickBot="1">
      <c r="A90" s="1122"/>
      <c r="B90" s="441"/>
      <c r="C90" s="458" t="s">
        <v>694</v>
      </c>
      <c r="D90" s="459" t="s">
        <v>3527</v>
      </c>
      <c r="E90" s="460">
        <v>1835.8762886597938</v>
      </c>
      <c r="F90" s="442">
        <f t="shared" si="10"/>
        <v>1101.5257731958761</v>
      </c>
      <c r="G90" s="444">
        <f t="shared" si="11"/>
        <v>0</v>
      </c>
      <c r="H90" s="443">
        <f t="shared" si="12"/>
        <v>91.646944329896883</v>
      </c>
      <c r="I90" s="443">
        <f t="shared" si="13"/>
        <v>0</v>
      </c>
      <c r="J90" s="443">
        <f t="shared" si="14"/>
        <v>34.477756701030927</v>
      </c>
      <c r="K90" s="443">
        <f t="shared" si="15"/>
        <v>0</v>
      </c>
      <c r="L90" s="443">
        <f t="shared" si="16"/>
        <v>28.199059793814431</v>
      </c>
      <c r="M90" s="443">
        <f t="shared" si="17"/>
        <v>0</v>
      </c>
      <c r="N90" s="443">
        <f t="shared" si="18"/>
        <v>23.462498969072161</v>
      </c>
      <c r="O90" s="443">
        <f t="shared" si="19"/>
        <v>0</v>
      </c>
      <c r="P90" s="736"/>
    </row>
    <row r="91" spans="1:16" s="437" customFormat="1" ht="13.5" thickBot="1">
      <c r="A91" s="1122"/>
      <c r="B91" s="441"/>
      <c r="C91" s="458" t="s">
        <v>454</v>
      </c>
      <c r="D91" s="459" t="s">
        <v>3526</v>
      </c>
      <c r="E91" s="460">
        <v>872.1649484536083</v>
      </c>
      <c r="F91" s="442">
        <f t="shared" si="10"/>
        <v>523.29896907216494</v>
      </c>
      <c r="G91" s="444">
        <f t="shared" si="11"/>
        <v>0</v>
      </c>
      <c r="H91" s="443">
        <f t="shared" si="12"/>
        <v>43.538474226804119</v>
      </c>
      <c r="I91" s="443">
        <f t="shared" si="13"/>
        <v>0</v>
      </c>
      <c r="J91" s="443">
        <f t="shared" si="14"/>
        <v>16.379257731958763</v>
      </c>
      <c r="K91" s="443">
        <f t="shared" si="15"/>
        <v>0</v>
      </c>
      <c r="L91" s="443">
        <f t="shared" si="16"/>
        <v>13.396453608247423</v>
      </c>
      <c r="M91" s="443">
        <f t="shared" si="17"/>
        <v>0</v>
      </c>
      <c r="N91" s="443">
        <f t="shared" si="18"/>
        <v>11.146268041237112</v>
      </c>
      <c r="O91" s="443">
        <f t="shared" si="19"/>
        <v>0</v>
      </c>
      <c r="P91" s="736"/>
    </row>
    <row r="92" spans="1:16" s="437" customFormat="1" ht="13.5" thickBot="1">
      <c r="A92" s="1122"/>
      <c r="B92" s="441"/>
      <c r="C92" s="458" t="s">
        <v>70</v>
      </c>
      <c r="D92" s="459" t="s">
        <v>682</v>
      </c>
      <c r="E92" s="460">
        <v>61.855670103092784</v>
      </c>
      <c r="F92" s="442">
        <f t="shared" si="10"/>
        <v>37.113402061855666</v>
      </c>
      <c r="G92" s="444">
        <f t="shared" si="11"/>
        <v>0</v>
      </c>
      <c r="H92" s="443">
        <f t="shared" si="12"/>
        <v>3.0878350515463913</v>
      </c>
      <c r="I92" s="443">
        <f t="shared" si="13"/>
        <v>0</v>
      </c>
      <c r="J92" s="443">
        <f t="shared" si="14"/>
        <v>1.1616494845360823</v>
      </c>
      <c r="K92" s="443">
        <f t="shared" si="15"/>
        <v>0</v>
      </c>
      <c r="L92" s="443">
        <f t="shared" si="16"/>
        <v>0.95010309278350513</v>
      </c>
      <c r="M92" s="443">
        <f t="shared" si="17"/>
        <v>0</v>
      </c>
      <c r="N92" s="443">
        <f t="shared" si="18"/>
        <v>0.7905154639175257</v>
      </c>
      <c r="O92" s="443">
        <f t="shared" si="19"/>
        <v>0</v>
      </c>
      <c r="P92" s="736"/>
    </row>
    <row r="93" spans="1:16" s="437" customFormat="1" ht="13.5" thickBot="1">
      <c r="A93" s="1122"/>
      <c r="B93" s="441"/>
      <c r="C93" s="458" t="s">
        <v>456</v>
      </c>
      <c r="D93" s="459" t="s">
        <v>683</v>
      </c>
      <c r="E93" s="460">
        <v>123.71134020618557</v>
      </c>
      <c r="F93" s="59">
        <f t="shared" si="10"/>
        <v>74.226804123711332</v>
      </c>
      <c r="G93" s="62">
        <f t="shared" si="11"/>
        <v>0</v>
      </c>
      <c r="H93" s="60">
        <f t="shared" si="12"/>
        <v>6.1756701030927825</v>
      </c>
      <c r="I93" s="60">
        <f t="shared" si="13"/>
        <v>0</v>
      </c>
      <c r="J93" s="60">
        <f t="shared" si="14"/>
        <v>2.3232989690721646</v>
      </c>
      <c r="K93" s="60">
        <f t="shared" si="15"/>
        <v>0</v>
      </c>
      <c r="L93" s="60">
        <f t="shared" si="16"/>
        <v>1.9002061855670103</v>
      </c>
      <c r="M93" s="60">
        <f t="shared" si="17"/>
        <v>0</v>
      </c>
      <c r="N93" s="60">
        <f t="shared" si="18"/>
        <v>1.5810309278350514</v>
      </c>
      <c r="O93" s="60">
        <f t="shared" si="19"/>
        <v>0</v>
      </c>
      <c r="P93" s="736"/>
    </row>
    <row r="94" spans="1:16" s="437" customFormat="1" ht="13.5" thickBot="1">
      <c r="A94" s="1122"/>
      <c r="B94" s="441"/>
      <c r="C94" s="458" t="s">
        <v>3501</v>
      </c>
      <c r="D94" s="459" t="s">
        <v>3524</v>
      </c>
      <c r="E94" s="460">
        <v>114.43298969072166</v>
      </c>
      <c r="F94" s="442">
        <f t="shared" si="10"/>
        <v>68.659793814432987</v>
      </c>
      <c r="G94" s="444">
        <f t="shared" si="11"/>
        <v>0</v>
      </c>
      <c r="H94" s="443">
        <f t="shared" si="12"/>
        <v>5.7124948453608244</v>
      </c>
      <c r="I94" s="443">
        <f t="shared" si="13"/>
        <v>0</v>
      </c>
      <c r="J94" s="443">
        <f t="shared" si="14"/>
        <v>2.1490515463917528</v>
      </c>
      <c r="K94" s="443">
        <f t="shared" si="15"/>
        <v>0</v>
      </c>
      <c r="L94" s="443">
        <f t="shared" si="16"/>
        <v>1.7576907216494846</v>
      </c>
      <c r="M94" s="443">
        <f t="shared" si="17"/>
        <v>0</v>
      </c>
      <c r="N94" s="443">
        <f t="shared" si="18"/>
        <v>1.4624536082474227</v>
      </c>
      <c r="O94" s="443">
        <f t="shared" si="19"/>
        <v>0</v>
      </c>
      <c r="P94" s="736"/>
    </row>
    <row r="95" spans="1:16" s="437" customFormat="1" ht="13.5" thickBot="1">
      <c r="A95" s="1122"/>
      <c r="B95" s="441"/>
      <c r="C95" s="458" t="s">
        <v>695</v>
      </c>
      <c r="D95" s="459" t="s">
        <v>3531</v>
      </c>
      <c r="E95" s="460">
        <v>941.23711340206194</v>
      </c>
      <c r="F95" s="442">
        <f t="shared" si="10"/>
        <v>564.74226804123714</v>
      </c>
      <c r="G95" s="444">
        <f t="shared" si="11"/>
        <v>0</v>
      </c>
      <c r="H95" s="443">
        <f t="shared" si="12"/>
        <v>46.986556701030928</v>
      </c>
      <c r="I95" s="443">
        <f t="shared" si="13"/>
        <v>0</v>
      </c>
      <c r="J95" s="443">
        <f t="shared" si="14"/>
        <v>17.676432989690724</v>
      </c>
      <c r="K95" s="443">
        <f t="shared" si="15"/>
        <v>0</v>
      </c>
      <c r="L95" s="443">
        <f t="shared" si="16"/>
        <v>14.457402061855671</v>
      </c>
      <c r="M95" s="443">
        <f t="shared" si="17"/>
        <v>0</v>
      </c>
      <c r="N95" s="443">
        <f t="shared" si="18"/>
        <v>12.02901030927835</v>
      </c>
      <c r="O95" s="443">
        <f t="shared" si="19"/>
        <v>0</v>
      </c>
      <c r="P95" s="736"/>
    </row>
    <row r="96" spans="1:16" s="437" customFormat="1" ht="13.5" thickBot="1">
      <c r="A96" s="1122"/>
      <c r="B96" s="439"/>
      <c r="C96" s="458" t="s">
        <v>696</v>
      </c>
      <c r="D96" s="459" t="s">
        <v>3532</v>
      </c>
      <c r="E96" s="460">
        <v>1227.8350515463917</v>
      </c>
      <c r="F96" s="442">
        <f t="shared" si="10"/>
        <v>736.70103092783495</v>
      </c>
      <c r="G96" s="444">
        <f t="shared" si="11"/>
        <v>0</v>
      </c>
      <c r="H96" s="443">
        <f t="shared" si="12"/>
        <v>61.293525773195867</v>
      </c>
      <c r="I96" s="443">
        <f t="shared" si="13"/>
        <v>0</v>
      </c>
      <c r="J96" s="443">
        <f t="shared" si="14"/>
        <v>23.058742268041236</v>
      </c>
      <c r="K96" s="443">
        <f t="shared" si="15"/>
        <v>0</v>
      </c>
      <c r="L96" s="443">
        <f t="shared" si="16"/>
        <v>18.859546391752577</v>
      </c>
      <c r="M96" s="443">
        <f t="shared" si="17"/>
        <v>0</v>
      </c>
      <c r="N96" s="443">
        <f t="shared" si="18"/>
        <v>15.691731958762883</v>
      </c>
      <c r="O96" s="443">
        <f t="shared" si="19"/>
        <v>0</v>
      </c>
      <c r="P96" s="736"/>
    </row>
    <row r="97" spans="1:16" s="437" customFormat="1" ht="13.5" thickBot="1">
      <c r="A97" s="1122"/>
      <c r="B97" s="449"/>
      <c r="C97" s="458" t="s">
        <v>697</v>
      </c>
      <c r="D97" s="459" t="s">
        <v>3529</v>
      </c>
      <c r="E97" s="460">
        <v>1445.3608247422681</v>
      </c>
      <c r="F97" s="442">
        <f t="shared" si="10"/>
        <v>867.21649484536078</v>
      </c>
      <c r="G97" s="444">
        <f t="shared" si="11"/>
        <v>0</v>
      </c>
      <c r="H97" s="443">
        <f t="shared" si="12"/>
        <v>72.15241237113402</v>
      </c>
      <c r="I97" s="443">
        <f t="shared" si="13"/>
        <v>0</v>
      </c>
      <c r="J97" s="443">
        <f t="shared" si="14"/>
        <v>27.143876288659794</v>
      </c>
      <c r="K97" s="443">
        <f t="shared" si="15"/>
        <v>0</v>
      </c>
      <c r="L97" s="443">
        <f t="shared" si="16"/>
        <v>22.200742268041235</v>
      </c>
      <c r="M97" s="443">
        <f t="shared" si="17"/>
        <v>0</v>
      </c>
      <c r="N97" s="443">
        <f t="shared" si="18"/>
        <v>18.471711340206184</v>
      </c>
      <c r="O97" s="443">
        <f t="shared" si="19"/>
        <v>0</v>
      </c>
      <c r="P97" s="736"/>
    </row>
    <row r="98" spans="1:16" s="437" customFormat="1" ht="13.5" thickBot="1">
      <c r="A98" s="1122"/>
      <c r="B98" s="440"/>
      <c r="C98" s="462" t="s">
        <v>3504</v>
      </c>
      <c r="D98" s="459" t="s">
        <v>3530</v>
      </c>
      <c r="E98" s="460">
        <v>1720.6185567010309</v>
      </c>
      <c r="F98" s="442">
        <f t="shared" si="10"/>
        <v>1032.3711340206185</v>
      </c>
      <c r="G98" s="444">
        <f t="shared" si="11"/>
        <v>0</v>
      </c>
      <c r="H98" s="443">
        <f t="shared" si="12"/>
        <v>85.893278350515445</v>
      </c>
      <c r="I98" s="443">
        <f t="shared" si="13"/>
        <v>0</v>
      </c>
      <c r="J98" s="443">
        <f t="shared" si="14"/>
        <v>32.313216494845356</v>
      </c>
      <c r="K98" s="443">
        <f t="shared" si="15"/>
        <v>0</v>
      </c>
      <c r="L98" s="443">
        <f t="shared" si="16"/>
        <v>26.428701030927833</v>
      </c>
      <c r="M98" s="443">
        <f t="shared" si="17"/>
        <v>0</v>
      </c>
      <c r="N98" s="443">
        <f t="shared" si="18"/>
        <v>21.989505154639172</v>
      </c>
      <c r="O98" s="443">
        <f t="shared" si="19"/>
        <v>0</v>
      </c>
      <c r="P98" s="736"/>
    </row>
    <row r="99" spans="1:16" s="437" customFormat="1" ht="13.5" thickBot="1">
      <c r="A99" s="1122"/>
      <c r="B99" s="441"/>
      <c r="C99" s="458" t="s">
        <v>3494</v>
      </c>
      <c r="D99" s="459" t="s">
        <v>3517</v>
      </c>
      <c r="E99" s="460">
        <v>1144.3298969072166</v>
      </c>
      <c r="F99" s="442">
        <f t="shared" si="10"/>
        <v>686.59793814432999</v>
      </c>
      <c r="G99" s="444">
        <f t="shared" si="11"/>
        <v>0</v>
      </c>
      <c r="H99" s="443">
        <f t="shared" si="12"/>
        <v>57.124948453608255</v>
      </c>
      <c r="I99" s="443">
        <f t="shared" si="13"/>
        <v>0</v>
      </c>
      <c r="J99" s="443">
        <f t="shared" si="14"/>
        <v>21.490515463917529</v>
      </c>
      <c r="K99" s="443">
        <f t="shared" si="15"/>
        <v>0</v>
      </c>
      <c r="L99" s="443">
        <f t="shared" si="16"/>
        <v>17.576907216494849</v>
      </c>
      <c r="M99" s="443">
        <f t="shared" si="17"/>
        <v>0</v>
      </c>
      <c r="N99" s="443">
        <f t="shared" si="18"/>
        <v>14.624536082474229</v>
      </c>
      <c r="O99" s="443">
        <f t="shared" si="19"/>
        <v>0</v>
      </c>
      <c r="P99" s="736"/>
    </row>
    <row r="100" spans="1:16" s="437" customFormat="1" ht="13.5" thickBot="1">
      <c r="A100" s="1122"/>
      <c r="B100" s="445"/>
      <c r="C100" s="458" t="s">
        <v>450</v>
      </c>
      <c r="D100" s="459" t="s">
        <v>684</v>
      </c>
      <c r="E100" s="460">
        <v>604.12371134020623</v>
      </c>
      <c r="F100" s="442">
        <f t="shared" si="10"/>
        <v>362.4742268041237</v>
      </c>
      <c r="G100" s="444">
        <f t="shared" si="11"/>
        <v>0</v>
      </c>
      <c r="H100" s="443">
        <f t="shared" si="12"/>
        <v>30.157855670103089</v>
      </c>
      <c r="I100" s="443">
        <f t="shared" si="13"/>
        <v>0</v>
      </c>
      <c r="J100" s="443">
        <f t="shared" si="14"/>
        <v>11.345443298969073</v>
      </c>
      <c r="K100" s="443">
        <f t="shared" si="15"/>
        <v>0</v>
      </c>
      <c r="L100" s="443">
        <f t="shared" si="16"/>
        <v>9.2793402061855677</v>
      </c>
      <c r="M100" s="443">
        <f t="shared" si="17"/>
        <v>0</v>
      </c>
      <c r="N100" s="443">
        <f t="shared" si="18"/>
        <v>7.7207010309278346</v>
      </c>
      <c r="O100" s="443">
        <f t="shared" si="19"/>
        <v>0</v>
      </c>
      <c r="P100" s="736"/>
    </row>
    <row r="101" spans="1:16" s="437" customFormat="1" ht="13.5" thickBot="1">
      <c r="A101" s="1122"/>
      <c r="B101" s="440"/>
      <c r="C101" s="458" t="s">
        <v>3499</v>
      </c>
      <c r="D101" s="459" t="s">
        <v>3522</v>
      </c>
      <c r="E101" s="460">
        <v>604.12371134020623</v>
      </c>
      <c r="F101" s="442">
        <f t="shared" si="10"/>
        <v>362.4742268041237</v>
      </c>
      <c r="G101" s="444">
        <f t="shared" si="11"/>
        <v>0</v>
      </c>
      <c r="H101" s="443">
        <f t="shared" si="12"/>
        <v>30.157855670103089</v>
      </c>
      <c r="I101" s="443">
        <f t="shared" si="13"/>
        <v>0</v>
      </c>
      <c r="J101" s="443">
        <f t="shared" si="14"/>
        <v>11.345443298969073</v>
      </c>
      <c r="K101" s="443">
        <f t="shared" si="15"/>
        <v>0</v>
      </c>
      <c r="L101" s="443">
        <f t="shared" si="16"/>
        <v>9.2793402061855677</v>
      </c>
      <c r="M101" s="443">
        <f t="shared" si="17"/>
        <v>0</v>
      </c>
      <c r="N101" s="443">
        <f t="shared" si="18"/>
        <v>7.7207010309278346</v>
      </c>
      <c r="O101" s="443">
        <f t="shared" si="19"/>
        <v>0</v>
      </c>
      <c r="P101" s="736"/>
    </row>
    <row r="102" spans="1:16" s="437" customFormat="1" ht="13.5" thickBot="1">
      <c r="A102" s="1122"/>
      <c r="B102" s="441"/>
      <c r="C102" s="458" t="s">
        <v>3500</v>
      </c>
      <c r="D102" s="459" t="s">
        <v>3523</v>
      </c>
      <c r="E102" s="460">
        <v>876.28865979381442</v>
      </c>
      <c r="F102" s="442">
        <f t="shared" si="10"/>
        <v>525.77319587628858</v>
      </c>
      <c r="G102" s="444">
        <f t="shared" si="11"/>
        <v>0</v>
      </c>
      <c r="H102" s="443">
        <f t="shared" si="12"/>
        <v>43.74432989690721</v>
      </c>
      <c r="I102" s="443">
        <f t="shared" si="13"/>
        <v>0</v>
      </c>
      <c r="J102" s="443">
        <f t="shared" si="14"/>
        <v>16.456701030927832</v>
      </c>
      <c r="K102" s="443">
        <f t="shared" si="15"/>
        <v>0</v>
      </c>
      <c r="L102" s="443">
        <f t="shared" si="16"/>
        <v>13.459793814432988</v>
      </c>
      <c r="M102" s="443">
        <f t="shared" si="17"/>
        <v>0</v>
      </c>
      <c r="N102" s="443">
        <f t="shared" si="18"/>
        <v>11.198969072164946</v>
      </c>
      <c r="O102" s="443">
        <f t="shared" si="19"/>
        <v>0</v>
      </c>
      <c r="P102" s="736"/>
    </row>
    <row r="103" spans="1:16" s="437" customFormat="1" ht="13.5" thickBot="1">
      <c r="A103" s="1122"/>
      <c r="B103" s="445"/>
      <c r="C103" s="458" t="s">
        <v>698</v>
      </c>
      <c r="D103" s="459" t="s">
        <v>685</v>
      </c>
      <c r="E103" s="460">
        <v>1262.8865979381444</v>
      </c>
      <c r="F103" s="442">
        <f t="shared" si="10"/>
        <v>757.73195876288662</v>
      </c>
      <c r="G103" s="444">
        <f t="shared" si="11"/>
        <v>0</v>
      </c>
      <c r="H103" s="443">
        <f t="shared" si="12"/>
        <v>63.043298969072161</v>
      </c>
      <c r="I103" s="443">
        <f t="shared" si="13"/>
        <v>0</v>
      </c>
      <c r="J103" s="443">
        <f t="shared" si="14"/>
        <v>23.717010309278351</v>
      </c>
      <c r="K103" s="443">
        <f t="shared" si="15"/>
        <v>0</v>
      </c>
      <c r="L103" s="443">
        <f t="shared" si="16"/>
        <v>19.397938144329899</v>
      </c>
      <c r="M103" s="443">
        <f t="shared" si="17"/>
        <v>0</v>
      </c>
      <c r="N103" s="443">
        <f t="shared" si="18"/>
        <v>16.139690721649483</v>
      </c>
      <c r="O103" s="443">
        <f t="shared" si="19"/>
        <v>0</v>
      </c>
      <c r="P103" s="736"/>
    </row>
    <row r="104" spans="1:16" s="437" customFormat="1" ht="13.5" thickBot="1">
      <c r="A104" s="1122"/>
      <c r="B104" s="441"/>
      <c r="C104" s="458" t="s">
        <v>493</v>
      </c>
      <c r="D104" s="459" t="s">
        <v>52</v>
      </c>
      <c r="E104" s="460">
        <v>49.175257731958766</v>
      </c>
      <c r="F104" s="59">
        <f t="shared" si="10"/>
        <v>29.505154639175259</v>
      </c>
      <c r="G104" s="62">
        <f t="shared" si="11"/>
        <v>0</v>
      </c>
      <c r="H104" s="60">
        <f t="shared" si="12"/>
        <v>2.4548288659793815</v>
      </c>
      <c r="I104" s="60">
        <f t="shared" si="13"/>
        <v>0</v>
      </c>
      <c r="J104" s="60">
        <f t="shared" si="14"/>
        <v>0.92351134020618564</v>
      </c>
      <c r="K104" s="60">
        <f t="shared" si="15"/>
        <v>0</v>
      </c>
      <c r="L104" s="60">
        <f t="shared" si="16"/>
        <v>0.75533195876288672</v>
      </c>
      <c r="M104" s="60">
        <f t="shared" si="17"/>
        <v>0</v>
      </c>
      <c r="N104" s="60">
        <f t="shared" si="18"/>
        <v>0.62845979381443307</v>
      </c>
      <c r="O104" s="60">
        <f t="shared" si="19"/>
        <v>0</v>
      </c>
      <c r="P104" s="736"/>
    </row>
    <row r="105" spans="1:16" s="437" customFormat="1" ht="13.5" thickBot="1">
      <c r="A105" s="1122"/>
      <c r="B105" s="447"/>
      <c r="C105" s="458" t="s">
        <v>478</v>
      </c>
      <c r="D105" s="459" t="s">
        <v>686</v>
      </c>
      <c r="E105" s="460">
        <v>27.319587628865982</v>
      </c>
      <c r="F105" s="59">
        <f t="shared" si="10"/>
        <v>16.39175257731959</v>
      </c>
      <c r="G105" s="62">
        <f t="shared" si="11"/>
        <v>0</v>
      </c>
      <c r="H105" s="60">
        <f t="shared" si="12"/>
        <v>1.3637938144329897</v>
      </c>
      <c r="I105" s="60">
        <f t="shared" si="13"/>
        <v>0</v>
      </c>
      <c r="J105" s="60">
        <f t="shared" si="14"/>
        <v>0.51306185567010321</v>
      </c>
      <c r="K105" s="60">
        <f t="shared" si="15"/>
        <v>0</v>
      </c>
      <c r="L105" s="60">
        <f t="shared" si="16"/>
        <v>0.41962886597938154</v>
      </c>
      <c r="M105" s="60">
        <f t="shared" si="17"/>
        <v>0</v>
      </c>
      <c r="N105" s="60">
        <f t="shared" si="18"/>
        <v>0.34914432989690725</v>
      </c>
      <c r="O105" s="60">
        <f t="shared" si="19"/>
        <v>0</v>
      </c>
      <c r="P105" s="736"/>
    </row>
    <row r="106" spans="1:16" s="437" customFormat="1" ht="13.5" thickBot="1">
      <c r="A106" s="1122"/>
      <c r="B106" s="440"/>
      <c r="C106" s="462" t="s">
        <v>33</v>
      </c>
      <c r="D106" s="459" t="s">
        <v>3509</v>
      </c>
      <c r="E106" s="460">
        <v>30.927835051546392</v>
      </c>
      <c r="F106" s="442">
        <f t="shared" si="10"/>
        <v>18.556701030927833</v>
      </c>
      <c r="G106" s="444">
        <f t="shared" si="11"/>
        <v>0</v>
      </c>
      <c r="H106" s="443">
        <f t="shared" si="12"/>
        <v>1.5439175257731956</v>
      </c>
      <c r="I106" s="443">
        <f t="shared" si="13"/>
        <v>0</v>
      </c>
      <c r="J106" s="443">
        <f t="shared" si="14"/>
        <v>0.58082474226804115</v>
      </c>
      <c r="K106" s="443">
        <f t="shared" si="15"/>
        <v>0</v>
      </c>
      <c r="L106" s="443">
        <f t="shared" si="16"/>
        <v>0.47505154639175257</v>
      </c>
      <c r="M106" s="443">
        <f t="shared" si="17"/>
        <v>0</v>
      </c>
      <c r="N106" s="443">
        <f t="shared" si="18"/>
        <v>0.39525773195876285</v>
      </c>
      <c r="O106" s="443">
        <f t="shared" si="19"/>
        <v>0</v>
      </c>
      <c r="P106" s="736"/>
    </row>
    <row r="107" spans="1:16" s="437" customFormat="1" ht="13.5" thickBot="1">
      <c r="A107" s="1122"/>
      <c r="B107" s="440"/>
      <c r="C107" s="458" t="s">
        <v>699</v>
      </c>
      <c r="D107" s="459" t="s">
        <v>687</v>
      </c>
      <c r="E107" s="460">
        <v>586.59793814432987</v>
      </c>
      <c r="F107" s="59">
        <f t="shared" si="10"/>
        <v>351.95876288659792</v>
      </c>
      <c r="G107" s="62">
        <f t="shared" si="11"/>
        <v>0</v>
      </c>
      <c r="H107" s="60">
        <f t="shared" si="12"/>
        <v>29.282969072164946</v>
      </c>
      <c r="I107" s="60">
        <f t="shared" si="13"/>
        <v>0</v>
      </c>
      <c r="J107" s="60">
        <f t="shared" si="14"/>
        <v>11.016309278350516</v>
      </c>
      <c r="K107" s="60">
        <f t="shared" si="15"/>
        <v>0</v>
      </c>
      <c r="L107" s="60">
        <f t="shared" si="16"/>
        <v>9.0101443298969066</v>
      </c>
      <c r="M107" s="60">
        <f t="shared" si="17"/>
        <v>0</v>
      </c>
      <c r="N107" s="60">
        <f t="shared" si="18"/>
        <v>7.4967216494845355</v>
      </c>
      <c r="O107" s="60">
        <f t="shared" si="19"/>
        <v>0</v>
      </c>
      <c r="P107" s="736"/>
    </row>
    <row r="108" spans="1:16" s="437" customFormat="1" ht="13.5" thickBot="1">
      <c r="A108" s="1122"/>
      <c r="B108" s="441"/>
      <c r="C108" s="462" t="s">
        <v>700</v>
      </c>
      <c r="D108" s="459" t="s">
        <v>3513</v>
      </c>
      <c r="E108" s="460">
        <v>268.04123711340208</v>
      </c>
      <c r="F108" s="442">
        <f t="shared" si="10"/>
        <v>160.82474226804123</v>
      </c>
      <c r="G108" s="444">
        <f t="shared" si="11"/>
        <v>0</v>
      </c>
      <c r="H108" s="443">
        <f t="shared" si="12"/>
        <v>13.38061855670103</v>
      </c>
      <c r="I108" s="443">
        <f t="shared" si="13"/>
        <v>0</v>
      </c>
      <c r="J108" s="443">
        <f t="shared" si="14"/>
        <v>5.0338144329896908</v>
      </c>
      <c r="K108" s="443">
        <f t="shared" si="15"/>
        <v>0</v>
      </c>
      <c r="L108" s="443">
        <f t="shared" si="16"/>
        <v>4.1171134020618556</v>
      </c>
      <c r="M108" s="443">
        <f t="shared" si="17"/>
        <v>0</v>
      </c>
      <c r="N108" s="443">
        <f t="shared" si="18"/>
        <v>3.4255670103092783</v>
      </c>
      <c r="O108" s="443">
        <f t="shared" si="19"/>
        <v>0</v>
      </c>
      <c r="P108" s="736"/>
    </row>
    <row r="109" spans="1:16" s="437" customFormat="1" ht="13.5" thickBot="1">
      <c r="A109" s="1122"/>
      <c r="B109" s="440"/>
      <c r="C109" s="458" t="s">
        <v>701</v>
      </c>
      <c r="D109" s="459" t="s">
        <v>688</v>
      </c>
      <c r="E109" s="460">
        <v>305.15463917525773</v>
      </c>
      <c r="F109" s="442">
        <f t="shared" si="10"/>
        <v>183.09278350515464</v>
      </c>
      <c r="G109" s="444">
        <f t="shared" si="11"/>
        <v>0</v>
      </c>
      <c r="H109" s="443">
        <f t="shared" si="12"/>
        <v>15.233319587628866</v>
      </c>
      <c r="I109" s="443">
        <f t="shared" si="13"/>
        <v>0</v>
      </c>
      <c r="J109" s="443">
        <f t="shared" si="14"/>
        <v>5.7308041237113407</v>
      </c>
      <c r="K109" s="443">
        <f t="shared" si="15"/>
        <v>0</v>
      </c>
      <c r="L109" s="443">
        <f t="shared" si="16"/>
        <v>4.6871752577319592</v>
      </c>
      <c r="M109" s="443">
        <f t="shared" si="17"/>
        <v>0</v>
      </c>
      <c r="N109" s="443">
        <f t="shared" si="18"/>
        <v>3.8998762886597937</v>
      </c>
      <c r="O109" s="443">
        <f t="shared" si="19"/>
        <v>0</v>
      </c>
      <c r="P109" s="736"/>
    </row>
    <row r="110" spans="1:16" ht="13.5" thickBot="1">
      <c r="A110" s="1122"/>
      <c r="B110" s="438"/>
      <c r="C110" s="660" t="s">
        <v>453</v>
      </c>
      <c r="D110" s="662" t="s">
        <v>32</v>
      </c>
      <c r="E110" s="664">
        <v>115.4639175257732</v>
      </c>
      <c r="F110" s="442">
        <f t="shared" si="10"/>
        <v>69.278350515463913</v>
      </c>
      <c r="G110" s="444">
        <f t="shared" si="11"/>
        <v>0</v>
      </c>
      <c r="H110" s="443">
        <f t="shared" si="12"/>
        <v>5.7639587628865971</v>
      </c>
      <c r="I110" s="443">
        <f t="shared" si="13"/>
        <v>0</v>
      </c>
      <c r="J110" s="466">
        <f t="shared" si="14"/>
        <v>2.1684123711340204</v>
      </c>
      <c r="K110" s="443">
        <f t="shared" si="15"/>
        <v>0</v>
      </c>
      <c r="L110" s="443">
        <f t="shared" si="16"/>
        <v>1.7735257731958762</v>
      </c>
      <c r="M110" s="443">
        <f t="shared" si="17"/>
        <v>0</v>
      </c>
      <c r="N110" s="466">
        <f t="shared" si="18"/>
        <v>1.4756288659793813</v>
      </c>
      <c r="O110" s="443">
        <f t="shared" si="19"/>
        <v>0</v>
      </c>
      <c r="P110" s="736"/>
    </row>
    <row r="111" spans="1:16" s="437" customFormat="1" ht="13.5" thickBot="1">
      <c r="A111" s="1123"/>
      <c r="B111" s="441"/>
      <c r="C111" s="458" t="s">
        <v>3493</v>
      </c>
      <c r="D111" s="459" t="s">
        <v>3516</v>
      </c>
      <c r="E111" s="460">
        <v>5164.9484536082473</v>
      </c>
      <c r="F111" s="442">
        <f t="shared" si="10"/>
        <v>3098.9690721649481</v>
      </c>
      <c r="G111" s="444">
        <f t="shared" si="11"/>
        <v>0</v>
      </c>
      <c r="H111" s="443">
        <f t="shared" si="12"/>
        <v>257.83422680412366</v>
      </c>
      <c r="I111" s="443">
        <f t="shared" si="13"/>
        <v>0</v>
      </c>
      <c r="J111" s="443">
        <f t="shared" si="14"/>
        <v>96.997731958762884</v>
      </c>
      <c r="K111" s="443">
        <f t="shared" si="15"/>
        <v>0</v>
      </c>
      <c r="L111" s="443">
        <f t="shared" si="16"/>
        <v>79.333608247422674</v>
      </c>
      <c r="M111" s="443">
        <f t="shared" si="17"/>
        <v>0</v>
      </c>
      <c r="N111" s="443">
        <f t="shared" si="18"/>
        <v>66.008041237113389</v>
      </c>
      <c r="O111" s="443">
        <f t="shared" si="19"/>
        <v>0</v>
      </c>
      <c r="P111" s="736"/>
    </row>
    <row r="112" spans="1:16" s="437" customFormat="1" ht="15">
      <c r="B112" s="378"/>
      <c r="C112" s="378"/>
      <c r="D112" s="1059" t="s">
        <v>183</v>
      </c>
      <c r="E112" s="1059"/>
      <c r="F112" s="1059"/>
      <c r="G112" s="450">
        <f t="array" ref="G112">SUM(G49:G111)+G37:G49:G111+G41:G49:G111+G45</f>
        <v>0</v>
      </c>
      <c r="H112" s="451" t="s">
        <v>184</v>
      </c>
      <c r="I112" s="450">
        <f t="array" ref="I112">SUM(I49:I111)+I37:I49:I111+I41:I49:I111+I45</f>
        <v>0</v>
      </c>
      <c r="J112" s="451" t="s">
        <v>185</v>
      </c>
      <c r="K112" s="450">
        <f t="array" ref="K112">SUM(K49:K111)+K37:K49:K111+K41:K49:K111+K45</f>
        <v>0</v>
      </c>
      <c r="L112" s="451" t="s">
        <v>186</v>
      </c>
      <c r="M112" s="450">
        <f t="array" ref="M112">SUM(M49:M111)+M37:M49:M111+M41:M49:M111+M45</f>
        <v>0</v>
      </c>
      <c r="N112" s="451" t="s">
        <v>187</v>
      </c>
      <c r="O112" s="450">
        <f t="array" ref="O112">SUM(O49:O111)+O37:O49:O111+O41:O49:O111+O45</f>
        <v>0</v>
      </c>
    </row>
    <row r="113" spans="2:8">
      <c r="F113" s="452"/>
      <c r="G113" s="452"/>
      <c r="H113" s="453"/>
    </row>
    <row r="114" spans="2:8" ht="15" customHeight="1">
      <c r="B114" s="454"/>
      <c r="F114" s="452"/>
      <c r="G114" s="452"/>
    </row>
    <row r="115" spans="2:8" ht="15" customHeight="1">
      <c r="B115" s="454"/>
      <c r="F115" s="452"/>
      <c r="G115" s="452"/>
    </row>
    <row r="116" spans="2:8">
      <c r="F116" s="452"/>
      <c r="G116" s="452"/>
    </row>
    <row r="117" spans="2:8">
      <c r="F117" s="452"/>
      <c r="G117" s="452"/>
    </row>
    <row r="118" spans="2:8">
      <c r="F118" s="452"/>
      <c r="G118" s="452"/>
    </row>
    <row r="119" spans="2:8">
      <c r="F119" s="452"/>
      <c r="G119" s="452"/>
    </row>
    <row r="120" spans="2:8">
      <c r="F120" s="452"/>
      <c r="G120" s="452"/>
    </row>
    <row r="121" spans="2:8">
      <c r="F121" s="452"/>
      <c r="G121" s="452"/>
    </row>
    <row r="122" spans="2:8">
      <c r="F122" s="452"/>
      <c r="G122" s="452"/>
    </row>
    <row r="123" spans="2:8">
      <c r="F123" s="452"/>
      <c r="G123" s="452"/>
    </row>
    <row r="124" spans="2:8">
      <c r="F124" s="452"/>
      <c r="G124" s="452"/>
    </row>
    <row r="125" spans="2:8">
      <c r="F125" s="452"/>
      <c r="G125" s="452"/>
    </row>
    <row r="126" spans="2:8">
      <c r="F126" s="452"/>
      <c r="G126" s="452"/>
    </row>
    <row r="127" spans="2:8">
      <c r="F127" s="452"/>
      <c r="G127" s="452"/>
    </row>
    <row r="128" spans="2:8">
      <c r="F128" s="452"/>
      <c r="G128" s="452"/>
    </row>
    <row r="129" spans="2:7">
      <c r="F129" s="452"/>
      <c r="G129" s="452"/>
    </row>
    <row r="130" spans="2:7">
      <c r="F130" s="452"/>
      <c r="G130" s="452"/>
    </row>
    <row r="131" spans="2:7">
      <c r="B131" s="454"/>
      <c r="C131" s="454"/>
      <c r="F131" s="452"/>
      <c r="G131" s="452"/>
    </row>
    <row r="132" spans="2:7">
      <c r="F132" s="452"/>
      <c r="G132" s="452"/>
    </row>
    <row r="133" spans="2:7">
      <c r="F133" s="452"/>
      <c r="G133" s="452"/>
    </row>
    <row r="134" spans="2:7">
      <c r="F134" s="452"/>
      <c r="G134" s="452"/>
    </row>
    <row r="135" spans="2:7">
      <c r="F135" s="452"/>
      <c r="G135" s="452"/>
    </row>
    <row r="136" spans="2:7">
      <c r="F136" s="452"/>
      <c r="G136" s="452"/>
    </row>
    <row r="137" spans="2:7">
      <c r="F137" s="452"/>
      <c r="G137" s="452"/>
    </row>
    <row r="138" spans="2:7">
      <c r="F138" s="452"/>
      <c r="G138" s="452"/>
    </row>
    <row r="139" spans="2:7">
      <c r="F139" s="452"/>
      <c r="G139" s="452"/>
    </row>
    <row r="140" spans="2:7">
      <c r="F140" s="452"/>
      <c r="G140" s="452"/>
    </row>
    <row r="141" spans="2:7">
      <c r="F141" s="452"/>
      <c r="G141" s="452"/>
    </row>
    <row r="142" spans="2:7">
      <c r="F142" s="452"/>
      <c r="G142" s="452"/>
    </row>
    <row r="143" spans="2:7">
      <c r="F143" s="452"/>
      <c r="G143" s="452"/>
    </row>
    <row r="144" spans="2:7">
      <c r="F144" s="452"/>
      <c r="G144" s="452"/>
    </row>
    <row r="145" spans="6:7">
      <c r="F145" s="452"/>
      <c r="G145" s="452"/>
    </row>
    <row r="146" spans="6:7">
      <c r="F146" s="452"/>
      <c r="G146" s="452"/>
    </row>
    <row r="147" spans="6:7">
      <c r="F147" s="452"/>
      <c r="G147" s="452"/>
    </row>
    <row r="148" spans="6:7">
      <c r="F148" s="452"/>
      <c r="G148" s="452"/>
    </row>
    <row r="149" spans="6:7">
      <c r="F149" s="452"/>
      <c r="G149" s="452"/>
    </row>
    <row r="150" spans="6:7">
      <c r="F150" s="452"/>
      <c r="G150" s="452"/>
    </row>
    <row r="151" spans="6:7">
      <c r="F151" s="452"/>
      <c r="G151" s="452"/>
    </row>
    <row r="152" spans="6:7">
      <c r="F152" s="452"/>
      <c r="G152" s="452"/>
    </row>
    <row r="153" spans="6:7">
      <c r="F153" s="452"/>
      <c r="G153" s="452"/>
    </row>
    <row r="154" spans="6:7">
      <c r="F154" s="452"/>
      <c r="G154" s="452"/>
    </row>
    <row r="155" spans="6:7">
      <c r="F155" s="452"/>
      <c r="G155" s="452"/>
    </row>
    <row r="156" spans="6:7">
      <c r="F156" s="452"/>
      <c r="G156" s="452"/>
    </row>
    <row r="157" spans="6:7">
      <c r="F157" s="452"/>
      <c r="G157" s="452"/>
    </row>
    <row r="158" spans="6:7">
      <c r="F158" s="452"/>
      <c r="G158" s="452"/>
    </row>
    <row r="159" spans="6:7">
      <c r="F159" s="452"/>
      <c r="G159" s="452"/>
    </row>
    <row r="160" spans="6:7">
      <c r="F160" s="452"/>
      <c r="G160" s="452"/>
    </row>
    <row r="161" spans="6:7">
      <c r="F161" s="452"/>
      <c r="G161" s="452"/>
    </row>
    <row r="162" spans="6:7">
      <c r="F162" s="452"/>
      <c r="G162" s="452"/>
    </row>
    <row r="163" spans="6:7">
      <c r="F163" s="452"/>
      <c r="G163" s="452"/>
    </row>
    <row r="164" spans="6:7">
      <c r="F164" s="452"/>
      <c r="G164" s="452"/>
    </row>
    <row r="165" spans="6:7">
      <c r="F165" s="452"/>
      <c r="G165" s="452"/>
    </row>
    <row r="166" spans="6:7">
      <c r="F166" s="452"/>
      <c r="G166" s="452"/>
    </row>
    <row r="167" spans="6:7">
      <c r="F167" s="452"/>
      <c r="G167" s="452"/>
    </row>
    <row r="168" spans="6:7">
      <c r="F168" s="452"/>
      <c r="G168" s="452"/>
    </row>
    <row r="169" spans="6:7">
      <c r="F169" s="452"/>
      <c r="G169" s="452"/>
    </row>
    <row r="170" spans="6:7">
      <c r="F170" s="452"/>
      <c r="G170" s="452"/>
    </row>
    <row r="171" spans="6:7">
      <c r="F171" s="452"/>
      <c r="G171" s="452"/>
    </row>
    <row r="172" spans="6:7">
      <c r="F172" s="452"/>
      <c r="G172" s="452"/>
    </row>
    <row r="173" spans="6:7">
      <c r="F173" s="452"/>
      <c r="G173" s="452"/>
    </row>
    <row r="174" spans="6:7">
      <c r="F174" s="452"/>
      <c r="G174" s="452"/>
    </row>
    <row r="175" spans="6:7">
      <c r="F175" s="452"/>
      <c r="G175" s="452"/>
    </row>
    <row r="176" spans="6:7">
      <c r="F176" s="452"/>
      <c r="G176" s="452"/>
    </row>
    <row r="177" spans="6:7">
      <c r="F177" s="452"/>
      <c r="G177" s="452"/>
    </row>
    <row r="178" spans="6:7">
      <c r="F178" s="452"/>
      <c r="G178" s="452"/>
    </row>
    <row r="179" spans="6:7">
      <c r="F179" s="452"/>
      <c r="G179" s="452"/>
    </row>
    <row r="180" spans="6:7">
      <c r="F180" s="452"/>
      <c r="G180" s="452"/>
    </row>
    <row r="181" spans="6:7">
      <c r="F181" s="452"/>
      <c r="G181" s="452"/>
    </row>
    <row r="182" spans="6:7">
      <c r="F182" s="452"/>
      <c r="G182" s="452"/>
    </row>
    <row r="183" spans="6:7">
      <c r="F183" s="452"/>
      <c r="G183" s="452"/>
    </row>
    <row r="184" spans="6:7">
      <c r="F184" s="452"/>
      <c r="G184" s="452"/>
    </row>
    <row r="185" spans="6:7">
      <c r="F185" s="452"/>
      <c r="G185" s="452"/>
    </row>
    <row r="186" spans="6:7">
      <c r="F186" s="452"/>
      <c r="G186" s="452"/>
    </row>
    <row r="187" spans="6:7">
      <c r="F187" s="452"/>
      <c r="G187" s="452"/>
    </row>
    <row r="188" spans="6:7">
      <c r="F188" s="452"/>
      <c r="G188" s="452"/>
    </row>
    <row r="189" spans="6:7">
      <c r="F189" s="452"/>
      <c r="G189" s="452"/>
    </row>
    <row r="190" spans="6:7">
      <c r="F190" s="452"/>
      <c r="G190" s="452"/>
    </row>
    <row r="191" spans="6:7">
      <c r="F191" s="452"/>
      <c r="G191" s="452"/>
    </row>
    <row r="192" spans="6:7">
      <c r="F192" s="452"/>
      <c r="G192" s="452"/>
    </row>
    <row r="193" spans="6:7">
      <c r="F193" s="452"/>
      <c r="G193" s="452"/>
    </row>
    <row r="194" spans="6:7">
      <c r="F194" s="452"/>
      <c r="G194" s="452"/>
    </row>
    <row r="195" spans="6:7">
      <c r="F195" s="452"/>
      <c r="G195" s="452"/>
    </row>
    <row r="196" spans="6:7">
      <c r="F196" s="452"/>
      <c r="G196" s="452"/>
    </row>
    <row r="197" spans="6:7">
      <c r="F197" s="452"/>
      <c r="G197" s="452"/>
    </row>
    <row r="198" spans="6:7">
      <c r="F198" s="452"/>
      <c r="G198" s="452"/>
    </row>
    <row r="199" spans="6:7">
      <c r="F199" s="452"/>
      <c r="G199" s="452"/>
    </row>
    <row r="200" spans="6:7">
      <c r="F200" s="452"/>
      <c r="G200" s="452"/>
    </row>
    <row r="201" spans="6:7">
      <c r="F201" s="452"/>
      <c r="G201" s="452"/>
    </row>
    <row r="202" spans="6:7">
      <c r="F202" s="452"/>
      <c r="G202" s="452"/>
    </row>
    <row r="203" spans="6:7">
      <c r="F203" s="452"/>
      <c r="G203" s="452"/>
    </row>
    <row r="204" spans="6:7">
      <c r="F204" s="452"/>
      <c r="G204" s="452"/>
    </row>
    <row r="205" spans="6:7">
      <c r="F205" s="452"/>
      <c r="G205" s="452"/>
    </row>
    <row r="206" spans="6:7">
      <c r="F206" s="452"/>
      <c r="G206" s="452"/>
    </row>
    <row r="207" spans="6:7">
      <c r="F207" s="452"/>
      <c r="G207" s="452"/>
    </row>
    <row r="208" spans="6:7">
      <c r="F208" s="452"/>
      <c r="G208" s="452"/>
    </row>
    <row r="209" spans="6:7">
      <c r="F209" s="452"/>
      <c r="G209" s="452"/>
    </row>
    <row r="210" spans="6:7">
      <c r="F210" s="452"/>
      <c r="G210" s="452"/>
    </row>
    <row r="211" spans="6:7">
      <c r="F211" s="452"/>
      <c r="G211" s="452"/>
    </row>
    <row r="212" spans="6:7">
      <c r="F212" s="452"/>
      <c r="G212" s="452"/>
    </row>
    <row r="213" spans="6:7">
      <c r="F213" s="452"/>
      <c r="G213" s="452"/>
    </row>
    <row r="214" spans="6:7">
      <c r="F214" s="452"/>
      <c r="G214" s="452"/>
    </row>
    <row r="215" spans="6:7">
      <c r="F215" s="452"/>
      <c r="G215" s="452"/>
    </row>
    <row r="216" spans="6:7">
      <c r="F216" s="452"/>
      <c r="G216" s="452"/>
    </row>
    <row r="217" spans="6:7">
      <c r="F217" s="452"/>
      <c r="G217" s="452"/>
    </row>
  </sheetData>
  <mergeCells count="58">
    <mergeCell ref="A49:A111"/>
    <mergeCell ref="O37:O39"/>
    <mergeCell ref="A41:A43"/>
    <mergeCell ref="B41:B43"/>
    <mergeCell ref="G41:G43"/>
    <mergeCell ref="I41:I43"/>
    <mergeCell ref="I37:I39"/>
    <mergeCell ref="K37:K39"/>
    <mergeCell ref="M37:M39"/>
    <mergeCell ref="F35:G35"/>
    <mergeCell ref="D112:F112"/>
    <mergeCell ref="O45:O47"/>
    <mergeCell ref="A48:O48"/>
    <mergeCell ref="A45:A47"/>
    <mergeCell ref="B45:B47"/>
    <mergeCell ref="G45:G47"/>
    <mergeCell ref="I45:I47"/>
    <mergeCell ref="K45:K47"/>
    <mergeCell ref="M45:M47"/>
    <mergeCell ref="K41:K43"/>
    <mergeCell ref="M41:M43"/>
    <mergeCell ref="O41:O43"/>
    <mergeCell ref="A37:A39"/>
    <mergeCell ref="B37:B39"/>
    <mergeCell ref="G37:G39"/>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A29:C29"/>
    <mergeCell ref="E29:H29"/>
    <mergeCell ref="I29:K29"/>
    <mergeCell ref="L29:M29"/>
    <mergeCell ref="N29:O29"/>
    <mergeCell ref="A28:C28"/>
    <mergeCell ref="E28:H28"/>
    <mergeCell ref="I28:K28"/>
    <mergeCell ref="L28:M28"/>
    <mergeCell ref="N28:O28"/>
    <mergeCell ref="A4:O4"/>
    <mergeCell ref="A5:O5"/>
    <mergeCell ref="F10:I10"/>
    <mergeCell ref="A26:O26"/>
    <mergeCell ref="A27:D27"/>
    <mergeCell ref="E27:K27"/>
    <mergeCell ref="L27:O27"/>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8950F-E9AF-4157-B24A-7FD92EB72391}">
  <sheetPr>
    <tabColor indexed="62"/>
  </sheetPr>
  <dimension ref="A1:P217"/>
  <sheetViews>
    <sheetView topLeftCell="A9" zoomScale="80" zoomScaleNormal="80" workbookViewId="0">
      <selection activeCell="D45" sqref="D45"/>
    </sheetView>
  </sheetViews>
  <sheetFormatPr defaultColWidth="8.85546875" defaultRowHeight="12.75"/>
  <cols>
    <col min="1" max="1" width="14.28515625" style="378" customWidth="1"/>
    <col min="2" max="2" width="8.7109375" style="378" customWidth="1"/>
    <col min="3" max="3" width="19" style="378" customWidth="1"/>
    <col min="4" max="4" width="46.7109375" style="378" customWidth="1"/>
    <col min="5" max="5" width="24" style="378" customWidth="1"/>
    <col min="6" max="6" width="18.28515625" style="455" customWidth="1"/>
    <col min="7" max="7" width="16" style="455" customWidth="1"/>
    <col min="8" max="8" width="24.5703125" style="378" bestFit="1" customWidth="1"/>
    <col min="9" max="9" width="23" style="378" customWidth="1"/>
    <col min="10" max="10" width="25" style="378" bestFit="1" customWidth="1"/>
    <col min="11" max="11" width="23" style="378" customWidth="1"/>
    <col min="12" max="12" width="25" style="378" bestFit="1" customWidth="1"/>
    <col min="13" max="13" width="23" style="378" customWidth="1"/>
    <col min="14" max="14" width="25" style="378" bestFit="1" customWidth="1"/>
    <col min="15" max="15" width="23" style="378" customWidth="1"/>
    <col min="16" max="16" width="12.42578125" style="378" customWidth="1"/>
    <col min="17" max="16384" width="8.85546875" style="378"/>
  </cols>
  <sheetData>
    <row r="1" spans="1:15" ht="13.5" thickBot="1">
      <c r="B1" s="379"/>
      <c r="C1" s="379"/>
      <c r="D1" s="380"/>
      <c r="E1" s="380"/>
      <c r="F1" s="381"/>
      <c r="G1" s="381"/>
      <c r="H1" s="381"/>
      <c r="I1" s="381"/>
      <c r="J1" s="381"/>
      <c r="K1" s="380"/>
      <c r="L1" s="381"/>
    </row>
    <row r="2" spans="1:15" ht="9" customHeight="1">
      <c r="A2" s="382"/>
      <c r="B2" s="383"/>
      <c r="C2" s="383"/>
      <c r="D2" s="384"/>
      <c r="E2" s="384"/>
      <c r="F2" s="385"/>
      <c r="G2" s="385"/>
      <c r="H2" s="385"/>
      <c r="I2" s="386"/>
      <c r="J2" s="386"/>
      <c r="K2" s="386"/>
      <c r="L2" s="386"/>
      <c r="M2" s="382"/>
      <c r="N2" s="382"/>
      <c r="O2" s="382"/>
    </row>
    <row r="3" spans="1:15" ht="10.5" customHeight="1">
      <c r="B3" s="379"/>
      <c r="C3" s="379"/>
      <c r="D3" s="380"/>
      <c r="E3" s="380"/>
      <c r="F3" s="381"/>
      <c r="G3" s="381"/>
      <c r="H3" s="381"/>
      <c r="I3" s="387"/>
      <c r="J3" s="387"/>
      <c r="K3" s="387"/>
      <c r="L3" s="387"/>
    </row>
    <row r="4" spans="1:15" ht="36" customHeight="1">
      <c r="A4" s="1141" t="s">
        <v>4476</v>
      </c>
      <c r="B4" s="1141"/>
      <c r="C4" s="1141"/>
      <c r="D4" s="1141"/>
      <c r="E4" s="1141"/>
      <c r="F4" s="1141"/>
      <c r="G4" s="1141"/>
      <c r="H4" s="1141"/>
      <c r="I4" s="1141"/>
      <c r="J4" s="1141"/>
      <c r="K4" s="1141"/>
      <c r="L4" s="1141"/>
      <c r="M4" s="1141"/>
      <c r="N4" s="1141"/>
      <c r="O4" s="1141"/>
    </row>
    <row r="5" spans="1:15" s="388" customFormat="1" ht="61.5" customHeight="1">
      <c r="A5" s="1142" t="s">
        <v>3542</v>
      </c>
      <c r="B5" s="1142"/>
      <c r="C5" s="1142"/>
      <c r="D5" s="1142"/>
      <c r="E5" s="1142"/>
      <c r="F5" s="1142"/>
      <c r="G5" s="1142"/>
      <c r="H5" s="1142"/>
      <c r="I5" s="1142"/>
      <c r="J5" s="1142"/>
      <c r="K5" s="1142"/>
      <c r="L5" s="1142"/>
      <c r="M5" s="1142"/>
      <c r="N5" s="1142"/>
      <c r="O5" s="1142"/>
    </row>
    <row r="6" spans="1:15" ht="9" customHeight="1" thickBot="1">
      <c r="A6" s="389"/>
      <c r="B6" s="389"/>
      <c r="C6" s="389"/>
      <c r="D6" s="389"/>
      <c r="E6" s="389"/>
      <c r="F6" s="389"/>
      <c r="G6" s="389"/>
      <c r="H6" s="389"/>
      <c r="I6" s="389"/>
      <c r="J6" s="389"/>
      <c r="K6" s="389"/>
      <c r="L6" s="389"/>
      <c r="M6" s="389"/>
      <c r="N6" s="389"/>
      <c r="O6" s="389"/>
    </row>
    <row r="9" spans="1:15" s="387" customFormat="1" ht="14.25">
      <c r="B9" s="390"/>
      <c r="C9" s="390"/>
      <c r="D9" s="391"/>
      <c r="E9" s="391"/>
      <c r="F9" s="391"/>
      <c r="G9" s="391"/>
      <c r="H9" s="391"/>
      <c r="I9" s="391"/>
      <c r="J9" s="391"/>
      <c r="K9" s="391"/>
      <c r="L9" s="391"/>
      <c r="M9" s="391"/>
      <c r="N9" s="391"/>
      <c r="O9" s="391"/>
    </row>
    <row r="10" spans="1:15" s="387" customFormat="1" ht="14.25">
      <c r="F10" s="1026" t="s">
        <v>3</v>
      </c>
      <c r="G10" s="1026"/>
      <c r="H10" s="1026"/>
      <c r="I10" s="1026"/>
      <c r="J10" s="378"/>
      <c r="K10" s="378"/>
      <c r="L10" s="378"/>
    </row>
    <row r="11" spans="1:15" s="387" customFormat="1" ht="14.25">
      <c r="F11" s="392" t="s">
        <v>210</v>
      </c>
      <c r="G11" s="393" t="s">
        <v>458</v>
      </c>
      <c r="I11" s="394"/>
      <c r="L11" s="394"/>
    </row>
    <row r="12" spans="1:15" s="387" customFormat="1" ht="14.25">
      <c r="F12" s="392" t="s">
        <v>212</v>
      </c>
      <c r="G12" s="850" t="s">
        <v>459</v>
      </c>
      <c r="I12" s="394"/>
      <c r="J12" s="395"/>
      <c r="L12" s="394"/>
    </row>
    <row r="13" spans="1:15" s="387" customFormat="1" ht="14.25">
      <c r="F13" s="392" t="s">
        <v>214</v>
      </c>
      <c r="G13" s="850" t="s">
        <v>460</v>
      </c>
      <c r="I13" s="394"/>
      <c r="L13" s="394"/>
    </row>
    <row r="14" spans="1:15" s="387" customFormat="1" ht="14.25">
      <c r="F14" s="392" t="s">
        <v>8</v>
      </c>
      <c r="G14" s="387" t="s">
        <v>560</v>
      </c>
      <c r="I14" s="394"/>
      <c r="J14" s="394"/>
      <c r="L14" s="394"/>
    </row>
    <row r="15" spans="1:15" s="387" customFormat="1" ht="14.25">
      <c r="D15" s="396"/>
      <c r="E15" s="396"/>
      <c r="F15" s="392" t="s">
        <v>9</v>
      </c>
      <c r="G15" s="387" t="s">
        <v>489</v>
      </c>
      <c r="I15" s="394"/>
      <c r="J15" s="394"/>
      <c r="L15" s="394"/>
    </row>
    <row r="16" spans="1:15" s="387" customFormat="1" ht="14.25">
      <c r="F16" s="392" t="s">
        <v>10</v>
      </c>
      <c r="G16" s="387" t="s">
        <v>3537</v>
      </c>
      <c r="I16" s="394"/>
      <c r="J16" s="394"/>
      <c r="L16" s="394"/>
    </row>
    <row r="17" spans="1:15" s="387" customFormat="1" ht="14.25">
      <c r="F17" s="392" t="s">
        <v>99</v>
      </c>
      <c r="G17" s="387" t="s">
        <v>3538</v>
      </c>
      <c r="I17" s="394"/>
      <c r="J17" s="394"/>
      <c r="L17" s="394"/>
    </row>
    <row r="18" spans="1:15" s="387" customFormat="1" ht="14.25">
      <c r="F18" s="392" t="s">
        <v>12</v>
      </c>
      <c r="G18" s="387" t="s">
        <v>3546</v>
      </c>
      <c r="I18" s="397"/>
      <c r="J18" s="397"/>
      <c r="L18" s="397"/>
    </row>
    <row r="19" spans="1:15" s="387" customFormat="1" ht="14.25">
      <c r="F19" s="392"/>
      <c r="G19" s="387" t="s">
        <v>3547</v>
      </c>
      <c r="I19" s="397"/>
      <c r="J19" s="397"/>
      <c r="L19" s="397"/>
    </row>
    <row r="20" spans="1:15" s="387" customFormat="1" ht="14.25">
      <c r="F20" s="392" t="s">
        <v>13</v>
      </c>
      <c r="G20" s="387" t="s">
        <v>216</v>
      </c>
      <c r="I20" s="397"/>
      <c r="J20" s="397"/>
      <c r="L20" s="397"/>
    </row>
    <row r="21" spans="1:15" s="387" customFormat="1" ht="14.25">
      <c r="F21" s="398"/>
      <c r="G21" s="387" t="s">
        <v>217</v>
      </c>
      <c r="I21" s="397"/>
      <c r="J21" s="397"/>
      <c r="L21" s="397"/>
    </row>
    <row r="22" spans="1:15" s="387" customFormat="1" ht="14.25">
      <c r="F22" s="392" t="s">
        <v>16</v>
      </c>
      <c r="G22" s="387" t="s">
        <v>218</v>
      </c>
      <c r="I22" s="397"/>
      <c r="J22" s="397"/>
      <c r="L22" s="397"/>
    </row>
    <row r="23" spans="1:15" s="387" customFormat="1" ht="14.25">
      <c r="F23" s="392" t="s">
        <v>220</v>
      </c>
      <c r="G23" s="850" t="s">
        <v>461</v>
      </c>
      <c r="I23" s="397"/>
      <c r="J23" s="397"/>
      <c r="L23" s="397"/>
    </row>
    <row r="24" spans="1:15" s="387" customFormat="1" ht="14.25">
      <c r="F24" s="392" t="s">
        <v>21</v>
      </c>
      <c r="G24" s="387" t="s">
        <v>3541</v>
      </c>
      <c r="I24" s="397"/>
      <c r="J24" s="397"/>
      <c r="L24" s="397"/>
    </row>
    <row r="25" spans="1:15" s="387" customFormat="1" ht="14.25">
      <c r="D25" s="399"/>
      <c r="E25" s="399"/>
      <c r="F25" s="392" t="s">
        <v>22</v>
      </c>
      <c r="G25" s="400" t="s">
        <v>3536</v>
      </c>
      <c r="K25" s="397"/>
    </row>
    <row r="26" spans="1:15" s="387" customFormat="1" ht="15" thickBot="1">
      <c r="A26" s="1104" t="s">
        <v>23</v>
      </c>
      <c r="B26" s="1187"/>
      <c r="C26" s="1187"/>
      <c r="D26" s="1187"/>
      <c r="E26" s="1187"/>
      <c r="F26" s="1187"/>
      <c r="G26" s="1187"/>
      <c r="H26" s="1187"/>
      <c r="I26" s="1187"/>
      <c r="J26" s="1187"/>
      <c r="K26" s="1187"/>
      <c r="L26" s="1187"/>
      <c r="M26" s="1187"/>
      <c r="N26" s="1187"/>
      <c r="O26" s="1187"/>
    </row>
    <row r="27" spans="1:15" s="387" customFormat="1" ht="14.25">
      <c r="A27" s="1098" t="s">
        <v>101</v>
      </c>
      <c r="B27" s="1099"/>
      <c r="C27" s="1099"/>
      <c r="D27" s="1100"/>
      <c r="E27" s="1101" t="s">
        <v>102</v>
      </c>
      <c r="F27" s="1184"/>
      <c r="G27" s="1184"/>
      <c r="H27" s="1184"/>
      <c r="I27" s="1184"/>
      <c r="J27" s="1184"/>
      <c r="K27" s="1185"/>
      <c r="L27" s="1098" t="s">
        <v>103</v>
      </c>
      <c r="M27" s="1099"/>
      <c r="N27" s="1099"/>
      <c r="O27" s="1100"/>
    </row>
    <row r="28" spans="1:15" s="387" customFormat="1" ht="12.75" customHeight="1">
      <c r="A28" s="1030" t="s">
        <v>160</v>
      </c>
      <c r="B28" s="1031"/>
      <c r="C28" s="1031"/>
      <c r="D28" s="401" t="s">
        <v>161</v>
      </c>
      <c r="E28" s="1030" t="s">
        <v>160</v>
      </c>
      <c r="F28" s="1031"/>
      <c r="G28" s="1031"/>
      <c r="H28" s="1031"/>
      <c r="I28" s="1109" t="s">
        <v>162</v>
      </c>
      <c r="J28" s="1109"/>
      <c r="K28" s="1140"/>
      <c r="L28" s="1030" t="s">
        <v>160</v>
      </c>
      <c r="M28" s="1031"/>
      <c r="N28" s="1110" t="s">
        <v>162</v>
      </c>
      <c r="O28" s="1111"/>
    </row>
    <row r="29" spans="1:15" s="387" customFormat="1" ht="12.75" customHeight="1">
      <c r="A29" s="1030" t="s">
        <v>43</v>
      </c>
      <c r="B29" s="1031"/>
      <c r="C29" s="1031"/>
      <c r="D29" s="402">
        <v>0</v>
      </c>
      <c r="E29" s="1030" t="s">
        <v>43</v>
      </c>
      <c r="F29" s="1031"/>
      <c r="G29" s="1031"/>
      <c r="H29" s="1031"/>
      <c r="I29" s="1105">
        <v>856</v>
      </c>
      <c r="J29" s="1105"/>
      <c r="K29" s="1186"/>
      <c r="L29" s="1030" t="s">
        <v>43</v>
      </c>
      <c r="M29" s="1031"/>
      <c r="N29" s="1107">
        <v>1127</v>
      </c>
      <c r="O29" s="1108"/>
    </row>
    <row r="30" spans="1:15" s="387" customFormat="1" ht="12.75" customHeight="1">
      <c r="A30" s="1030" t="s">
        <v>164</v>
      </c>
      <c r="B30" s="1031"/>
      <c r="C30" s="1031"/>
      <c r="D30" s="401" t="s">
        <v>165</v>
      </c>
      <c r="E30" s="1030" t="s">
        <v>164</v>
      </c>
      <c r="F30" s="1031"/>
      <c r="G30" s="1031"/>
      <c r="H30" s="1031"/>
      <c r="I30" s="1109" t="s">
        <v>239</v>
      </c>
      <c r="J30" s="1109"/>
      <c r="K30" s="1140"/>
      <c r="L30" s="1030" t="s">
        <v>164</v>
      </c>
      <c r="M30" s="1031"/>
      <c r="N30" s="1110" t="s">
        <v>240</v>
      </c>
      <c r="O30" s="1111"/>
    </row>
    <row r="31" spans="1:15" s="387" customFormat="1" ht="12.75" customHeight="1">
      <c r="A31" s="1030" t="s">
        <v>46</v>
      </c>
      <c r="B31" s="1031"/>
      <c r="C31" s="1031"/>
      <c r="D31" s="401" t="s">
        <v>27</v>
      </c>
      <c r="E31" s="1030" t="s">
        <v>47</v>
      </c>
      <c r="F31" s="1023"/>
      <c r="G31" s="1023"/>
      <c r="H31" s="1023"/>
      <c r="I31" s="1109" t="s">
        <v>3551</v>
      </c>
      <c r="J31" s="1139"/>
      <c r="K31" s="1106"/>
      <c r="L31" s="1030" t="s">
        <v>166</v>
      </c>
      <c r="M31" s="1023"/>
      <c r="N31" s="1110" t="s">
        <v>3551</v>
      </c>
      <c r="O31" s="1111"/>
    </row>
    <row r="32" spans="1:15" s="387" customFormat="1" ht="12.75" customHeight="1" thickBot="1">
      <c r="A32" s="1035" t="s">
        <v>225</v>
      </c>
      <c r="B32" s="1036"/>
      <c r="C32" s="1036"/>
      <c r="D32" s="403" t="s">
        <v>809</v>
      </c>
      <c r="E32" s="1035" t="s">
        <v>225</v>
      </c>
      <c r="F32" s="1036"/>
      <c r="G32" s="1037"/>
      <c r="H32" s="1037"/>
      <c r="I32" s="1112" t="s">
        <v>3550</v>
      </c>
      <c r="J32" s="1112"/>
      <c r="K32" s="1138"/>
      <c r="L32" s="1035" t="s">
        <v>225</v>
      </c>
      <c r="M32" s="1037"/>
      <c r="N32" s="1037" t="s">
        <v>3550</v>
      </c>
      <c r="O32" s="1038"/>
    </row>
    <row r="33" spans="1:15" s="387" customFormat="1" ht="12.75" customHeight="1">
      <c r="B33" s="404"/>
      <c r="C33" s="404"/>
      <c r="D33" s="399"/>
      <c r="E33" s="399"/>
      <c r="F33" s="405"/>
      <c r="G33" s="405"/>
      <c r="I33" s="388"/>
      <c r="J33" s="388"/>
      <c r="K33" s="388"/>
      <c r="L33" s="388"/>
    </row>
    <row r="34" spans="1:15" s="387" customFormat="1" ht="18" customHeight="1" thickBot="1">
      <c r="C34" s="399"/>
      <c r="D34" s="405"/>
      <c r="E34" s="406"/>
      <c r="F34" s="378"/>
      <c r="G34" s="407"/>
      <c r="H34" s="408"/>
      <c r="I34" s="409"/>
      <c r="J34" s="410"/>
    </row>
    <row r="35" spans="1:15" s="387" customFormat="1" ht="15.75" customHeight="1" thickBot="1">
      <c r="F35" s="1040" t="s">
        <v>167</v>
      </c>
      <c r="G35" s="1207"/>
      <c r="H35" s="1042" t="s">
        <v>168</v>
      </c>
      <c r="I35" s="1043"/>
      <c r="J35" s="1043"/>
      <c r="K35" s="1043"/>
      <c r="L35" s="1043"/>
      <c r="M35" s="1043"/>
      <c r="N35" s="1043"/>
      <c r="O35" s="1206"/>
    </row>
    <row r="36" spans="1:15" s="413" customFormat="1" ht="57.75" customHeight="1" thickBot="1">
      <c r="A36" s="411" t="s">
        <v>122</v>
      </c>
      <c r="B36" s="411" t="s">
        <v>169</v>
      </c>
      <c r="C36" s="412" t="s">
        <v>170</v>
      </c>
      <c r="D36" s="412" t="s">
        <v>171</v>
      </c>
      <c r="E36" s="412" t="s">
        <v>172</v>
      </c>
      <c r="F36" s="412" t="s">
        <v>173</v>
      </c>
      <c r="G36" s="411" t="s">
        <v>174</v>
      </c>
      <c r="H36" s="412" t="s">
        <v>175</v>
      </c>
      <c r="I36" s="411" t="s">
        <v>174</v>
      </c>
      <c r="J36" s="412" t="s">
        <v>176</v>
      </c>
      <c r="K36" s="411" t="s">
        <v>174</v>
      </c>
      <c r="L36" s="412" t="s">
        <v>177</v>
      </c>
      <c r="M36" s="411" t="s">
        <v>174</v>
      </c>
      <c r="N36" s="412" t="s">
        <v>178</v>
      </c>
      <c r="O36" s="411" t="s">
        <v>174</v>
      </c>
    </row>
    <row r="37" spans="1:15" s="418" customFormat="1" ht="26.25" thickBot="1">
      <c r="A37" s="1046">
        <v>15</v>
      </c>
      <c r="B37" s="1205"/>
      <c r="C37" s="463" t="s">
        <v>4475</v>
      </c>
      <c r="D37" s="464" t="s">
        <v>4477</v>
      </c>
      <c r="E37" s="414">
        <v>37084</v>
      </c>
      <c r="F37" s="962">
        <f>SUM(E37:E39)*(1-82%)</f>
        <v>6772.5000000000018</v>
      </c>
      <c r="G37" s="1050">
        <f>F37*B37</f>
        <v>0</v>
      </c>
      <c r="H37" s="416">
        <f>F37*0.0832</f>
        <v>563.47200000000009</v>
      </c>
      <c r="I37" s="1050">
        <f>H37*B37</f>
        <v>0</v>
      </c>
      <c r="J37" s="416">
        <f>F37*0.0313</f>
        <v>211.97925000000006</v>
      </c>
      <c r="K37" s="1050">
        <f>J37*B37</f>
        <v>0</v>
      </c>
      <c r="L37" s="417">
        <f>F37*0.0256</f>
        <v>173.37600000000006</v>
      </c>
      <c r="M37" s="1050">
        <f>L37*B37</f>
        <v>0</v>
      </c>
      <c r="N37" s="417">
        <f>F37*0.0213</f>
        <v>144.25425000000004</v>
      </c>
      <c r="O37" s="1050">
        <f>N37*B37</f>
        <v>0</v>
      </c>
    </row>
    <row r="38" spans="1:15" s="424" customFormat="1" ht="13.5" thickBot="1">
      <c r="A38" s="1047"/>
      <c r="B38" s="1210"/>
      <c r="C38" s="419" t="s">
        <v>714</v>
      </c>
      <c r="D38" s="420" t="s">
        <v>670</v>
      </c>
      <c r="E38" s="421">
        <v>282</v>
      </c>
      <c r="F38" s="963" t="s">
        <v>162</v>
      </c>
      <c r="G38" s="1212"/>
      <c r="H38" s="422" t="s">
        <v>162</v>
      </c>
      <c r="I38" s="1212"/>
      <c r="J38" s="422" t="s">
        <v>162</v>
      </c>
      <c r="K38" s="1212"/>
      <c r="L38" s="423" t="s">
        <v>162</v>
      </c>
      <c r="M38" s="1212"/>
      <c r="N38" s="423" t="s">
        <v>162</v>
      </c>
      <c r="O38" s="1212"/>
    </row>
    <row r="39" spans="1:15" s="424" customFormat="1" ht="13.5" thickBot="1">
      <c r="A39" s="1048"/>
      <c r="B39" s="1211"/>
      <c r="C39" s="425" t="s">
        <v>179</v>
      </c>
      <c r="D39" s="426" t="s">
        <v>104</v>
      </c>
      <c r="E39" s="427">
        <v>259</v>
      </c>
      <c r="F39" s="964" t="s">
        <v>162</v>
      </c>
      <c r="G39" s="1064"/>
      <c r="H39" s="428" t="s">
        <v>162</v>
      </c>
      <c r="I39" s="1064"/>
      <c r="J39" s="428" t="s">
        <v>162</v>
      </c>
      <c r="K39" s="1064"/>
      <c r="L39" s="423" t="e">
        <f>F39*0.0256</f>
        <v>#VALUE!</v>
      </c>
      <c r="M39" s="1064"/>
      <c r="N39" s="423" t="s">
        <v>162</v>
      </c>
      <c r="O39" s="1064"/>
    </row>
    <row r="40" spans="1:15" s="424" customFormat="1" ht="13.5" thickBot="1">
      <c r="A40" s="429"/>
      <c r="B40" s="430"/>
      <c r="C40" s="431"/>
      <c r="D40" s="432"/>
      <c r="E40" s="433"/>
      <c r="F40" s="965"/>
      <c r="G40" s="430"/>
      <c r="H40" s="434"/>
      <c r="I40" s="430"/>
      <c r="J40" s="434"/>
      <c r="K40" s="435"/>
      <c r="L40" s="436"/>
      <c r="M40" s="430"/>
      <c r="N40" s="436"/>
      <c r="O40" s="435"/>
    </row>
    <row r="41" spans="1:15" s="418" customFormat="1" ht="26.25" thickBot="1">
      <c r="A41" s="1046" t="s">
        <v>105</v>
      </c>
      <c r="B41" s="1205"/>
      <c r="C41" s="463" t="s">
        <v>4475</v>
      </c>
      <c r="D41" s="464" t="s">
        <v>4477</v>
      </c>
      <c r="E41" s="414">
        <v>37084</v>
      </c>
      <c r="F41" s="966">
        <f>SUM(E41:E43)*(1-82%)</f>
        <v>6772.5000000000018</v>
      </c>
      <c r="G41" s="1062">
        <f>F41*B41</f>
        <v>0</v>
      </c>
      <c r="H41" s="50">
        <f>F41*0.0832+I29/12</f>
        <v>634.80533333333346</v>
      </c>
      <c r="I41" s="1062">
        <f>H41*B41</f>
        <v>0</v>
      </c>
      <c r="J41" s="50">
        <f>F41*0.0313+I29/12</f>
        <v>283.31258333333341</v>
      </c>
      <c r="K41" s="1062">
        <f>J41*B41</f>
        <v>0</v>
      </c>
      <c r="L41" s="51">
        <f>F41*0.0256+I29/12</f>
        <v>244.7093333333334</v>
      </c>
      <c r="M41" s="1062">
        <f>L41*B41</f>
        <v>0</v>
      </c>
      <c r="N41" s="51">
        <f>F41*0.0213+I29/12</f>
        <v>215.58758333333338</v>
      </c>
      <c r="O41" s="1062">
        <f>N41*B41</f>
        <v>0</v>
      </c>
    </row>
    <row r="42" spans="1:15" s="424" customFormat="1" ht="13.5" thickBot="1">
      <c r="A42" s="1047"/>
      <c r="B42" s="1210"/>
      <c r="C42" s="419" t="s">
        <v>714</v>
      </c>
      <c r="D42" s="420" t="s">
        <v>670</v>
      </c>
      <c r="E42" s="421">
        <v>282</v>
      </c>
      <c r="F42" s="963" t="s">
        <v>162</v>
      </c>
      <c r="G42" s="1051"/>
      <c r="H42" s="52" t="s">
        <v>162</v>
      </c>
      <c r="I42" s="1051"/>
      <c r="J42" s="52" t="s">
        <v>162</v>
      </c>
      <c r="K42" s="1051"/>
      <c r="L42" s="53" t="s">
        <v>162</v>
      </c>
      <c r="M42" s="1051"/>
      <c r="N42" s="53" t="s">
        <v>162</v>
      </c>
      <c r="O42" s="1051"/>
    </row>
    <row r="43" spans="1:15" s="424" customFormat="1" ht="13.5" thickBot="1">
      <c r="A43" s="1048"/>
      <c r="B43" s="1211"/>
      <c r="C43" s="425" t="s">
        <v>179</v>
      </c>
      <c r="D43" s="426" t="s">
        <v>104</v>
      </c>
      <c r="E43" s="427">
        <v>259</v>
      </c>
      <c r="F43" s="964" t="s">
        <v>162</v>
      </c>
      <c r="G43" s="1052"/>
      <c r="H43" s="422" t="s">
        <v>162</v>
      </c>
      <c r="I43" s="1052"/>
      <c r="J43" s="422" t="s">
        <v>162</v>
      </c>
      <c r="K43" s="1052"/>
      <c r="L43" s="423" t="s">
        <v>162</v>
      </c>
      <c r="M43" s="1052"/>
      <c r="N43" s="423" t="s">
        <v>162</v>
      </c>
      <c r="O43" s="1052"/>
    </row>
    <row r="44" spans="1:15" s="424" customFormat="1" ht="13.5" thickBot="1">
      <c r="A44" s="429"/>
      <c r="B44" s="430"/>
      <c r="C44" s="431"/>
      <c r="D44" s="432"/>
      <c r="E44" s="433"/>
      <c r="F44" s="967"/>
      <c r="G44" s="55"/>
      <c r="H44" s="54"/>
      <c r="I44" s="55"/>
      <c r="J44" s="54"/>
      <c r="K44" s="56"/>
      <c r="L44" s="57"/>
      <c r="M44" s="55"/>
      <c r="N44" s="57"/>
      <c r="O44" s="56"/>
    </row>
    <row r="45" spans="1:15" s="418" customFormat="1" ht="26.25" thickBot="1">
      <c r="A45" s="1046" t="s">
        <v>106</v>
      </c>
      <c r="B45" s="1205"/>
      <c r="C45" s="463" t="s">
        <v>4475</v>
      </c>
      <c r="D45" s="464" t="s">
        <v>4477</v>
      </c>
      <c r="E45" s="414">
        <v>37084</v>
      </c>
      <c r="F45" s="962">
        <f>SUM(E45:E47)*(1-82%)</f>
        <v>6772.5000000000018</v>
      </c>
      <c r="G45" s="1062">
        <f>F45*B45</f>
        <v>0</v>
      </c>
      <c r="H45" s="50">
        <f>F45*0.0832+N29/12</f>
        <v>657.38866666666672</v>
      </c>
      <c r="I45" s="1062">
        <f>H45*B45</f>
        <v>0</v>
      </c>
      <c r="J45" s="50">
        <f>F45*0.0313+N29/12</f>
        <v>305.89591666666672</v>
      </c>
      <c r="K45" s="1062">
        <f>J45*B45</f>
        <v>0</v>
      </c>
      <c r="L45" s="51">
        <f>F45*0.0256+N29/12</f>
        <v>267.29266666666672</v>
      </c>
      <c r="M45" s="1062">
        <f>L45*B45</f>
        <v>0</v>
      </c>
      <c r="N45" s="51">
        <f>F45*0.0213+N29/12</f>
        <v>238.1709166666667</v>
      </c>
      <c r="O45" s="1062">
        <f>N45*B45</f>
        <v>0</v>
      </c>
    </row>
    <row r="46" spans="1:15" s="424" customFormat="1" ht="13.5" thickBot="1">
      <c r="A46" s="1047"/>
      <c r="B46" s="1210"/>
      <c r="C46" s="419" t="s">
        <v>714</v>
      </c>
      <c r="D46" s="420" t="s">
        <v>670</v>
      </c>
      <c r="E46" s="421">
        <v>282</v>
      </c>
      <c r="F46" s="963" t="s">
        <v>162</v>
      </c>
      <c r="G46" s="1051"/>
      <c r="H46" s="422" t="s">
        <v>162</v>
      </c>
      <c r="I46" s="1051"/>
      <c r="J46" s="422" t="s">
        <v>162</v>
      </c>
      <c r="K46" s="1051"/>
      <c r="L46" s="423" t="s">
        <v>162</v>
      </c>
      <c r="M46" s="1051"/>
      <c r="N46" s="423" t="s">
        <v>162</v>
      </c>
      <c r="O46" s="1051"/>
    </row>
    <row r="47" spans="1:15" s="424" customFormat="1" ht="13.5" thickBot="1">
      <c r="A47" s="1048"/>
      <c r="B47" s="1211"/>
      <c r="C47" s="425" t="s">
        <v>179</v>
      </c>
      <c r="D47" s="426" t="s">
        <v>104</v>
      </c>
      <c r="E47" s="427">
        <v>259</v>
      </c>
      <c r="F47" s="58" t="s">
        <v>162</v>
      </c>
      <c r="G47" s="1052"/>
      <c r="H47" s="52" t="s">
        <v>162</v>
      </c>
      <c r="I47" s="1052"/>
      <c r="J47" s="52" t="s">
        <v>162</v>
      </c>
      <c r="K47" s="1052"/>
      <c r="L47" s="53" t="s">
        <v>162</v>
      </c>
      <c r="M47" s="1052"/>
      <c r="N47" s="53" t="s">
        <v>162</v>
      </c>
      <c r="O47" s="1052"/>
    </row>
    <row r="48" spans="1:15" s="437" customFormat="1" ht="13.5" customHeight="1" thickBot="1">
      <c r="A48" s="1135" t="s">
        <v>182</v>
      </c>
      <c r="B48" s="1208"/>
      <c r="C48" s="1208"/>
      <c r="D48" s="1208"/>
      <c r="E48" s="1208"/>
      <c r="F48" s="1208"/>
      <c r="G48" s="1208"/>
      <c r="H48" s="1208"/>
      <c r="I48" s="1208"/>
      <c r="J48" s="1208"/>
      <c r="K48" s="1208"/>
      <c r="L48" s="1208"/>
      <c r="M48" s="1208"/>
      <c r="N48" s="1208"/>
      <c r="O48" s="1209"/>
    </row>
    <row r="49" spans="1:16" s="424" customFormat="1" ht="13.5" thickBot="1">
      <c r="A49" s="1126"/>
      <c r="B49" s="440"/>
      <c r="C49" s="658" t="s">
        <v>209</v>
      </c>
      <c r="D49" s="456" t="s">
        <v>66</v>
      </c>
      <c r="E49" s="457">
        <v>975.85567010309285</v>
      </c>
      <c r="F49" s="442">
        <f t="shared" ref="F49:F111" si="0">E49*(1-40%)</f>
        <v>585.51340206185569</v>
      </c>
      <c r="G49" s="465">
        <f t="shared" ref="G49:G111" si="1">F49*B49</f>
        <v>0</v>
      </c>
      <c r="H49" s="443">
        <f t="shared" ref="H49:H111" si="2">F49*0.0832</f>
        <v>48.714715051546392</v>
      </c>
      <c r="I49" s="443">
        <f t="shared" ref="I49:I111" si="3">H49*B49</f>
        <v>0</v>
      </c>
      <c r="J49" s="443">
        <f t="shared" ref="J49:J111" si="4">F49*0.0313</f>
        <v>18.326569484536083</v>
      </c>
      <c r="K49" s="443">
        <f t="shared" ref="K49:K111" si="5">J49*B49</f>
        <v>0</v>
      </c>
      <c r="L49" s="443">
        <f t="shared" ref="L49:L111" si="6">F49*0.0256</f>
        <v>14.989143092783506</v>
      </c>
      <c r="M49" s="443">
        <f t="shared" ref="M49:M111" si="7">L49*B49</f>
        <v>0</v>
      </c>
      <c r="N49" s="443">
        <f t="shared" ref="N49:N111" si="8">F49*0.0213</f>
        <v>12.471435463917526</v>
      </c>
      <c r="O49" s="443">
        <f t="shared" ref="O49:O111" si="9">N49*B49</f>
        <v>0</v>
      </c>
      <c r="P49" s="736"/>
    </row>
    <row r="50" spans="1:16" s="424" customFormat="1" ht="13.5" thickBot="1">
      <c r="A50" s="1122"/>
      <c r="B50" s="441"/>
      <c r="C50" s="462" t="s">
        <v>486</v>
      </c>
      <c r="D50" s="459" t="s">
        <v>671</v>
      </c>
      <c r="E50" s="460">
        <v>134.01030927835052</v>
      </c>
      <c r="F50" s="442">
        <f t="shared" si="0"/>
        <v>80.406185567010311</v>
      </c>
      <c r="G50" s="444">
        <f t="shared" si="1"/>
        <v>0</v>
      </c>
      <c r="H50" s="443">
        <f t="shared" si="2"/>
        <v>6.6897946391752576</v>
      </c>
      <c r="I50" s="443">
        <f t="shared" si="3"/>
        <v>0</v>
      </c>
      <c r="J50" s="443">
        <f t="shared" si="4"/>
        <v>2.5167136082474229</v>
      </c>
      <c r="K50" s="443">
        <f t="shared" si="5"/>
        <v>0</v>
      </c>
      <c r="L50" s="443">
        <f t="shared" si="6"/>
        <v>2.0583983505154642</v>
      </c>
      <c r="M50" s="443">
        <f t="shared" si="7"/>
        <v>0</v>
      </c>
      <c r="N50" s="443">
        <f t="shared" si="8"/>
        <v>1.7126517525773195</v>
      </c>
      <c r="O50" s="443">
        <f t="shared" si="9"/>
        <v>0</v>
      </c>
      <c r="P50" s="736"/>
    </row>
    <row r="51" spans="1:16" s="437" customFormat="1" ht="26.25" thickBot="1">
      <c r="A51" s="1122"/>
      <c r="B51" s="439"/>
      <c r="C51" s="458" t="s">
        <v>3491</v>
      </c>
      <c r="D51" s="459" t="s">
        <v>568</v>
      </c>
      <c r="E51" s="460">
        <v>411.34020618556701</v>
      </c>
      <c r="F51" s="442">
        <f t="shared" si="0"/>
        <v>246.8041237113402</v>
      </c>
      <c r="G51" s="444">
        <f t="shared" si="1"/>
        <v>0</v>
      </c>
      <c r="H51" s="443">
        <f t="shared" si="2"/>
        <v>20.534103092783504</v>
      </c>
      <c r="I51" s="443">
        <f t="shared" si="3"/>
        <v>0</v>
      </c>
      <c r="J51" s="443">
        <f t="shared" si="4"/>
        <v>7.7249690721649484</v>
      </c>
      <c r="K51" s="443">
        <f t="shared" si="5"/>
        <v>0</v>
      </c>
      <c r="L51" s="443">
        <f t="shared" si="6"/>
        <v>6.3181855670103095</v>
      </c>
      <c r="M51" s="443">
        <f t="shared" si="7"/>
        <v>0</v>
      </c>
      <c r="N51" s="443">
        <f t="shared" si="8"/>
        <v>5.2569278350515463</v>
      </c>
      <c r="O51" s="443">
        <f t="shared" si="9"/>
        <v>0</v>
      </c>
      <c r="P51" s="736"/>
    </row>
    <row r="52" spans="1:16" s="437" customFormat="1" ht="13.5" thickBot="1">
      <c r="A52" s="1122"/>
      <c r="B52" s="440"/>
      <c r="C52" s="458" t="s">
        <v>472</v>
      </c>
      <c r="D52" s="459" t="s">
        <v>54</v>
      </c>
      <c r="E52" s="460">
        <v>257.73195876288662</v>
      </c>
      <c r="F52" s="442">
        <f t="shared" si="0"/>
        <v>154.63917525773198</v>
      </c>
      <c r="G52" s="444">
        <f t="shared" si="1"/>
        <v>0</v>
      </c>
      <c r="H52" s="443">
        <f t="shared" si="2"/>
        <v>12.865979381443299</v>
      </c>
      <c r="I52" s="443">
        <f t="shared" si="3"/>
        <v>0</v>
      </c>
      <c r="J52" s="443">
        <f t="shared" si="4"/>
        <v>4.8402061855670109</v>
      </c>
      <c r="K52" s="443">
        <f t="shared" si="5"/>
        <v>0</v>
      </c>
      <c r="L52" s="443">
        <f t="shared" si="6"/>
        <v>3.9587628865979387</v>
      </c>
      <c r="M52" s="443">
        <f t="shared" si="7"/>
        <v>0</v>
      </c>
      <c r="N52" s="443">
        <f t="shared" si="8"/>
        <v>3.293814432989691</v>
      </c>
      <c r="O52" s="443">
        <f t="shared" si="9"/>
        <v>0</v>
      </c>
      <c r="P52" s="736"/>
    </row>
    <row r="53" spans="1:16" s="437" customFormat="1" ht="13.5" thickBot="1">
      <c r="A53" s="1122"/>
      <c r="B53" s="440"/>
      <c r="C53" s="659" t="s">
        <v>689</v>
      </c>
      <c r="D53" s="661" t="s">
        <v>408</v>
      </c>
      <c r="E53" s="663">
        <v>412.37113402061857</v>
      </c>
      <c r="F53" s="442">
        <f t="shared" si="0"/>
        <v>247.42268041237114</v>
      </c>
      <c r="G53" s="444">
        <f t="shared" si="1"/>
        <v>0</v>
      </c>
      <c r="H53" s="443">
        <f t="shared" si="2"/>
        <v>20.585567010309276</v>
      </c>
      <c r="I53" s="465">
        <f t="shared" si="3"/>
        <v>0</v>
      </c>
      <c r="J53" s="443">
        <f t="shared" si="4"/>
        <v>7.7443298969072165</v>
      </c>
      <c r="K53" s="465">
        <f t="shared" si="5"/>
        <v>0</v>
      </c>
      <c r="L53" s="443">
        <f t="shared" si="6"/>
        <v>6.3340206185567016</v>
      </c>
      <c r="M53" s="465">
        <f t="shared" si="7"/>
        <v>0</v>
      </c>
      <c r="N53" s="443">
        <f t="shared" si="8"/>
        <v>5.2701030927835051</v>
      </c>
      <c r="O53" s="465">
        <f t="shared" si="9"/>
        <v>0</v>
      </c>
      <c r="P53" s="736"/>
    </row>
    <row r="54" spans="1:16" s="437" customFormat="1" ht="13.5" thickBot="1">
      <c r="A54" s="1122"/>
      <c r="B54" s="439"/>
      <c r="C54" s="458" t="s">
        <v>690</v>
      </c>
      <c r="D54" s="459" t="s">
        <v>713</v>
      </c>
      <c r="E54" s="460">
        <v>514.43298969072168</v>
      </c>
      <c r="F54" s="442">
        <f t="shared" si="0"/>
        <v>308.65979381443299</v>
      </c>
      <c r="G54" s="444">
        <f t="shared" si="1"/>
        <v>0</v>
      </c>
      <c r="H54" s="443">
        <f t="shared" si="2"/>
        <v>25.680494845360823</v>
      </c>
      <c r="I54" s="443">
        <f t="shared" si="3"/>
        <v>0</v>
      </c>
      <c r="J54" s="443">
        <f t="shared" si="4"/>
        <v>9.6610515463917537</v>
      </c>
      <c r="K54" s="443">
        <f t="shared" si="5"/>
        <v>0</v>
      </c>
      <c r="L54" s="443">
        <f t="shared" si="6"/>
        <v>7.9016907216494845</v>
      </c>
      <c r="M54" s="443">
        <f t="shared" si="7"/>
        <v>0</v>
      </c>
      <c r="N54" s="443">
        <f t="shared" si="8"/>
        <v>6.5744536082474223</v>
      </c>
      <c r="O54" s="443">
        <f t="shared" si="9"/>
        <v>0</v>
      </c>
      <c r="P54" s="736"/>
    </row>
    <row r="55" spans="1:16" s="437" customFormat="1" ht="13.5" thickBot="1">
      <c r="A55" s="1122"/>
      <c r="B55" s="440"/>
      <c r="C55" s="458" t="s">
        <v>542</v>
      </c>
      <c r="D55" s="459" t="s">
        <v>3533</v>
      </c>
      <c r="E55" s="460">
        <v>1025.7731958762886</v>
      </c>
      <c r="F55" s="442">
        <f t="shared" si="0"/>
        <v>615.46391752577313</v>
      </c>
      <c r="G55" s="444">
        <f t="shared" si="1"/>
        <v>0</v>
      </c>
      <c r="H55" s="443">
        <f t="shared" si="2"/>
        <v>51.20659793814432</v>
      </c>
      <c r="I55" s="443">
        <f t="shared" si="3"/>
        <v>0</v>
      </c>
      <c r="J55" s="443">
        <f t="shared" si="4"/>
        <v>19.2640206185567</v>
      </c>
      <c r="K55" s="443">
        <f t="shared" si="5"/>
        <v>0</v>
      </c>
      <c r="L55" s="443">
        <f t="shared" si="6"/>
        <v>15.755876288659794</v>
      </c>
      <c r="M55" s="443">
        <f t="shared" si="7"/>
        <v>0</v>
      </c>
      <c r="N55" s="443">
        <f t="shared" si="8"/>
        <v>13.109381443298968</v>
      </c>
      <c r="O55" s="443">
        <f t="shared" si="9"/>
        <v>0</v>
      </c>
      <c r="P55" s="736"/>
    </row>
    <row r="56" spans="1:16" s="437" customFormat="1" ht="26.25" thickBot="1">
      <c r="A56" s="1122"/>
      <c r="B56" s="440"/>
      <c r="C56" s="458" t="s">
        <v>89</v>
      </c>
      <c r="D56" s="459" t="s">
        <v>483</v>
      </c>
      <c r="E56" s="460">
        <v>3505.1546391752577</v>
      </c>
      <c r="F56" s="442">
        <f t="shared" si="0"/>
        <v>2103.0927835051543</v>
      </c>
      <c r="G56" s="444">
        <f t="shared" si="1"/>
        <v>0</v>
      </c>
      <c r="H56" s="443">
        <f t="shared" si="2"/>
        <v>174.97731958762884</v>
      </c>
      <c r="I56" s="443">
        <f t="shared" si="3"/>
        <v>0</v>
      </c>
      <c r="J56" s="443">
        <f t="shared" si="4"/>
        <v>65.826804123711327</v>
      </c>
      <c r="K56" s="443">
        <f t="shared" si="5"/>
        <v>0</v>
      </c>
      <c r="L56" s="443">
        <f t="shared" si="6"/>
        <v>53.839175257731952</v>
      </c>
      <c r="M56" s="443">
        <f t="shared" si="7"/>
        <v>0</v>
      </c>
      <c r="N56" s="443">
        <f t="shared" si="8"/>
        <v>44.795876288659784</v>
      </c>
      <c r="O56" s="443">
        <f t="shared" si="9"/>
        <v>0</v>
      </c>
      <c r="P56" s="736"/>
    </row>
    <row r="57" spans="1:16" s="437" customFormat="1" ht="13.5" thickBot="1">
      <c r="A57" s="1122"/>
      <c r="B57" s="441"/>
      <c r="C57" s="458" t="s">
        <v>272</v>
      </c>
      <c r="D57" s="459" t="s">
        <v>234</v>
      </c>
      <c r="E57" s="460">
        <v>1134.020618556701</v>
      </c>
      <c r="F57" s="442">
        <f t="shared" si="0"/>
        <v>680.41237113402065</v>
      </c>
      <c r="G57" s="444">
        <f t="shared" si="1"/>
        <v>0</v>
      </c>
      <c r="H57" s="443">
        <f t="shared" si="2"/>
        <v>56.610309278350513</v>
      </c>
      <c r="I57" s="443">
        <f t="shared" si="3"/>
        <v>0</v>
      </c>
      <c r="J57" s="443">
        <f t="shared" si="4"/>
        <v>21.296907216494848</v>
      </c>
      <c r="K57" s="443">
        <f t="shared" si="5"/>
        <v>0</v>
      </c>
      <c r="L57" s="443">
        <f t="shared" si="6"/>
        <v>17.41855670103093</v>
      </c>
      <c r="M57" s="443">
        <f t="shared" si="7"/>
        <v>0</v>
      </c>
      <c r="N57" s="443">
        <f t="shared" si="8"/>
        <v>14.492783505154639</v>
      </c>
      <c r="O57" s="443">
        <f t="shared" si="9"/>
        <v>0</v>
      </c>
      <c r="P57" s="736"/>
    </row>
    <row r="58" spans="1:16" s="437" customFormat="1" ht="13.5" thickBot="1">
      <c r="A58" s="1122"/>
      <c r="B58" s="438"/>
      <c r="C58" s="458" t="s">
        <v>275</v>
      </c>
      <c r="D58" s="459" t="s">
        <v>233</v>
      </c>
      <c r="E58" s="460">
        <v>2577.319587628866</v>
      </c>
      <c r="F58" s="442">
        <f t="shared" si="0"/>
        <v>1546.3917525773195</v>
      </c>
      <c r="G58" s="444">
        <f t="shared" si="1"/>
        <v>0</v>
      </c>
      <c r="H58" s="443">
        <f t="shared" si="2"/>
        <v>128.65979381443299</v>
      </c>
      <c r="I58" s="443">
        <f t="shared" si="3"/>
        <v>0</v>
      </c>
      <c r="J58" s="443">
        <f t="shared" si="4"/>
        <v>48.402061855670105</v>
      </c>
      <c r="K58" s="443">
        <f t="shared" si="5"/>
        <v>0</v>
      </c>
      <c r="L58" s="443">
        <f t="shared" si="6"/>
        <v>39.587628865979383</v>
      </c>
      <c r="M58" s="443">
        <f t="shared" si="7"/>
        <v>0</v>
      </c>
      <c r="N58" s="443">
        <f t="shared" si="8"/>
        <v>32.938144329896907</v>
      </c>
      <c r="O58" s="443">
        <f t="shared" si="9"/>
        <v>0</v>
      </c>
      <c r="P58" s="736"/>
    </row>
    <row r="59" spans="1:16" s="437" customFormat="1" ht="13.5" thickBot="1">
      <c r="A59" s="1122"/>
      <c r="B59" s="445"/>
      <c r="C59" s="458" t="s">
        <v>273</v>
      </c>
      <c r="D59" s="459" t="s">
        <v>3534</v>
      </c>
      <c r="E59" s="460">
        <v>3092.7835051546394</v>
      </c>
      <c r="F59" s="442">
        <f t="shared" si="0"/>
        <v>1855.6701030927836</v>
      </c>
      <c r="G59" s="444">
        <f t="shared" si="1"/>
        <v>0</v>
      </c>
      <c r="H59" s="443">
        <f t="shared" si="2"/>
        <v>154.39175257731958</v>
      </c>
      <c r="I59" s="443">
        <f t="shared" si="3"/>
        <v>0</v>
      </c>
      <c r="J59" s="443">
        <f t="shared" si="4"/>
        <v>58.082474226804131</v>
      </c>
      <c r="K59" s="443">
        <f t="shared" si="5"/>
        <v>0</v>
      </c>
      <c r="L59" s="443">
        <f t="shared" si="6"/>
        <v>47.505154639175259</v>
      </c>
      <c r="M59" s="443">
        <f t="shared" si="7"/>
        <v>0</v>
      </c>
      <c r="N59" s="443">
        <f t="shared" si="8"/>
        <v>39.52577319587629</v>
      </c>
      <c r="O59" s="443">
        <f t="shared" si="9"/>
        <v>0</v>
      </c>
      <c r="P59" s="736"/>
    </row>
    <row r="60" spans="1:16" s="437" customFormat="1" ht="13.5" thickBot="1">
      <c r="A60" s="1122"/>
      <c r="B60" s="438"/>
      <c r="C60" s="458" t="s">
        <v>487</v>
      </c>
      <c r="D60" s="459" t="s">
        <v>3535</v>
      </c>
      <c r="E60" s="460">
        <v>1025.7731958762886</v>
      </c>
      <c r="F60" s="442">
        <f t="shared" si="0"/>
        <v>615.46391752577313</v>
      </c>
      <c r="G60" s="444">
        <f t="shared" si="1"/>
        <v>0</v>
      </c>
      <c r="H60" s="443">
        <f t="shared" si="2"/>
        <v>51.20659793814432</v>
      </c>
      <c r="I60" s="443">
        <f t="shared" si="3"/>
        <v>0</v>
      </c>
      <c r="J60" s="443">
        <f t="shared" si="4"/>
        <v>19.2640206185567</v>
      </c>
      <c r="K60" s="443">
        <f t="shared" si="5"/>
        <v>0</v>
      </c>
      <c r="L60" s="443">
        <f t="shared" si="6"/>
        <v>15.755876288659794</v>
      </c>
      <c r="M60" s="443">
        <f t="shared" si="7"/>
        <v>0</v>
      </c>
      <c r="N60" s="443">
        <f t="shared" si="8"/>
        <v>13.109381443298968</v>
      </c>
      <c r="O60" s="443">
        <f t="shared" si="9"/>
        <v>0</v>
      </c>
      <c r="P60" s="736"/>
    </row>
    <row r="61" spans="1:16" s="437" customFormat="1" ht="13.5" thickBot="1">
      <c r="A61" s="1122"/>
      <c r="B61" s="447"/>
      <c r="C61" s="462" t="s">
        <v>488</v>
      </c>
      <c r="D61" s="459" t="s">
        <v>566</v>
      </c>
      <c r="E61" s="460">
        <v>5463.9175257731958</v>
      </c>
      <c r="F61" s="442">
        <f t="shared" si="0"/>
        <v>3278.3505154639174</v>
      </c>
      <c r="G61" s="444">
        <f t="shared" si="1"/>
        <v>0</v>
      </c>
      <c r="H61" s="443">
        <f t="shared" si="2"/>
        <v>272.75876288659794</v>
      </c>
      <c r="I61" s="443">
        <f t="shared" si="3"/>
        <v>0</v>
      </c>
      <c r="J61" s="443">
        <f t="shared" si="4"/>
        <v>102.61237113402062</v>
      </c>
      <c r="K61" s="443">
        <f t="shared" si="5"/>
        <v>0</v>
      </c>
      <c r="L61" s="443">
        <f t="shared" si="6"/>
        <v>83.925773195876289</v>
      </c>
      <c r="M61" s="443">
        <f t="shared" si="7"/>
        <v>0</v>
      </c>
      <c r="N61" s="443">
        <f t="shared" si="8"/>
        <v>69.828865979381433</v>
      </c>
      <c r="O61" s="443">
        <f t="shared" si="9"/>
        <v>0</v>
      </c>
      <c r="P61" s="736"/>
    </row>
    <row r="62" spans="1:16" s="437" customFormat="1" ht="13.5" thickBot="1">
      <c r="A62" s="1122"/>
      <c r="B62" s="438"/>
      <c r="C62" s="461" t="s">
        <v>484</v>
      </c>
      <c r="D62" s="459" t="s">
        <v>409</v>
      </c>
      <c r="E62" s="460">
        <v>206.18556701030928</v>
      </c>
      <c r="F62" s="442">
        <f t="shared" si="0"/>
        <v>123.71134020618557</v>
      </c>
      <c r="G62" s="444">
        <f t="shared" si="1"/>
        <v>0</v>
      </c>
      <c r="H62" s="443">
        <f t="shared" si="2"/>
        <v>10.292783505154638</v>
      </c>
      <c r="I62" s="443">
        <f t="shared" si="3"/>
        <v>0</v>
      </c>
      <c r="J62" s="443">
        <f t="shared" si="4"/>
        <v>3.8721649484536083</v>
      </c>
      <c r="K62" s="443">
        <f t="shared" si="5"/>
        <v>0</v>
      </c>
      <c r="L62" s="443">
        <f t="shared" si="6"/>
        <v>3.1670103092783508</v>
      </c>
      <c r="M62" s="443">
        <f t="shared" si="7"/>
        <v>0</v>
      </c>
      <c r="N62" s="443">
        <f t="shared" si="8"/>
        <v>2.6350515463917525</v>
      </c>
      <c r="O62" s="443">
        <f t="shared" si="9"/>
        <v>0</v>
      </c>
      <c r="P62" s="736"/>
    </row>
    <row r="63" spans="1:16" s="437" customFormat="1" ht="26.25" thickBot="1">
      <c r="A63" s="1122"/>
      <c r="B63" s="441"/>
      <c r="C63" s="461" t="s">
        <v>485</v>
      </c>
      <c r="D63" s="459" t="s">
        <v>3511</v>
      </c>
      <c r="E63" s="460">
        <v>287.62886597938143</v>
      </c>
      <c r="F63" s="442">
        <f t="shared" si="0"/>
        <v>172.57731958762886</v>
      </c>
      <c r="G63" s="444">
        <f t="shared" si="1"/>
        <v>0</v>
      </c>
      <c r="H63" s="443">
        <f t="shared" si="2"/>
        <v>14.358432989690721</v>
      </c>
      <c r="I63" s="443">
        <f t="shared" si="3"/>
        <v>0</v>
      </c>
      <c r="J63" s="443">
        <f t="shared" si="4"/>
        <v>5.4016701030927834</v>
      </c>
      <c r="K63" s="443">
        <f t="shared" si="5"/>
        <v>0</v>
      </c>
      <c r="L63" s="443">
        <f t="shared" si="6"/>
        <v>4.417979381443299</v>
      </c>
      <c r="M63" s="443">
        <f t="shared" si="7"/>
        <v>0</v>
      </c>
      <c r="N63" s="443">
        <f t="shared" si="8"/>
        <v>3.6758969072164946</v>
      </c>
      <c r="O63" s="443">
        <f t="shared" si="9"/>
        <v>0</v>
      </c>
      <c r="P63" s="736"/>
    </row>
    <row r="64" spans="1:16" s="424" customFormat="1" ht="13.5" thickBot="1">
      <c r="A64" s="1122"/>
      <c r="B64" s="438"/>
      <c r="C64" s="461" t="s">
        <v>3489</v>
      </c>
      <c r="D64" s="459" t="s">
        <v>3512</v>
      </c>
      <c r="E64" s="460">
        <v>875.25773195876286</v>
      </c>
      <c r="F64" s="442">
        <f t="shared" si="0"/>
        <v>525.15463917525767</v>
      </c>
      <c r="G64" s="465">
        <f t="shared" si="1"/>
        <v>0</v>
      </c>
      <c r="H64" s="443">
        <f t="shared" si="2"/>
        <v>43.692865979381438</v>
      </c>
      <c r="I64" s="443">
        <f t="shared" si="3"/>
        <v>0</v>
      </c>
      <c r="J64" s="443">
        <f t="shared" si="4"/>
        <v>16.437340206185567</v>
      </c>
      <c r="K64" s="443">
        <f t="shared" si="5"/>
        <v>0</v>
      </c>
      <c r="L64" s="443">
        <f t="shared" si="6"/>
        <v>13.443958762886597</v>
      </c>
      <c r="M64" s="443">
        <f t="shared" si="7"/>
        <v>0</v>
      </c>
      <c r="N64" s="443">
        <f t="shared" si="8"/>
        <v>11.185793814432989</v>
      </c>
      <c r="O64" s="443">
        <f t="shared" si="9"/>
        <v>0</v>
      </c>
      <c r="P64" s="736"/>
    </row>
    <row r="65" spans="1:16" s="424" customFormat="1" ht="13.5" thickBot="1">
      <c r="A65" s="1122"/>
      <c r="B65" s="440"/>
      <c r="C65" s="458" t="s">
        <v>87</v>
      </c>
      <c r="D65" s="459" t="s">
        <v>88</v>
      </c>
      <c r="E65" s="460">
        <v>1389.6907216494847</v>
      </c>
      <c r="F65" s="442">
        <f t="shared" si="0"/>
        <v>833.81443298969077</v>
      </c>
      <c r="G65" s="465">
        <f t="shared" si="1"/>
        <v>0</v>
      </c>
      <c r="H65" s="443">
        <f t="shared" si="2"/>
        <v>69.373360824742264</v>
      </c>
      <c r="I65" s="443">
        <f t="shared" si="3"/>
        <v>0</v>
      </c>
      <c r="J65" s="443">
        <f t="shared" si="4"/>
        <v>26.098391752577321</v>
      </c>
      <c r="K65" s="443">
        <f t="shared" si="5"/>
        <v>0</v>
      </c>
      <c r="L65" s="443">
        <f t="shared" si="6"/>
        <v>21.345649484536086</v>
      </c>
      <c r="M65" s="443">
        <f t="shared" si="7"/>
        <v>0</v>
      </c>
      <c r="N65" s="443">
        <f t="shared" si="8"/>
        <v>17.760247422680415</v>
      </c>
      <c r="O65" s="443">
        <f t="shared" si="9"/>
        <v>0</v>
      </c>
      <c r="P65" s="736"/>
    </row>
    <row r="66" spans="1:16" s="424" customFormat="1" ht="13.5" thickBot="1">
      <c r="A66" s="1122"/>
      <c r="B66" s="441"/>
      <c r="C66" s="458" t="s">
        <v>3490</v>
      </c>
      <c r="D66" s="459" t="s">
        <v>229</v>
      </c>
      <c r="E66" s="460">
        <v>229.48453608247422</v>
      </c>
      <c r="F66" s="442">
        <f t="shared" si="0"/>
        <v>137.69072164948452</v>
      </c>
      <c r="G66" s="465">
        <f t="shared" si="1"/>
        <v>0</v>
      </c>
      <c r="H66" s="443">
        <f t="shared" si="2"/>
        <v>11.45586804123711</v>
      </c>
      <c r="I66" s="443">
        <f t="shared" si="3"/>
        <v>0</v>
      </c>
      <c r="J66" s="443">
        <f t="shared" si="4"/>
        <v>4.3097195876288659</v>
      </c>
      <c r="K66" s="443">
        <f t="shared" si="5"/>
        <v>0</v>
      </c>
      <c r="L66" s="443">
        <f t="shared" si="6"/>
        <v>3.5248824742268039</v>
      </c>
      <c r="M66" s="443">
        <f t="shared" si="7"/>
        <v>0</v>
      </c>
      <c r="N66" s="443">
        <f t="shared" si="8"/>
        <v>2.9328123711340202</v>
      </c>
      <c r="O66" s="443">
        <f t="shared" si="9"/>
        <v>0</v>
      </c>
      <c r="P66" s="736"/>
    </row>
    <row r="67" spans="1:16" s="424" customFormat="1" ht="26.25" thickBot="1">
      <c r="A67" s="1122"/>
      <c r="B67" s="438"/>
      <c r="C67" s="458" t="s">
        <v>490</v>
      </c>
      <c r="D67" s="459" t="s">
        <v>3505</v>
      </c>
      <c r="E67" s="460">
        <v>1103.0927835051546</v>
      </c>
      <c r="F67" s="59">
        <f t="shared" si="0"/>
        <v>661.85567010309273</v>
      </c>
      <c r="G67" s="62">
        <f t="shared" si="1"/>
        <v>0</v>
      </c>
      <c r="H67" s="60">
        <f t="shared" si="2"/>
        <v>55.06639175257731</v>
      </c>
      <c r="I67" s="60">
        <f t="shared" si="3"/>
        <v>0</v>
      </c>
      <c r="J67" s="60">
        <f t="shared" si="4"/>
        <v>20.716082474226802</v>
      </c>
      <c r="K67" s="60">
        <f t="shared" si="5"/>
        <v>0</v>
      </c>
      <c r="L67" s="60">
        <f t="shared" si="6"/>
        <v>16.943505154639176</v>
      </c>
      <c r="M67" s="60">
        <f t="shared" si="7"/>
        <v>0</v>
      </c>
      <c r="N67" s="60">
        <f t="shared" si="8"/>
        <v>14.097525773195875</v>
      </c>
      <c r="O67" s="60">
        <f t="shared" si="9"/>
        <v>0</v>
      </c>
      <c r="P67" s="736"/>
    </row>
    <row r="68" spans="1:16" s="424" customFormat="1" ht="13.5" thickBot="1">
      <c r="A68" s="1122"/>
      <c r="B68" s="441"/>
      <c r="C68" s="461" t="s">
        <v>455</v>
      </c>
      <c r="D68" s="459" t="s">
        <v>3506</v>
      </c>
      <c r="E68" s="460">
        <v>1101.5257731958764</v>
      </c>
      <c r="F68" s="442">
        <f t="shared" si="0"/>
        <v>660.91546391752581</v>
      </c>
      <c r="G68" s="62">
        <f t="shared" si="1"/>
        <v>0</v>
      </c>
      <c r="H68" s="443">
        <f t="shared" si="2"/>
        <v>54.988166597938147</v>
      </c>
      <c r="I68" s="60">
        <f t="shared" si="3"/>
        <v>0</v>
      </c>
      <c r="J68" s="443">
        <f t="shared" si="4"/>
        <v>20.686654020618558</v>
      </c>
      <c r="K68" s="60">
        <f t="shared" si="5"/>
        <v>0</v>
      </c>
      <c r="L68" s="443">
        <f t="shared" si="6"/>
        <v>16.919435876288663</v>
      </c>
      <c r="M68" s="60">
        <f t="shared" si="7"/>
        <v>0</v>
      </c>
      <c r="N68" s="443">
        <f t="shared" si="8"/>
        <v>14.0774993814433</v>
      </c>
      <c r="O68" s="60">
        <f t="shared" si="9"/>
        <v>0</v>
      </c>
      <c r="P68" s="736"/>
    </row>
    <row r="69" spans="1:16" s="424" customFormat="1" ht="26.25" thickBot="1">
      <c r="A69" s="1122"/>
      <c r="B69" s="441"/>
      <c r="C69" s="458" t="s">
        <v>3492</v>
      </c>
      <c r="D69" s="459" t="s">
        <v>3515</v>
      </c>
      <c r="E69" s="460">
        <v>1673.1958762886597</v>
      </c>
      <c r="F69" s="442">
        <f t="shared" si="0"/>
        <v>1003.9175257731958</v>
      </c>
      <c r="G69" s="444">
        <f t="shared" si="1"/>
        <v>0</v>
      </c>
      <c r="H69" s="443">
        <f t="shared" si="2"/>
        <v>83.525938144329885</v>
      </c>
      <c r="I69" s="443">
        <f t="shared" si="3"/>
        <v>0</v>
      </c>
      <c r="J69" s="443">
        <f t="shared" si="4"/>
        <v>31.422618556701032</v>
      </c>
      <c r="K69" s="443">
        <f t="shared" si="5"/>
        <v>0</v>
      </c>
      <c r="L69" s="443">
        <f t="shared" si="6"/>
        <v>25.700288659793816</v>
      </c>
      <c r="M69" s="443">
        <f t="shared" si="7"/>
        <v>0</v>
      </c>
      <c r="N69" s="443">
        <f t="shared" si="8"/>
        <v>21.38344329896907</v>
      </c>
      <c r="O69" s="443">
        <f t="shared" si="9"/>
        <v>0</v>
      </c>
      <c r="P69" s="736"/>
    </row>
    <row r="70" spans="1:16" s="424" customFormat="1" ht="26.25" thickBot="1">
      <c r="A70" s="1122"/>
      <c r="B70" s="440"/>
      <c r="C70" s="458" t="s">
        <v>3495</v>
      </c>
      <c r="D70" s="459" t="s">
        <v>3518</v>
      </c>
      <c r="E70" s="460">
        <v>2020.340206185567</v>
      </c>
      <c r="F70" s="442">
        <f t="shared" si="0"/>
        <v>1212.2041237113401</v>
      </c>
      <c r="G70" s="444">
        <f t="shared" si="1"/>
        <v>0</v>
      </c>
      <c r="H70" s="443">
        <f t="shared" si="2"/>
        <v>100.8553830927835</v>
      </c>
      <c r="I70" s="443">
        <f t="shared" si="3"/>
        <v>0</v>
      </c>
      <c r="J70" s="443">
        <f t="shared" si="4"/>
        <v>37.941989072164951</v>
      </c>
      <c r="K70" s="443">
        <f t="shared" si="5"/>
        <v>0</v>
      </c>
      <c r="L70" s="443">
        <f t="shared" si="6"/>
        <v>31.032425567010307</v>
      </c>
      <c r="M70" s="443">
        <f t="shared" si="7"/>
        <v>0</v>
      </c>
      <c r="N70" s="443">
        <f t="shared" si="8"/>
        <v>25.819947835051543</v>
      </c>
      <c r="O70" s="443">
        <f t="shared" si="9"/>
        <v>0</v>
      </c>
      <c r="P70" s="736"/>
    </row>
    <row r="71" spans="1:16" s="437" customFormat="1" ht="26.25" thickBot="1">
      <c r="A71" s="1122"/>
      <c r="B71" s="447"/>
      <c r="C71" s="458" t="s">
        <v>3496</v>
      </c>
      <c r="D71" s="459" t="s">
        <v>3519</v>
      </c>
      <c r="E71" s="460">
        <v>3510.0309278350514</v>
      </c>
      <c r="F71" s="442">
        <f t="shared" si="0"/>
        <v>2106.0185567010308</v>
      </c>
      <c r="G71" s="444">
        <f t="shared" si="1"/>
        <v>0</v>
      </c>
      <c r="H71" s="443">
        <f t="shared" si="2"/>
        <v>175.22074391752577</v>
      </c>
      <c r="I71" s="443">
        <f t="shared" si="3"/>
        <v>0</v>
      </c>
      <c r="J71" s="443">
        <f t="shared" si="4"/>
        <v>65.918380824742272</v>
      </c>
      <c r="K71" s="443">
        <f t="shared" si="5"/>
        <v>0</v>
      </c>
      <c r="L71" s="443">
        <f t="shared" si="6"/>
        <v>53.914075051546391</v>
      </c>
      <c r="M71" s="443">
        <f t="shared" si="7"/>
        <v>0</v>
      </c>
      <c r="N71" s="443">
        <f t="shared" si="8"/>
        <v>44.858195257731957</v>
      </c>
      <c r="O71" s="443">
        <f t="shared" si="9"/>
        <v>0</v>
      </c>
      <c r="P71" s="736"/>
    </row>
    <row r="72" spans="1:16" s="437" customFormat="1" ht="26.25" thickBot="1">
      <c r="A72" s="1122"/>
      <c r="B72" s="441"/>
      <c r="C72" s="458" t="s">
        <v>3497</v>
      </c>
      <c r="D72" s="459" t="s">
        <v>3520</v>
      </c>
      <c r="E72" s="460">
        <v>3432.7113402061855</v>
      </c>
      <c r="F72" s="442">
        <f t="shared" si="0"/>
        <v>2059.6268041237113</v>
      </c>
      <c r="G72" s="444">
        <f t="shared" si="1"/>
        <v>0</v>
      </c>
      <c r="H72" s="443">
        <f t="shared" si="2"/>
        <v>171.36095010309276</v>
      </c>
      <c r="I72" s="443">
        <f t="shared" si="3"/>
        <v>0</v>
      </c>
      <c r="J72" s="443">
        <f t="shared" si="4"/>
        <v>64.466318969072162</v>
      </c>
      <c r="K72" s="443">
        <f t="shared" si="5"/>
        <v>0</v>
      </c>
      <c r="L72" s="443">
        <f t="shared" si="6"/>
        <v>52.726446185567013</v>
      </c>
      <c r="M72" s="443">
        <f t="shared" si="7"/>
        <v>0</v>
      </c>
      <c r="N72" s="443">
        <f t="shared" si="8"/>
        <v>43.870050927835052</v>
      </c>
      <c r="O72" s="443">
        <f t="shared" si="9"/>
        <v>0</v>
      </c>
      <c r="P72" s="736"/>
    </row>
    <row r="73" spans="1:16" s="437" customFormat="1" ht="26.25" thickBot="1">
      <c r="A73" s="1122"/>
      <c r="B73" s="441"/>
      <c r="C73" s="458" t="s">
        <v>3498</v>
      </c>
      <c r="D73" s="459" t="s">
        <v>3521</v>
      </c>
      <c r="E73" s="460">
        <v>4958.4845360824738</v>
      </c>
      <c r="F73" s="442">
        <f t="shared" si="0"/>
        <v>2975.0907216494843</v>
      </c>
      <c r="G73" s="444">
        <f t="shared" si="1"/>
        <v>0</v>
      </c>
      <c r="H73" s="443">
        <f t="shared" si="2"/>
        <v>247.52754804123708</v>
      </c>
      <c r="I73" s="443">
        <f t="shared" si="3"/>
        <v>0</v>
      </c>
      <c r="J73" s="443">
        <f t="shared" si="4"/>
        <v>93.120339587628862</v>
      </c>
      <c r="K73" s="443">
        <f t="shared" si="5"/>
        <v>0</v>
      </c>
      <c r="L73" s="443">
        <f t="shared" si="6"/>
        <v>76.162322474226798</v>
      </c>
      <c r="M73" s="443">
        <f t="shared" si="7"/>
        <v>0</v>
      </c>
      <c r="N73" s="443">
        <f t="shared" si="8"/>
        <v>63.36943237113401</v>
      </c>
      <c r="O73" s="443">
        <f t="shared" si="9"/>
        <v>0</v>
      </c>
      <c r="P73" s="736"/>
    </row>
    <row r="74" spans="1:16" s="437" customFormat="1" ht="13.5" thickBot="1">
      <c r="A74" s="1122"/>
      <c r="B74" s="441"/>
      <c r="C74" s="458" t="s">
        <v>691</v>
      </c>
      <c r="D74" s="459" t="s">
        <v>672</v>
      </c>
      <c r="E74" s="460">
        <v>4286.5979381443303</v>
      </c>
      <c r="F74" s="442">
        <f t="shared" si="0"/>
        <v>2571.9587628865979</v>
      </c>
      <c r="G74" s="444">
        <f t="shared" si="1"/>
        <v>0</v>
      </c>
      <c r="H74" s="443">
        <f t="shared" si="2"/>
        <v>213.98696907216492</v>
      </c>
      <c r="I74" s="443">
        <f t="shared" si="3"/>
        <v>0</v>
      </c>
      <c r="J74" s="443">
        <f t="shared" si="4"/>
        <v>80.502309278350523</v>
      </c>
      <c r="K74" s="443">
        <f t="shared" si="5"/>
        <v>0</v>
      </c>
      <c r="L74" s="443">
        <f t="shared" si="6"/>
        <v>65.842144329896911</v>
      </c>
      <c r="M74" s="443">
        <f t="shared" si="7"/>
        <v>0</v>
      </c>
      <c r="N74" s="443">
        <f t="shared" si="8"/>
        <v>54.782721649484536</v>
      </c>
      <c r="O74" s="443">
        <f t="shared" si="9"/>
        <v>0</v>
      </c>
      <c r="P74" s="736"/>
    </row>
    <row r="75" spans="1:16" s="437" customFormat="1" ht="13.5" thickBot="1">
      <c r="A75" s="1122"/>
      <c r="B75" s="441"/>
      <c r="C75" s="458" t="s">
        <v>3502</v>
      </c>
      <c r="D75" s="459" t="s">
        <v>3525</v>
      </c>
      <c r="E75" s="460">
        <v>515.46391752577324</v>
      </c>
      <c r="F75" s="442">
        <f t="shared" si="0"/>
        <v>309.27835051546396</v>
      </c>
      <c r="G75" s="444">
        <f t="shared" si="1"/>
        <v>0</v>
      </c>
      <c r="H75" s="443">
        <f t="shared" si="2"/>
        <v>25.731958762886599</v>
      </c>
      <c r="I75" s="443">
        <f t="shared" si="3"/>
        <v>0</v>
      </c>
      <c r="J75" s="443">
        <f t="shared" si="4"/>
        <v>9.6804123711340218</v>
      </c>
      <c r="K75" s="443">
        <f t="shared" si="5"/>
        <v>0</v>
      </c>
      <c r="L75" s="443">
        <f t="shared" si="6"/>
        <v>7.9175257731958775</v>
      </c>
      <c r="M75" s="443">
        <f t="shared" si="7"/>
        <v>0</v>
      </c>
      <c r="N75" s="443">
        <f t="shared" si="8"/>
        <v>6.587628865979382</v>
      </c>
      <c r="O75" s="443">
        <f t="shared" si="9"/>
        <v>0</v>
      </c>
      <c r="P75" s="736"/>
    </row>
    <row r="76" spans="1:16" s="437" customFormat="1" ht="13.5" thickBot="1">
      <c r="A76" s="1122"/>
      <c r="B76" s="440"/>
      <c r="C76" s="458" t="s">
        <v>476</v>
      </c>
      <c r="D76" s="459" t="s">
        <v>3514</v>
      </c>
      <c r="E76" s="460">
        <v>515.46391752577324</v>
      </c>
      <c r="F76" s="442">
        <f t="shared" si="0"/>
        <v>309.27835051546396</v>
      </c>
      <c r="G76" s="444">
        <f t="shared" si="1"/>
        <v>0</v>
      </c>
      <c r="H76" s="443">
        <f t="shared" si="2"/>
        <v>25.731958762886599</v>
      </c>
      <c r="I76" s="443">
        <f t="shared" si="3"/>
        <v>0</v>
      </c>
      <c r="J76" s="443">
        <f t="shared" si="4"/>
        <v>9.6804123711340218</v>
      </c>
      <c r="K76" s="443">
        <f t="shared" si="5"/>
        <v>0</v>
      </c>
      <c r="L76" s="443">
        <f t="shared" si="6"/>
        <v>7.9175257731958775</v>
      </c>
      <c r="M76" s="443">
        <f t="shared" si="7"/>
        <v>0</v>
      </c>
      <c r="N76" s="443">
        <f t="shared" si="8"/>
        <v>6.587628865979382</v>
      </c>
      <c r="O76" s="443">
        <f t="shared" si="9"/>
        <v>0</v>
      </c>
      <c r="P76" s="736"/>
    </row>
    <row r="77" spans="1:16" s="437" customFormat="1" ht="13.5" thickBot="1">
      <c r="A77" s="1122"/>
      <c r="B77" s="440"/>
      <c r="C77" s="461" t="s">
        <v>3488</v>
      </c>
      <c r="D77" s="459" t="s">
        <v>3508</v>
      </c>
      <c r="E77" s="460">
        <v>88.659793814432987</v>
      </c>
      <c r="F77" s="442">
        <f t="shared" si="0"/>
        <v>53.19587628865979</v>
      </c>
      <c r="G77" s="444">
        <f t="shared" si="1"/>
        <v>0</v>
      </c>
      <c r="H77" s="443">
        <f t="shared" si="2"/>
        <v>4.4258969072164946</v>
      </c>
      <c r="I77" s="443">
        <f t="shared" si="3"/>
        <v>0</v>
      </c>
      <c r="J77" s="443">
        <f t="shared" si="4"/>
        <v>1.6650309278350515</v>
      </c>
      <c r="K77" s="443">
        <f t="shared" si="5"/>
        <v>0</v>
      </c>
      <c r="L77" s="443">
        <f t="shared" si="6"/>
        <v>1.3618144329896906</v>
      </c>
      <c r="M77" s="443">
        <f t="shared" si="7"/>
        <v>0</v>
      </c>
      <c r="N77" s="443">
        <f t="shared" si="8"/>
        <v>1.1330721649484534</v>
      </c>
      <c r="O77" s="443">
        <f t="shared" si="9"/>
        <v>0</v>
      </c>
      <c r="P77" s="736"/>
    </row>
    <row r="78" spans="1:16" s="437" customFormat="1" ht="13.5" thickBot="1">
      <c r="A78" s="1122"/>
      <c r="B78" s="447"/>
      <c r="C78" s="462" t="s">
        <v>692</v>
      </c>
      <c r="D78" s="459" t="s">
        <v>3510</v>
      </c>
      <c r="E78" s="460">
        <v>126.80412371134021</v>
      </c>
      <c r="F78" s="442">
        <f t="shared" si="0"/>
        <v>76.082474226804123</v>
      </c>
      <c r="G78" s="444">
        <f t="shared" si="1"/>
        <v>0</v>
      </c>
      <c r="H78" s="443">
        <f t="shared" si="2"/>
        <v>6.3300618556701025</v>
      </c>
      <c r="I78" s="443">
        <f t="shared" si="3"/>
        <v>0</v>
      </c>
      <c r="J78" s="443">
        <f t="shared" si="4"/>
        <v>2.3813814432989693</v>
      </c>
      <c r="K78" s="443">
        <f t="shared" si="5"/>
        <v>0</v>
      </c>
      <c r="L78" s="443">
        <f t="shared" si="6"/>
        <v>1.9477113402061856</v>
      </c>
      <c r="M78" s="443">
        <f t="shared" si="7"/>
        <v>0</v>
      </c>
      <c r="N78" s="443">
        <f t="shared" si="8"/>
        <v>1.6205567010309279</v>
      </c>
      <c r="O78" s="443">
        <f t="shared" si="9"/>
        <v>0</v>
      </c>
      <c r="P78" s="736"/>
    </row>
    <row r="79" spans="1:16" s="437" customFormat="1" ht="13.5" thickBot="1">
      <c r="A79" s="1122"/>
      <c r="B79" s="440"/>
      <c r="C79" s="461" t="s">
        <v>693</v>
      </c>
      <c r="D79" s="459" t="s">
        <v>674</v>
      </c>
      <c r="E79" s="460">
        <v>129.89690721649484</v>
      </c>
      <c r="F79" s="442">
        <f t="shared" si="0"/>
        <v>77.9381443298969</v>
      </c>
      <c r="G79" s="444">
        <f t="shared" si="1"/>
        <v>0</v>
      </c>
      <c r="H79" s="443">
        <f t="shared" si="2"/>
        <v>6.4844536082474216</v>
      </c>
      <c r="I79" s="443">
        <f t="shared" si="3"/>
        <v>0</v>
      </c>
      <c r="J79" s="443">
        <f t="shared" si="4"/>
        <v>2.4394639175257731</v>
      </c>
      <c r="K79" s="443">
        <f t="shared" si="5"/>
        <v>0</v>
      </c>
      <c r="L79" s="443">
        <f t="shared" si="6"/>
        <v>1.9952164948453608</v>
      </c>
      <c r="M79" s="443">
        <f t="shared" si="7"/>
        <v>0</v>
      </c>
      <c r="N79" s="443">
        <f t="shared" si="8"/>
        <v>1.6600824742268039</v>
      </c>
      <c r="O79" s="443">
        <f t="shared" si="9"/>
        <v>0</v>
      </c>
      <c r="P79" s="736"/>
    </row>
    <row r="80" spans="1:16" s="424" customFormat="1" ht="26.25" thickBot="1">
      <c r="A80" s="1122"/>
      <c r="B80" s="441"/>
      <c r="C80" s="461" t="s">
        <v>438</v>
      </c>
      <c r="D80" s="459" t="s">
        <v>594</v>
      </c>
      <c r="E80" s="460">
        <v>1134.020618556701</v>
      </c>
      <c r="F80" s="442">
        <f t="shared" si="0"/>
        <v>680.41237113402065</v>
      </c>
      <c r="G80" s="61">
        <f t="shared" si="1"/>
        <v>0</v>
      </c>
      <c r="H80" s="443">
        <f t="shared" si="2"/>
        <v>56.610309278350513</v>
      </c>
      <c r="I80" s="60">
        <f t="shared" si="3"/>
        <v>0</v>
      </c>
      <c r="J80" s="443">
        <f t="shared" si="4"/>
        <v>21.296907216494848</v>
      </c>
      <c r="K80" s="60">
        <f t="shared" si="5"/>
        <v>0</v>
      </c>
      <c r="L80" s="443">
        <f t="shared" si="6"/>
        <v>17.41855670103093</v>
      </c>
      <c r="M80" s="60">
        <f t="shared" si="7"/>
        <v>0</v>
      </c>
      <c r="N80" s="443">
        <f t="shared" si="8"/>
        <v>14.492783505154639</v>
      </c>
      <c r="O80" s="60">
        <f t="shared" si="9"/>
        <v>0</v>
      </c>
      <c r="P80" s="736"/>
    </row>
    <row r="81" spans="1:16" s="424" customFormat="1" ht="13.5" thickBot="1">
      <c r="A81" s="1122"/>
      <c r="B81" s="440"/>
      <c r="C81" s="458" t="s">
        <v>439</v>
      </c>
      <c r="D81" s="459" t="s">
        <v>595</v>
      </c>
      <c r="E81" s="460">
        <v>809.2783505154639</v>
      </c>
      <c r="F81" s="442">
        <f t="shared" si="0"/>
        <v>485.56701030927832</v>
      </c>
      <c r="G81" s="444">
        <f t="shared" si="1"/>
        <v>0</v>
      </c>
      <c r="H81" s="443">
        <f t="shared" si="2"/>
        <v>40.399175257731955</v>
      </c>
      <c r="I81" s="443">
        <f t="shared" si="3"/>
        <v>0</v>
      </c>
      <c r="J81" s="443">
        <f t="shared" si="4"/>
        <v>15.198247422680412</v>
      </c>
      <c r="K81" s="443">
        <f t="shared" si="5"/>
        <v>0</v>
      </c>
      <c r="L81" s="443">
        <f t="shared" si="6"/>
        <v>12.430515463917526</v>
      </c>
      <c r="M81" s="443">
        <f t="shared" si="7"/>
        <v>0</v>
      </c>
      <c r="N81" s="443">
        <f t="shared" si="8"/>
        <v>10.342577319587628</v>
      </c>
      <c r="O81" s="443">
        <f t="shared" si="9"/>
        <v>0</v>
      </c>
      <c r="P81" s="736"/>
    </row>
    <row r="82" spans="1:16" s="424" customFormat="1" ht="13.5" thickBot="1">
      <c r="A82" s="1122"/>
      <c r="B82" s="441"/>
      <c r="C82" s="458" t="s">
        <v>440</v>
      </c>
      <c r="D82" s="459" t="s">
        <v>418</v>
      </c>
      <c r="E82" s="460">
        <v>688.45360824742261</v>
      </c>
      <c r="F82" s="442">
        <f t="shared" si="0"/>
        <v>413.07216494845358</v>
      </c>
      <c r="G82" s="444">
        <f t="shared" si="1"/>
        <v>0</v>
      </c>
      <c r="H82" s="443">
        <f t="shared" si="2"/>
        <v>34.367604123711338</v>
      </c>
      <c r="I82" s="443">
        <f t="shared" si="3"/>
        <v>0</v>
      </c>
      <c r="J82" s="443">
        <f t="shared" si="4"/>
        <v>12.929158762886598</v>
      </c>
      <c r="K82" s="443">
        <f t="shared" si="5"/>
        <v>0</v>
      </c>
      <c r="L82" s="443">
        <f t="shared" si="6"/>
        <v>10.574647422680412</v>
      </c>
      <c r="M82" s="443">
        <f t="shared" si="7"/>
        <v>0</v>
      </c>
      <c r="N82" s="443">
        <f t="shared" si="8"/>
        <v>8.7984371134020609</v>
      </c>
      <c r="O82" s="443">
        <f t="shared" si="9"/>
        <v>0</v>
      </c>
      <c r="P82" s="736"/>
    </row>
    <row r="83" spans="1:16" s="437" customFormat="1" ht="13.5" thickBot="1">
      <c r="A83" s="1122"/>
      <c r="B83" s="441"/>
      <c r="C83" s="458" t="s">
        <v>441</v>
      </c>
      <c r="D83" s="459" t="s">
        <v>596</v>
      </c>
      <c r="E83" s="460">
        <v>846.39175257731961</v>
      </c>
      <c r="F83" s="442">
        <f t="shared" si="0"/>
        <v>507.83505154639175</v>
      </c>
      <c r="G83" s="444">
        <f t="shared" si="1"/>
        <v>0</v>
      </c>
      <c r="H83" s="443">
        <f t="shared" si="2"/>
        <v>42.251876288659794</v>
      </c>
      <c r="I83" s="443">
        <f t="shared" si="3"/>
        <v>0</v>
      </c>
      <c r="J83" s="443">
        <f t="shared" si="4"/>
        <v>15.895237113402063</v>
      </c>
      <c r="K83" s="443">
        <f t="shared" si="5"/>
        <v>0</v>
      </c>
      <c r="L83" s="443">
        <f t="shared" si="6"/>
        <v>13.000577319587629</v>
      </c>
      <c r="M83" s="443">
        <f t="shared" si="7"/>
        <v>0</v>
      </c>
      <c r="N83" s="443">
        <f t="shared" si="8"/>
        <v>10.816886597938144</v>
      </c>
      <c r="O83" s="443">
        <f t="shared" si="9"/>
        <v>0</v>
      </c>
      <c r="P83" s="736"/>
    </row>
    <row r="84" spans="1:16" s="437" customFormat="1" ht="13.5" thickBot="1">
      <c r="A84" s="1122"/>
      <c r="B84" s="441"/>
      <c r="C84" s="462" t="s">
        <v>442</v>
      </c>
      <c r="D84" s="459" t="s">
        <v>597</v>
      </c>
      <c r="E84" s="460">
        <v>711.34020618556701</v>
      </c>
      <c r="F84" s="442">
        <f t="shared" si="0"/>
        <v>426.8041237113402</v>
      </c>
      <c r="G84" s="444">
        <f t="shared" si="1"/>
        <v>0</v>
      </c>
      <c r="H84" s="443">
        <f t="shared" si="2"/>
        <v>35.510103092783503</v>
      </c>
      <c r="I84" s="443">
        <f t="shared" si="3"/>
        <v>0</v>
      </c>
      <c r="J84" s="443">
        <f t="shared" si="4"/>
        <v>13.358969072164948</v>
      </c>
      <c r="K84" s="443">
        <f t="shared" si="5"/>
        <v>0</v>
      </c>
      <c r="L84" s="443">
        <f t="shared" si="6"/>
        <v>10.926185567010309</v>
      </c>
      <c r="M84" s="443">
        <f t="shared" si="7"/>
        <v>0</v>
      </c>
      <c r="N84" s="443">
        <f t="shared" si="8"/>
        <v>9.0909278350515468</v>
      </c>
      <c r="O84" s="443">
        <f t="shared" si="9"/>
        <v>0</v>
      </c>
      <c r="P84" s="736"/>
    </row>
    <row r="85" spans="1:16" s="437" customFormat="1" ht="13.5" thickBot="1">
      <c r="A85" s="1122"/>
      <c r="B85" s="441"/>
      <c r="C85" s="461" t="s">
        <v>443</v>
      </c>
      <c r="D85" s="459" t="s">
        <v>598</v>
      </c>
      <c r="E85" s="460">
        <v>196.90721649484536</v>
      </c>
      <c r="F85" s="442">
        <f t="shared" si="0"/>
        <v>118.14432989690721</v>
      </c>
      <c r="G85" s="444">
        <f t="shared" si="1"/>
        <v>0</v>
      </c>
      <c r="H85" s="443">
        <f t="shared" si="2"/>
        <v>9.82960824742268</v>
      </c>
      <c r="I85" s="443">
        <f t="shared" si="3"/>
        <v>0</v>
      </c>
      <c r="J85" s="443">
        <f t="shared" si="4"/>
        <v>3.697917525773196</v>
      </c>
      <c r="K85" s="443">
        <f t="shared" si="5"/>
        <v>0</v>
      </c>
      <c r="L85" s="443">
        <f t="shared" si="6"/>
        <v>3.0244948453608247</v>
      </c>
      <c r="M85" s="443">
        <f t="shared" si="7"/>
        <v>0</v>
      </c>
      <c r="N85" s="443">
        <f t="shared" si="8"/>
        <v>2.5164742268041236</v>
      </c>
      <c r="O85" s="443">
        <f t="shared" si="9"/>
        <v>0</v>
      </c>
      <c r="P85" s="736"/>
    </row>
    <row r="86" spans="1:16" s="437" customFormat="1" ht="13.5" thickBot="1">
      <c r="A86" s="1122"/>
      <c r="B86" s="441"/>
      <c r="C86" s="461" t="s">
        <v>444</v>
      </c>
      <c r="D86" s="459" t="s">
        <v>680</v>
      </c>
      <c r="E86" s="460">
        <v>688.45360824742261</v>
      </c>
      <c r="F86" s="442">
        <f t="shared" si="0"/>
        <v>413.07216494845358</v>
      </c>
      <c r="G86" s="444">
        <f t="shared" si="1"/>
        <v>0</v>
      </c>
      <c r="H86" s="443">
        <f t="shared" si="2"/>
        <v>34.367604123711338</v>
      </c>
      <c r="I86" s="443">
        <f t="shared" si="3"/>
        <v>0</v>
      </c>
      <c r="J86" s="443">
        <f t="shared" si="4"/>
        <v>12.929158762886598</v>
      </c>
      <c r="K86" s="443">
        <f t="shared" si="5"/>
        <v>0</v>
      </c>
      <c r="L86" s="443">
        <f t="shared" si="6"/>
        <v>10.574647422680412</v>
      </c>
      <c r="M86" s="443">
        <f t="shared" si="7"/>
        <v>0</v>
      </c>
      <c r="N86" s="443">
        <f t="shared" si="8"/>
        <v>8.7984371134020609</v>
      </c>
      <c r="O86" s="443">
        <f t="shared" si="9"/>
        <v>0</v>
      </c>
      <c r="P86" s="736"/>
    </row>
    <row r="87" spans="1:16" s="437" customFormat="1" ht="13.5" thickBot="1">
      <c r="A87" s="1122"/>
      <c r="B87" s="441"/>
      <c r="C87" s="458" t="s">
        <v>116</v>
      </c>
      <c r="D87" s="459" t="s">
        <v>117</v>
      </c>
      <c r="E87" s="460">
        <v>257.73195876288662</v>
      </c>
      <c r="F87" s="59">
        <f t="shared" si="0"/>
        <v>154.63917525773198</v>
      </c>
      <c r="G87" s="62">
        <f t="shared" si="1"/>
        <v>0</v>
      </c>
      <c r="H87" s="60">
        <f t="shared" si="2"/>
        <v>12.865979381443299</v>
      </c>
      <c r="I87" s="60">
        <f t="shared" si="3"/>
        <v>0</v>
      </c>
      <c r="J87" s="60">
        <f t="shared" si="4"/>
        <v>4.8402061855670109</v>
      </c>
      <c r="K87" s="60">
        <f t="shared" si="5"/>
        <v>0</v>
      </c>
      <c r="L87" s="60">
        <f t="shared" si="6"/>
        <v>3.9587628865979387</v>
      </c>
      <c r="M87" s="60">
        <f t="shared" si="7"/>
        <v>0</v>
      </c>
      <c r="N87" s="60">
        <f t="shared" si="8"/>
        <v>3.293814432989691</v>
      </c>
      <c r="O87" s="60">
        <f t="shared" si="9"/>
        <v>0</v>
      </c>
      <c r="P87" s="736"/>
    </row>
    <row r="88" spans="1:16" s="437" customFormat="1" ht="13.5" thickBot="1">
      <c r="A88" s="1122"/>
      <c r="B88" s="441"/>
      <c r="C88" s="461" t="s">
        <v>3487</v>
      </c>
      <c r="D88" s="459" t="s">
        <v>3507</v>
      </c>
      <c r="E88" s="460">
        <v>407.21649484536084</v>
      </c>
      <c r="F88" s="442">
        <f t="shared" si="0"/>
        <v>244.32989690721649</v>
      </c>
      <c r="G88" s="444">
        <f t="shared" si="1"/>
        <v>0</v>
      </c>
      <c r="H88" s="443">
        <f t="shared" si="2"/>
        <v>20.328247422680413</v>
      </c>
      <c r="I88" s="443">
        <f t="shared" si="3"/>
        <v>0</v>
      </c>
      <c r="J88" s="443">
        <f t="shared" si="4"/>
        <v>7.647525773195877</v>
      </c>
      <c r="K88" s="443">
        <f t="shared" si="5"/>
        <v>0</v>
      </c>
      <c r="L88" s="443">
        <f t="shared" si="6"/>
        <v>6.254845360824743</v>
      </c>
      <c r="M88" s="443">
        <f t="shared" si="7"/>
        <v>0</v>
      </c>
      <c r="N88" s="443">
        <f t="shared" si="8"/>
        <v>5.204226804123711</v>
      </c>
      <c r="O88" s="443">
        <f t="shared" si="9"/>
        <v>0</v>
      </c>
      <c r="P88" s="736"/>
    </row>
    <row r="89" spans="1:16" s="437" customFormat="1" ht="13.5" thickBot="1">
      <c r="A89" s="1122"/>
      <c r="B89" s="441"/>
      <c r="C89" s="458" t="s">
        <v>3503</v>
      </c>
      <c r="D89" s="459" t="s">
        <v>3528</v>
      </c>
      <c r="E89" s="460">
        <v>3442.2680412371137</v>
      </c>
      <c r="F89" s="442">
        <f t="shared" si="0"/>
        <v>2065.3608247422681</v>
      </c>
      <c r="G89" s="444">
        <f t="shared" si="1"/>
        <v>0</v>
      </c>
      <c r="H89" s="443">
        <f t="shared" si="2"/>
        <v>171.8380206185567</v>
      </c>
      <c r="I89" s="443">
        <f t="shared" si="3"/>
        <v>0</v>
      </c>
      <c r="J89" s="443">
        <f t="shared" si="4"/>
        <v>64.645793814432992</v>
      </c>
      <c r="K89" s="443">
        <f t="shared" si="5"/>
        <v>0</v>
      </c>
      <c r="L89" s="443">
        <f t="shared" si="6"/>
        <v>52.873237113402062</v>
      </c>
      <c r="M89" s="443">
        <f t="shared" si="7"/>
        <v>0</v>
      </c>
      <c r="N89" s="443">
        <f t="shared" si="8"/>
        <v>43.99218556701031</v>
      </c>
      <c r="O89" s="443">
        <f t="shared" si="9"/>
        <v>0</v>
      </c>
      <c r="P89" s="736"/>
    </row>
    <row r="90" spans="1:16" s="437" customFormat="1" ht="13.5" thickBot="1">
      <c r="A90" s="1122"/>
      <c r="B90" s="441"/>
      <c r="C90" s="458" t="s">
        <v>694</v>
      </c>
      <c r="D90" s="459" t="s">
        <v>3527</v>
      </c>
      <c r="E90" s="460">
        <v>1835.8762886597938</v>
      </c>
      <c r="F90" s="442">
        <f t="shared" si="0"/>
        <v>1101.5257731958761</v>
      </c>
      <c r="G90" s="444">
        <f t="shared" si="1"/>
        <v>0</v>
      </c>
      <c r="H90" s="443">
        <f t="shared" si="2"/>
        <v>91.646944329896883</v>
      </c>
      <c r="I90" s="443">
        <f t="shared" si="3"/>
        <v>0</v>
      </c>
      <c r="J90" s="443">
        <f t="shared" si="4"/>
        <v>34.477756701030927</v>
      </c>
      <c r="K90" s="443">
        <f t="shared" si="5"/>
        <v>0</v>
      </c>
      <c r="L90" s="443">
        <f t="shared" si="6"/>
        <v>28.199059793814431</v>
      </c>
      <c r="M90" s="443">
        <f t="shared" si="7"/>
        <v>0</v>
      </c>
      <c r="N90" s="443">
        <f t="shared" si="8"/>
        <v>23.462498969072161</v>
      </c>
      <c r="O90" s="443">
        <f t="shared" si="9"/>
        <v>0</v>
      </c>
      <c r="P90" s="736"/>
    </row>
    <row r="91" spans="1:16" s="437" customFormat="1" ht="13.5" thickBot="1">
      <c r="A91" s="1122"/>
      <c r="B91" s="441"/>
      <c r="C91" s="458" t="s">
        <v>454</v>
      </c>
      <c r="D91" s="459" t="s">
        <v>3526</v>
      </c>
      <c r="E91" s="460">
        <v>872.1649484536083</v>
      </c>
      <c r="F91" s="442">
        <f t="shared" si="0"/>
        <v>523.29896907216494</v>
      </c>
      <c r="G91" s="444">
        <f t="shared" si="1"/>
        <v>0</v>
      </c>
      <c r="H91" s="443">
        <f t="shared" si="2"/>
        <v>43.538474226804119</v>
      </c>
      <c r="I91" s="443">
        <f t="shared" si="3"/>
        <v>0</v>
      </c>
      <c r="J91" s="443">
        <f t="shared" si="4"/>
        <v>16.379257731958763</v>
      </c>
      <c r="K91" s="443">
        <f t="shared" si="5"/>
        <v>0</v>
      </c>
      <c r="L91" s="443">
        <f t="shared" si="6"/>
        <v>13.396453608247423</v>
      </c>
      <c r="M91" s="443">
        <f t="shared" si="7"/>
        <v>0</v>
      </c>
      <c r="N91" s="443">
        <f t="shared" si="8"/>
        <v>11.146268041237112</v>
      </c>
      <c r="O91" s="443">
        <f t="shared" si="9"/>
        <v>0</v>
      </c>
      <c r="P91" s="736"/>
    </row>
    <row r="92" spans="1:16" s="437" customFormat="1" ht="13.5" thickBot="1">
      <c r="A92" s="1122"/>
      <c r="B92" s="441"/>
      <c r="C92" s="458" t="s">
        <v>70</v>
      </c>
      <c r="D92" s="459" t="s">
        <v>682</v>
      </c>
      <c r="E92" s="460">
        <v>61.855670103092784</v>
      </c>
      <c r="F92" s="442">
        <f t="shared" si="0"/>
        <v>37.113402061855666</v>
      </c>
      <c r="G92" s="444">
        <f t="shared" si="1"/>
        <v>0</v>
      </c>
      <c r="H92" s="443">
        <f t="shared" si="2"/>
        <v>3.0878350515463913</v>
      </c>
      <c r="I92" s="443">
        <f t="shared" si="3"/>
        <v>0</v>
      </c>
      <c r="J92" s="443">
        <f t="shared" si="4"/>
        <v>1.1616494845360823</v>
      </c>
      <c r="K92" s="443">
        <f t="shared" si="5"/>
        <v>0</v>
      </c>
      <c r="L92" s="443">
        <f t="shared" si="6"/>
        <v>0.95010309278350513</v>
      </c>
      <c r="M92" s="443">
        <f t="shared" si="7"/>
        <v>0</v>
      </c>
      <c r="N92" s="443">
        <f t="shared" si="8"/>
        <v>0.7905154639175257</v>
      </c>
      <c r="O92" s="443">
        <f t="shared" si="9"/>
        <v>0</v>
      </c>
      <c r="P92" s="736"/>
    </row>
    <row r="93" spans="1:16" s="437" customFormat="1" ht="13.5" thickBot="1">
      <c r="A93" s="1122"/>
      <c r="B93" s="441"/>
      <c r="C93" s="458" t="s">
        <v>456</v>
      </c>
      <c r="D93" s="459" t="s">
        <v>683</v>
      </c>
      <c r="E93" s="460">
        <v>123.71134020618557</v>
      </c>
      <c r="F93" s="59">
        <f t="shared" si="0"/>
        <v>74.226804123711332</v>
      </c>
      <c r="G93" s="62">
        <f t="shared" si="1"/>
        <v>0</v>
      </c>
      <c r="H93" s="60">
        <f t="shared" si="2"/>
        <v>6.1756701030927825</v>
      </c>
      <c r="I93" s="60">
        <f t="shared" si="3"/>
        <v>0</v>
      </c>
      <c r="J93" s="60">
        <f t="shared" si="4"/>
        <v>2.3232989690721646</v>
      </c>
      <c r="K93" s="60">
        <f t="shared" si="5"/>
        <v>0</v>
      </c>
      <c r="L93" s="60">
        <f t="shared" si="6"/>
        <v>1.9002061855670103</v>
      </c>
      <c r="M93" s="60">
        <f t="shared" si="7"/>
        <v>0</v>
      </c>
      <c r="N93" s="60">
        <f t="shared" si="8"/>
        <v>1.5810309278350514</v>
      </c>
      <c r="O93" s="60">
        <f t="shared" si="9"/>
        <v>0</v>
      </c>
      <c r="P93" s="736"/>
    </row>
    <row r="94" spans="1:16" s="437" customFormat="1" ht="13.5" thickBot="1">
      <c r="A94" s="1122"/>
      <c r="B94" s="441"/>
      <c r="C94" s="458" t="s">
        <v>3501</v>
      </c>
      <c r="D94" s="459" t="s">
        <v>3524</v>
      </c>
      <c r="E94" s="460">
        <v>114.43298969072166</v>
      </c>
      <c r="F94" s="442">
        <f t="shared" si="0"/>
        <v>68.659793814432987</v>
      </c>
      <c r="G94" s="444">
        <f t="shared" si="1"/>
        <v>0</v>
      </c>
      <c r="H94" s="443">
        <f t="shared" si="2"/>
        <v>5.7124948453608244</v>
      </c>
      <c r="I94" s="443">
        <f t="shared" si="3"/>
        <v>0</v>
      </c>
      <c r="J94" s="443">
        <f t="shared" si="4"/>
        <v>2.1490515463917528</v>
      </c>
      <c r="K94" s="443">
        <f t="shared" si="5"/>
        <v>0</v>
      </c>
      <c r="L94" s="443">
        <f t="shared" si="6"/>
        <v>1.7576907216494846</v>
      </c>
      <c r="M94" s="443">
        <f t="shared" si="7"/>
        <v>0</v>
      </c>
      <c r="N94" s="443">
        <f t="shared" si="8"/>
        <v>1.4624536082474227</v>
      </c>
      <c r="O94" s="443">
        <f t="shared" si="9"/>
        <v>0</v>
      </c>
      <c r="P94" s="736"/>
    </row>
    <row r="95" spans="1:16" s="437" customFormat="1" ht="13.5" thickBot="1">
      <c r="A95" s="1122"/>
      <c r="B95" s="441"/>
      <c r="C95" s="458" t="s">
        <v>695</v>
      </c>
      <c r="D95" s="459" t="s">
        <v>3531</v>
      </c>
      <c r="E95" s="460">
        <v>941.23711340206194</v>
      </c>
      <c r="F95" s="442">
        <f t="shared" si="0"/>
        <v>564.74226804123714</v>
      </c>
      <c r="G95" s="444">
        <f t="shared" si="1"/>
        <v>0</v>
      </c>
      <c r="H95" s="443">
        <f t="shared" si="2"/>
        <v>46.986556701030928</v>
      </c>
      <c r="I95" s="443">
        <f t="shared" si="3"/>
        <v>0</v>
      </c>
      <c r="J95" s="443">
        <f t="shared" si="4"/>
        <v>17.676432989690724</v>
      </c>
      <c r="K95" s="443">
        <f t="shared" si="5"/>
        <v>0</v>
      </c>
      <c r="L95" s="443">
        <f t="shared" si="6"/>
        <v>14.457402061855671</v>
      </c>
      <c r="M95" s="443">
        <f t="shared" si="7"/>
        <v>0</v>
      </c>
      <c r="N95" s="443">
        <f t="shared" si="8"/>
        <v>12.02901030927835</v>
      </c>
      <c r="O95" s="443">
        <f t="shared" si="9"/>
        <v>0</v>
      </c>
      <c r="P95" s="736"/>
    </row>
    <row r="96" spans="1:16" s="437" customFormat="1" ht="13.5" thickBot="1">
      <c r="A96" s="1122"/>
      <c r="B96" s="439"/>
      <c r="C96" s="458" t="s">
        <v>696</v>
      </c>
      <c r="D96" s="459" t="s">
        <v>3532</v>
      </c>
      <c r="E96" s="460">
        <v>1227.8350515463917</v>
      </c>
      <c r="F96" s="442">
        <f t="shared" si="0"/>
        <v>736.70103092783495</v>
      </c>
      <c r="G96" s="444">
        <f t="shared" si="1"/>
        <v>0</v>
      </c>
      <c r="H96" s="443">
        <f t="shared" si="2"/>
        <v>61.293525773195867</v>
      </c>
      <c r="I96" s="443">
        <f t="shared" si="3"/>
        <v>0</v>
      </c>
      <c r="J96" s="443">
        <f t="shared" si="4"/>
        <v>23.058742268041236</v>
      </c>
      <c r="K96" s="443">
        <f t="shared" si="5"/>
        <v>0</v>
      </c>
      <c r="L96" s="443">
        <f t="shared" si="6"/>
        <v>18.859546391752577</v>
      </c>
      <c r="M96" s="443">
        <f t="shared" si="7"/>
        <v>0</v>
      </c>
      <c r="N96" s="443">
        <f t="shared" si="8"/>
        <v>15.691731958762883</v>
      </c>
      <c r="O96" s="443">
        <f t="shared" si="9"/>
        <v>0</v>
      </c>
      <c r="P96" s="736"/>
    </row>
    <row r="97" spans="1:16" s="437" customFormat="1" ht="13.5" thickBot="1">
      <c r="A97" s="1122"/>
      <c r="B97" s="449"/>
      <c r="C97" s="458" t="s">
        <v>697</v>
      </c>
      <c r="D97" s="459" t="s">
        <v>3529</v>
      </c>
      <c r="E97" s="460">
        <v>1445.3608247422681</v>
      </c>
      <c r="F97" s="442">
        <f t="shared" si="0"/>
        <v>867.21649484536078</v>
      </c>
      <c r="G97" s="444">
        <f t="shared" si="1"/>
        <v>0</v>
      </c>
      <c r="H97" s="443">
        <f t="shared" si="2"/>
        <v>72.15241237113402</v>
      </c>
      <c r="I97" s="443">
        <f t="shared" si="3"/>
        <v>0</v>
      </c>
      <c r="J97" s="443">
        <f t="shared" si="4"/>
        <v>27.143876288659794</v>
      </c>
      <c r="K97" s="443">
        <f t="shared" si="5"/>
        <v>0</v>
      </c>
      <c r="L97" s="443">
        <f t="shared" si="6"/>
        <v>22.200742268041235</v>
      </c>
      <c r="M97" s="443">
        <f t="shared" si="7"/>
        <v>0</v>
      </c>
      <c r="N97" s="443">
        <f t="shared" si="8"/>
        <v>18.471711340206184</v>
      </c>
      <c r="O97" s="443">
        <f t="shared" si="9"/>
        <v>0</v>
      </c>
      <c r="P97" s="736"/>
    </row>
    <row r="98" spans="1:16" s="437" customFormat="1" ht="13.5" thickBot="1">
      <c r="A98" s="1122"/>
      <c r="B98" s="440"/>
      <c r="C98" s="462" t="s">
        <v>3504</v>
      </c>
      <c r="D98" s="459" t="s">
        <v>3530</v>
      </c>
      <c r="E98" s="460">
        <v>1720.6185567010309</v>
      </c>
      <c r="F98" s="442">
        <f t="shared" si="0"/>
        <v>1032.3711340206185</v>
      </c>
      <c r="G98" s="444">
        <f t="shared" si="1"/>
        <v>0</v>
      </c>
      <c r="H98" s="443">
        <f t="shared" si="2"/>
        <v>85.893278350515445</v>
      </c>
      <c r="I98" s="443">
        <f t="shared" si="3"/>
        <v>0</v>
      </c>
      <c r="J98" s="443">
        <f t="shared" si="4"/>
        <v>32.313216494845356</v>
      </c>
      <c r="K98" s="443">
        <f t="shared" si="5"/>
        <v>0</v>
      </c>
      <c r="L98" s="443">
        <f t="shared" si="6"/>
        <v>26.428701030927833</v>
      </c>
      <c r="M98" s="443">
        <f t="shared" si="7"/>
        <v>0</v>
      </c>
      <c r="N98" s="443">
        <f t="shared" si="8"/>
        <v>21.989505154639172</v>
      </c>
      <c r="O98" s="443">
        <f t="shared" si="9"/>
        <v>0</v>
      </c>
      <c r="P98" s="736"/>
    </row>
    <row r="99" spans="1:16" s="437" customFormat="1" ht="13.5" thickBot="1">
      <c r="A99" s="1122"/>
      <c r="B99" s="441"/>
      <c r="C99" s="458" t="s">
        <v>3494</v>
      </c>
      <c r="D99" s="459" t="s">
        <v>3517</v>
      </c>
      <c r="E99" s="460">
        <v>1144.3298969072166</v>
      </c>
      <c r="F99" s="442">
        <f t="shared" si="0"/>
        <v>686.59793814432999</v>
      </c>
      <c r="G99" s="444">
        <f t="shared" si="1"/>
        <v>0</v>
      </c>
      <c r="H99" s="443">
        <f t="shared" si="2"/>
        <v>57.124948453608255</v>
      </c>
      <c r="I99" s="443">
        <f t="shared" si="3"/>
        <v>0</v>
      </c>
      <c r="J99" s="443">
        <f t="shared" si="4"/>
        <v>21.490515463917529</v>
      </c>
      <c r="K99" s="443">
        <f t="shared" si="5"/>
        <v>0</v>
      </c>
      <c r="L99" s="443">
        <f t="shared" si="6"/>
        <v>17.576907216494849</v>
      </c>
      <c r="M99" s="443">
        <f t="shared" si="7"/>
        <v>0</v>
      </c>
      <c r="N99" s="443">
        <f t="shared" si="8"/>
        <v>14.624536082474229</v>
      </c>
      <c r="O99" s="443">
        <f t="shared" si="9"/>
        <v>0</v>
      </c>
      <c r="P99" s="736"/>
    </row>
    <row r="100" spans="1:16" s="437" customFormat="1" ht="13.5" thickBot="1">
      <c r="A100" s="1122"/>
      <c r="B100" s="445"/>
      <c r="C100" s="458" t="s">
        <v>450</v>
      </c>
      <c r="D100" s="459" t="s">
        <v>684</v>
      </c>
      <c r="E100" s="460">
        <v>604.12371134020623</v>
      </c>
      <c r="F100" s="442">
        <f t="shared" si="0"/>
        <v>362.4742268041237</v>
      </c>
      <c r="G100" s="444">
        <f t="shared" si="1"/>
        <v>0</v>
      </c>
      <c r="H100" s="443">
        <f t="shared" si="2"/>
        <v>30.157855670103089</v>
      </c>
      <c r="I100" s="443">
        <f t="shared" si="3"/>
        <v>0</v>
      </c>
      <c r="J100" s="443">
        <f t="shared" si="4"/>
        <v>11.345443298969073</v>
      </c>
      <c r="K100" s="443">
        <f t="shared" si="5"/>
        <v>0</v>
      </c>
      <c r="L100" s="443">
        <f t="shared" si="6"/>
        <v>9.2793402061855677</v>
      </c>
      <c r="M100" s="443">
        <f t="shared" si="7"/>
        <v>0</v>
      </c>
      <c r="N100" s="443">
        <f t="shared" si="8"/>
        <v>7.7207010309278346</v>
      </c>
      <c r="O100" s="443">
        <f t="shared" si="9"/>
        <v>0</v>
      </c>
      <c r="P100" s="736"/>
    </row>
    <row r="101" spans="1:16" s="437" customFormat="1" ht="13.5" thickBot="1">
      <c r="A101" s="1122"/>
      <c r="B101" s="440"/>
      <c r="C101" s="458" t="s">
        <v>3499</v>
      </c>
      <c r="D101" s="459" t="s">
        <v>3522</v>
      </c>
      <c r="E101" s="460">
        <v>604.12371134020623</v>
      </c>
      <c r="F101" s="442">
        <f t="shared" si="0"/>
        <v>362.4742268041237</v>
      </c>
      <c r="G101" s="444">
        <f t="shared" si="1"/>
        <v>0</v>
      </c>
      <c r="H101" s="443">
        <f t="shared" si="2"/>
        <v>30.157855670103089</v>
      </c>
      <c r="I101" s="443">
        <f t="shared" si="3"/>
        <v>0</v>
      </c>
      <c r="J101" s="443">
        <f t="shared" si="4"/>
        <v>11.345443298969073</v>
      </c>
      <c r="K101" s="443">
        <f t="shared" si="5"/>
        <v>0</v>
      </c>
      <c r="L101" s="443">
        <f t="shared" si="6"/>
        <v>9.2793402061855677</v>
      </c>
      <c r="M101" s="443">
        <f t="shared" si="7"/>
        <v>0</v>
      </c>
      <c r="N101" s="443">
        <f t="shared" si="8"/>
        <v>7.7207010309278346</v>
      </c>
      <c r="O101" s="443">
        <f t="shared" si="9"/>
        <v>0</v>
      </c>
      <c r="P101" s="736"/>
    </row>
    <row r="102" spans="1:16" s="437" customFormat="1" ht="13.5" thickBot="1">
      <c r="A102" s="1122"/>
      <c r="B102" s="441"/>
      <c r="C102" s="458" t="s">
        <v>3500</v>
      </c>
      <c r="D102" s="459" t="s">
        <v>3523</v>
      </c>
      <c r="E102" s="460">
        <v>876.28865979381442</v>
      </c>
      <c r="F102" s="442">
        <f t="shared" si="0"/>
        <v>525.77319587628858</v>
      </c>
      <c r="G102" s="444">
        <f t="shared" si="1"/>
        <v>0</v>
      </c>
      <c r="H102" s="443">
        <f t="shared" si="2"/>
        <v>43.74432989690721</v>
      </c>
      <c r="I102" s="443">
        <f t="shared" si="3"/>
        <v>0</v>
      </c>
      <c r="J102" s="443">
        <f t="shared" si="4"/>
        <v>16.456701030927832</v>
      </c>
      <c r="K102" s="443">
        <f t="shared" si="5"/>
        <v>0</v>
      </c>
      <c r="L102" s="443">
        <f t="shared" si="6"/>
        <v>13.459793814432988</v>
      </c>
      <c r="M102" s="443">
        <f t="shared" si="7"/>
        <v>0</v>
      </c>
      <c r="N102" s="443">
        <f t="shared" si="8"/>
        <v>11.198969072164946</v>
      </c>
      <c r="O102" s="443">
        <f t="shared" si="9"/>
        <v>0</v>
      </c>
      <c r="P102" s="736"/>
    </row>
    <row r="103" spans="1:16" s="437" customFormat="1" ht="13.5" thickBot="1">
      <c r="A103" s="1122"/>
      <c r="B103" s="445"/>
      <c r="C103" s="458" t="s">
        <v>698</v>
      </c>
      <c r="D103" s="459" t="s">
        <v>685</v>
      </c>
      <c r="E103" s="460">
        <v>1262.8865979381444</v>
      </c>
      <c r="F103" s="442">
        <f t="shared" si="0"/>
        <v>757.73195876288662</v>
      </c>
      <c r="G103" s="444">
        <f t="shared" si="1"/>
        <v>0</v>
      </c>
      <c r="H103" s="443">
        <f t="shared" si="2"/>
        <v>63.043298969072161</v>
      </c>
      <c r="I103" s="443">
        <f t="shared" si="3"/>
        <v>0</v>
      </c>
      <c r="J103" s="443">
        <f t="shared" si="4"/>
        <v>23.717010309278351</v>
      </c>
      <c r="K103" s="443">
        <f t="shared" si="5"/>
        <v>0</v>
      </c>
      <c r="L103" s="443">
        <f t="shared" si="6"/>
        <v>19.397938144329899</v>
      </c>
      <c r="M103" s="443">
        <f t="shared" si="7"/>
        <v>0</v>
      </c>
      <c r="N103" s="443">
        <f t="shared" si="8"/>
        <v>16.139690721649483</v>
      </c>
      <c r="O103" s="443">
        <f t="shared" si="9"/>
        <v>0</v>
      </c>
      <c r="P103" s="736"/>
    </row>
    <row r="104" spans="1:16" s="437" customFormat="1" ht="13.5" thickBot="1">
      <c r="A104" s="1122"/>
      <c r="B104" s="441"/>
      <c r="C104" s="458" t="s">
        <v>493</v>
      </c>
      <c r="D104" s="459" t="s">
        <v>52</v>
      </c>
      <c r="E104" s="460">
        <v>49.175257731958766</v>
      </c>
      <c r="F104" s="59">
        <f t="shared" si="0"/>
        <v>29.505154639175259</v>
      </c>
      <c r="G104" s="62">
        <f t="shared" si="1"/>
        <v>0</v>
      </c>
      <c r="H104" s="60">
        <f t="shared" si="2"/>
        <v>2.4548288659793815</v>
      </c>
      <c r="I104" s="60">
        <f t="shared" si="3"/>
        <v>0</v>
      </c>
      <c r="J104" s="60">
        <f t="shared" si="4"/>
        <v>0.92351134020618564</v>
      </c>
      <c r="K104" s="60">
        <f t="shared" si="5"/>
        <v>0</v>
      </c>
      <c r="L104" s="60">
        <f t="shared" si="6"/>
        <v>0.75533195876288672</v>
      </c>
      <c r="M104" s="60">
        <f t="shared" si="7"/>
        <v>0</v>
      </c>
      <c r="N104" s="60">
        <f t="shared" si="8"/>
        <v>0.62845979381443307</v>
      </c>
      <c r="O104" s="60">
        <f t="shared" si="9"/>
        <v>0</v>
      </c>
      <c r="P104" s="736"/>
    </row>
    <row r="105" spans="1:16" s="437" customFormat="1" ht="13.5" thickBot="1">
      <c r="A105" s="1122"/>
      <c r="B105" s="447"/>
      <c r="C105" s="458" t="s">
        <v>478</v>
      </c>
      <c r="D105" s="459" t="s">
        <v>686</v>
      </c>
      <c r="E105" s="460">
        <v>27.319587628865982</v>
      </c>
      <c r="F105" s="59">
        <f t="shared" si="0"/>
        <v>16.39175257731959</v>
      </c>
      <c r="G105" s="62">
        <f t="shared" si="1"/>
        <v>0</v>
      </c>
      <c r="H105" s="60">
        <f t="shared" si="2"/>
        <v>1.3637938144329897</v>
      </c>
      <c r="I105" s="60">
        <f t="shared" si="3"/>
        <v>0</v>
      </c>
      <c r="J105" s="60">
        <f t="shared" si="4"/>
        <v>0.51306185567010321</v>
      </c>
      <c r="K105" s="60">
        <f t="shared" si="5"/>
        <v>0</v>
      </c>
      <c r="L105" s="60">
        <f t="shared" si="6"/>
        <v>0.41962886597938154</v>
      </c>
      <c r="M105" s="60">
        <f t="shared" si="7"/>
        <v>0</v>
      </c>
      <c r="N105" s="60">
        <f t="shared" si="8"/>
        <v>0.34914432989690725</v>
      </c>
      <c r="O105" s="60">
        <f t="shared" si="9"/>
        <v>0</v>
      </c>
      <c r="P105" s="736"/>
    </row>
    <row r="106" spans="1:16" s="437" customFormat="1" ht="13.5" thickBot="1">
      <c r="A106" s="1122"/>
      <c r="B106" s="440"/>
      <c r="C106" s="462" t="s">
        <v>33</v>
      </c>
      <c r="D106" s="459" t="s">
        <v>3509</v>
      </c>
      <c r="E106" s="460">
        <v>30.927835051546392</v>
      </c>
      <c r="F106" s="442">
        <f t="shared" si="0"/>
        <v>18.556701030927833</v>
      </c>
      <c r="G106" s="444">
        <f t="shared" si="1"/>
        <v>0</v>
      </c>
      <c r="H106" s="443">
        <f t="shared" si="2"/>
        <v>1.5439175257731956</v>
      </c>
      <c r="I106" s="443">
        <f t="shared" si="3"/>
        <v>0</v>
      </c>
      <c r="J106" s="443">
        <f t="shared" si="4"/>
        <v>0.58082474226804115</v>
      </c>
      <c r="K106" s="443">
        <f t="shared" si="5"/>
        <v>0</v>
      </c>
      <c r="L106" s="443">
        <f t="shared" si="6"/>
        <v>0.47505154639175257</v>
      </c>
      <c r="M106" s="443">
        <f t="shared" si="7"/>
        <v>0</v>
      </c>
      <c r="N106" s="443">
        <f t="shared" si="8"/>
        <v>0.39525773195876285</v>
      </c>
      <c r="O106" s="443">
        <f t="shared" si="9"/>
        <v>0</v>
      </c>
      <c r="P106" s="736"/>
    </row>
    <row r="107" spans="1:16" s="437" customFormat="1" ht="13.5" thickBot="1">
      <c r="A107" s="1122"/>
      <c r="B107" s="440"/>
      <c r="C107" s="458" t="s">
        <v>699</v>
      </c>
      <c r="D107" s="459" t="s">
        <v>687</v>
      </c>
      <c r="E107" s="460">
        <v>586.59793814432987</v>
      </c>
      <c r="F107" s="59">
        <f t="shared" si="0"/>
        <v>351.95876288659792</v>
      </c>
      <c r="G107" s="62">
        <f t="shared" si="1"/>
        <v>0</v>
      </c>
      <c r="H107" s="60">
        <f t="shared" si="2"/>
        <v>29.282969072164946</v>
      </c>
      <c r="I107" s="60">
        <f t="shared" si="3"/>
        <v>0</v>
      </c>
      <c r="J107" s="60">
        <f t="shared" si="4"/>
        <v>11.016309278350516</v>
      </c>
      <c r="K107" s="60">
        <f t="shared" si="5"/>
        <v>0</v>
      </c>
      <c r="L107" s="60">
        <f t="shared" si="6"/>
        <v>9.0101443298969066</v>
      </c>
      <c r="M107" s="60">
        <f t="shared" si="7"/>
        <v>0</v>
      </c>
      <c r="N107" s="60">
        <f t="shared" si="8"/>
        <v>7.4967216494845355</v>
      </c>
      <c r="O107" s="60">
        <f t="shared" si="9"/>
        <v>0</v>
      </c>
      <c r="P107" s="736"/>
    </row>
    <row r="108" spans="1:16" s="437" customFormat="1" ht="13.5" thickBot="1">
      <c r="A108" s="1122"/>
      <c r="B108" s="441"/>
      <c r="C108" s="462" t="s">
        <v>700</v>
      </c>
      <c r="D108" s="459" t="s">
        <v>3513</v>
      </c>
      <c r="E108" s="460">
        <v>268.04123711340208</v>
      </c>
      <c r="F108" s="442">
        <f t="shared" si="0"/>
        <v>160.82474226804123</v>
      </c>
      <c r="G108" s="444">
        <f t="shared" si="1"/>
        <v>0</v>
      </c>
      <c r="H108" s="443">
        <f t="shared" si="2"/>
        <v>13.38061855670103</v>
      </c>
      <c r="I108" s="443">
        <f t="shared" si="3"/>
        <v>0</v>
      </c>
      <c r="J108" s="443">
        <f t="shared" si="4"/>
        <v>5.0338144329896908</v>
      </c>
      <c r="K108" s="443">
        <f t="shared" si="5"/>
        <v>0</v>
      </c>
      <c r="L108" s="443">
        <f t="shared" si="6"/>
        <v>4.1171134020618556</v>
      </c>
      <c r="M108" s="443">
        <f t="shared" si="7"/>
        <v>0</v>
      </c>
      <c r="N108" s="443">
        <f t="shared" si="8"/>
        <v>3.4255670103092783</v>
      </c>
      <c r="O108" s="443">
        <f t="shared" si="9"/>
        <v>0</v>
      </c>
      <c r="P108" s="736"/>
    </row>
    <row r="109" spans="1:16" s="437" customFormat="1" ht="13.5" thickBot="1">
      <c r="A109" s="1122"/>
      <c r="B109" s="440"/>
      <c r="C109" s="458" t="s">
        <v>701</v>
      </c>
      <c r="D109" s="459" t="s">
        <v>688</v>
      </c>
      <c r="E109" s="460">
        <v>305.15463917525773</v>
      </c>
      <c r="F109" s="442">
        <f t="shared" si="0"/>
        <v>183.09278350515464</v>
      </c>
      <c r="G109" s="444">
        <f t="shared" si="1"/>
        <v>0</v>
      </c>
      <c r="H109" s="443">
        <f t="shared" si="2"/>
        <v>15.233319587628866</v>
      </c>
      <c r="I109" s="443">
        <f t="shared" si="3"/>
        <v>0</v>
      </c>
      <c r="J109" s="443">
        <f t="shared" si="4"/>
        <v>5.7308041237113407</v>
      </c>
      <c r="K109" s="443">
        <f t="shared" si="5"/>
        <v>0</v>
      </c>
      <c r="L109" s="443">
        <f t="shared" si="6"/>
        <v>4.6871752577319592</v>
      </c>
      <c r="M109" s="443">
        <f t="shared" si="7"/>
        <v>0</v>
      </c>
      <c r="N109" s="443">
        <f t="shared" si="8"/>
        <v>3.8998762886597937</v>
      </c>
      <c r="O109" s="443">
        <f t="shared" si="9"/>
        <v>0</v>
      </c>
      <c r="P109" s="736"/>
    </row>
    <row r="110" spans="1:16" ht="13.5" thickBot="1">
      <c r="A110" s="1122"/>
      <c r="B110" s="438"/>
      <c r="C110" s="660" t="s">
        <v>453</v>
      </c>
      <c r="D110" s="662" t="s">
        <v>32</v>
      </c>
      <c r="E110" s="664">
        <v>115.4639175257732</v>
      </c>
      <c r="F110" s="442">
        <f t="shared" si="0"/>
        <v>69.278350515463913</v>
      </c>
      <c r="G110" s="444">
        <f t="shared" si="1"/>
        <v>0</v>
      </c>
      <c r="H110" s="443">
        <f t="shared" si="2"/>
        <v>5.7639587628865971</v>
      </c>
      <c r="I110" s="443">
        <f t="shared" si="3"/>
        <v>0</v>
      </c>
      <c r="J110" s="466">
        <f t="shared" si="4"/>
        <v>2.1684123711340204</v>
      </c>
      <c r="K110" s="443">
        <f t="shared" si="5"/>
        <v>0</v>
      </c>
      <c r="L110" s="443">
        <f t="shared" si="6"/>
        <v>1.7735257731958762</v>
      </c>
      <c r="M110" s="443">
        <f t="shared" si="7"/>
        <v>0</v>
      </c>
      <c r="N110" s="466">
        <f t="shared" si="8"/>
        <v>1.4756288659793813</v>
      </c>
      <c r="O110" s="443">
        <f t="shared" si="9"/>
        <v>0</v>
      </c>
      <c r="P110" s="736"/>
    </row>
    <row r="111" spans="1:16" s="437" customFormat="1" ht="13.5" thickBot="1">
      <c r="A111" s="1123"/>
      <c r="B111" s="441"/>
      <c r="C111" s="458" t="s">
        <v>3493</v>
      </c>
      <c r="D111" s="459" t="s">
        <v>3516</v>
      </c>
      <c r="E111" s="460">
        <v>5164.9484536082473</v>
      </c>
      <c r="F111" s="442">
        <f t="shared" si="0"/>
        <v>3098.9690721649481</v>
      </c>
      <c r="G111" s="444">
        <f t="shared" si="1"/>
        <v>0</v>
      </c>
      <c r="H111" s="443">
        <f t="shared" si="2"/>
        <v>257.83422680412366</v>
      </c>
      <c r="I111" s="443">
        <f t="shared" si="3"/>
        <v>0</v>
      </c>
      <c r="J111" s="443">
        <f t="shared" si="4"/>
        <v>96.997731958762884</v>
      </c>
      <c r="K111" s="443">
        <f t="shared" si="5"/>
        <v>0</v>
      </c>
      <c r="L111" s="443">
        <f t="shared" si="6"/>
        <v>79.333608247422674</v>
      </c>
      <c r="M111" s="443">
        <f t="shared" si="7"/>
        <v>0</v>
      </c>
      <c r="N111" s="443">
        <f t="shared" si="8"/>
        <v>66.008041237113389</v>
      </c>
      <c r="O111" s="443">
        <f t="shared" si="9"/>
        <v>0</v>
      </c>
      <c r="P111" s="736"/>
    </row>
    <row r="112" spans="1:16" s="437" customFormat="1" ht="15">
      <c r="B112" s="378"/>
      <c r="C112" s="378"/>
      <c r="D112" s="1059" t="s">
        <v>183</v>
      </c>
      <c r="E112" s="1059"/>
      <c r="F112" s="1059"/>
      <c r="G112" s="450">
        <f t="array" ref="G112">SUM(G49:G111)+G37:G49:G111+G41:G49:G111+G45</f>
        <v>0</v>
      </c>
      <c r="H112" s="451" t="s">
        <v>184</v>
      </c>
      <c r="I112" s="450">
        <f t="array" ref="I112">SUM(I49:I111)+I37:I49:I111+I41:I49:I111+I45</f>
        <v>0</v>
      </c>
      <c r="J112" s="451" t="s">
        <v>185</v>
      </c>
      <c r="K112" s="450">
        <f t="array" ref="K112">SUM(K49:K111)+K37:K49:K111+K41:K49:K111+K45</f>
        <v>0</v>
      </c>
      <c r="L112" s="451" t="s">
        <v>186</v>
      </c>
      <c r="M112" s="450">
        <f t="array" ref="M112">SUM(M49:M111)+M37:M49:M111+M41:M49:M111+M45</f>
        <v>0</v>
      </c>
      <c r="N112" s="451" t="s">
        <v>187</v>
      </c>
      <c r="O112" s="450">
        <f t="array" ref="O112">SUM(O49:O111)+O37:O49:O111+O41:O49:O111+O45</f>
        <v>0</v>
      </c>
    </row>
    <row r="113" spans="2:8">
      <c r="F113" s="452"/>
      <c r="G113" s="452"/>
      <c r="H113" s="453"/>
    </row>
    <row r="114" spans="2:8" ht="15" customHeight="1">
      <c r="B114" s="454"/>
      <c r="F114" s="452"/>
      <c r="G114" s="452"/>
    </row>
    <row r="115" spans="2:8" ht="15" customHeight="1">
      <c r="B115" s="454"/>
      <c r="F115" s="452"/>
      <c r="G115" s="452"/>
    </row>
    <row r="116" spans="2:8">
      <c r="F116" s="452"/>
      <c r="G116" s="452"/>
    </row>
    <row r="117" spans="2:8">
      <c r="F117" s="452"/>
      <c r="G117" s="452"/>
    </row>
    <row r="118" spans="2:8">
      <c r="F118" s="452"/>
      <c r="G118" s="452"/>
    </row>
    <row r="119" spans="2:8">
      <c r="F119" s="452"/>
      <c r="G119" s="452"/>
    </row>
    <row r="120" spans="2:8">
      <c r="F120" s="452"/>
      <c r="G120" s="452"/>
    </row>
    <row r="121" spans="2:8">
      <c r="F121" s="452"/>
      <c r="G121" s="452"/>
    </row>
    <row r="122" spans="2:8">
      <c r="F122" s="452"/>
      <c r="G122" s="452"/>
    </row>
    <row r="123" spans="2:8">
      <c r="F123" s="452"/>
      <c r="G123" s="452"/>
    </row>
    <row r="124" spans="2:8">
      <c r="F124" s="452"/>
      <c r="G124" s="452"/>
    </row>
    <row r="125" spans="2:8">
      <c r="F125" s="452"/>
      <c r="G125" s="452"/>
    </row>
    <row r="126" spans="2:8">
      <c r="F126" s="452"/>
      <c r="G126" s="452"/>
    </row>
    <row r="127" spans="2:8">
      <c r="F127" s="452"/>
      <c r="G127" s="452"/>
    </row>
    <row r="128" spans="2:8">
      <c r="F128" s="452"/>
      <c r="G128" s="452"/>
    </row>
    <row r="129" spans="2:7">
      <c r="F129" s="452"/>
      <c r="G129" s="452"/>
    </row>
    <row r="130" spans="2:7">
      <c r="F130" s="452"/>
      <c r="G130" s="452"/>
    </row>
    <row r="131" spans="2:7">
      <c r="B131" s="454"/>
      <c r="C131" s="454"/>
      <c r="F131" s="452"/>
      <c r="G131" s="452"/>
    </row>
    <row r="132" spans="2:7">
      <c r="F132" s="452"/>
      <c r="G132" s="452"/>
    </row>
    <row r="133" spans="2:7">
      <c r="F133" s="452"/>
      <c r="G133" s="452"/>
    </row>
    <row r="134" spans="2:7">
      <c r="F134" s="452"/>
      <c r="G134" s="452"/>
    </row>
    <row r="135" spans="2:7">
      <c r="F135" s="452"/>
      <c r="G135" s="452"/>
    </row>
    <row r="136" spans="2:7">
      <c r="F136" s="452"/>
      <c r="G136" s="452"/>
    </row>
    <row r="137" spans="2:7">
      <c r="F137" s="452"/>
      <c r="G137" s="452"/>
    </row>
    <row r="138" spans="2:7">
      <c r="F138" s="452"/>
      <c r="G138" s="452"/>
    </row>
    <row r="139" spans="2:7">
      <c r="F139" s="452"/>
      <c r="G139" s="452"/>
    </row>
    <row r="140" spans="2:7">
      <c r="F140" s="452"/>
      <c r="G140" s="452"/>
    </row>
    <row r="141" spans="2:7">
      <c r="F141" s="452"/>
      <c r="G141" s="452"/>
    </row>
    <row r="142" spans="2:7">
      <c r="F142" s="452"/>
      <c r="G142" s="452"/>
    </row>
    <row r="143" spans="2:7">
      <c r="F143" s="452"/>
      <c r="G143" s="452"/>
    </row>
    <row r="144" spans="2:7">
      <c r="F144" s="452"/>
      <c r="G144" s="452"/>
    </row>
    <row r="145" spans="6:7">
      <c r="F145" s="452"/>
      <c r="G145" s="452"/>
    </row>
    <row r="146" spans="6:7">
      <c r="F146" s="452"/>
      <c r="G146" s="452"/>
    </row>
    <row r="147" spans="6:7">
      <c r="F147" s="452"/>
      <c r="G147" s="452"/>
    </row>
    <row r="148" spans="6:7">
      <c r="F148" s="452"/>
      <c r="G148" s="452"/>
    </row>
    <row r="149" spans="6:7">
      <c r="F149" s="452"/>
      <c r="G149" s="452"/>
    </row>
    <row r="150" spans="6:7">
      <c r="F150" s="452"/>
      <c r="G150" s="452"/>
    </row>
    <row r="151" spans="6:7">
      <c r="F151" s="452"/>
      <c r="G151" s="452"/>
    </row>
    <row r="152" spans="6:7">
      <c r="F152" s="452"/>
      <c r="G152" s="452"/>
    </row>
    <row r="153" spans="6:7">
      <c r="F153" s="452"/>
      <c r="G153" s="452"/>
    </row>
    <row r="154" spans="6:7">
      <c r="F154" s="452"/>
      <c r="G154" s="452"/>
    </row>
    <row r="155" spans="6:7">
      <c r="F155" s="452"/>
      <c r="G155" s="452"/>
    </row>
    <row r="156" spans="6:7">
      <c r="F156" s="452"/>
      <c r="G156" s="452"/>
    </row>
    <row r="157" spans="6:7">
      <c r="F157" s="452"/>
      <c r="G157" s="452"/>
    </row>
    <row r="158" spans="6:7">
      <c r="F158" s="452"/>
      <c r="G158" s="452"/>
    </row>
    <row r="159" spans="6:7">
      <c r="F159" s="452"/>
      <c r="G159" s="452"/>
    </row>
    <row r="160" spans="6:7">
      <c r="F160" s="452"/>
      <c r="G160" s="452"/>
    </row>
    <row r="161" spans="6:7">
      <c r="F161" s="452"/>
      <c r="G161" s="452"/>
    </row>
    <row r="162" spans="6:7">
      <c r="F162" s="452"/>
      <c r="G162" s="452"/>
    </row>
    <row r="163" spans="6:7">
      <c r="F163" s="452"/>
      <c r="G163" s="452"/>
    </row>
    <row r="164" spans="6:7">
      <c r="F164" s="452"/>
      <c r="G164" s="452"/>
    </row>
    <row r="165" spans="6:7">
      <c r="F165" s="452"/>
      <c r="G165" s="452"/>
    </row>
    <row r="166" spans="6:7">
      <c r="F166" s="452"/>
      <c r="G166" s="452"/>
    </row>
    <row r="167" spans="6:7">
      <c r="F167" s="452"/>
      <c r="G167" s="452"/>
    </row>
    <row r="168" spans="6:7">
      <c r="F168" s="452"/>
      <c r="G168" s="452"/>
    </row>
    <row r="169" spans="6:7">
      <c r="F169" s="452"/>
      <c r="G169" s="452"/>
    </row>
    <row r="170" spans="6:7">
      <c r="F170" s="452"/>
      <c r="G170" s="452"/>
    </row>
    <row r="171" spans="6:7">
      <c r="F171" s="452"/>
      <c r="G171" s="452"/>
    </row>
    <row r="172" spans="6:7">
      <c r="F172" s="452"/>
      <c r="G172" s="452"/>
    </row>
    <row r="173" spans="6:7">
      <c r="F173" s="452"/>
      <c r="G173" s="452"/>
    </row>
    <row r="174" spans="6:7">
      <c r="F174" s="452"/>
      <c r="G174" s="452"/>
    </row>
    <row r="175" spans="6:7">
      <c r="F175" s="452"/>
      <c r="G175" s="452"/>
    </row>
    <row r="176" spans="6:7">
      <c r="F176" s="452"/>
      <c r="G176" s="452"/>
    </row>
    <row r="177" spans="6:7">
      <c r="F177" s="452"/>
      <c r="G177" s="452"/>
    </row>
    <row r="178" spans="6:7">
      <c r="F178" s="452"/>
      <c r="G178" s="452"/>
    </row>
    <row r="179" spans="6:7">
      <c r="F179" s="452"/>
      <c r="G179" s="452"/>
    </row>
    <row r="180" spans="6:7">
      <c r="F180" s="452"/>
      <c r="G180" s="452"/>
    </row>
    <row r="181" spans="6:7">
      <c r="F181" s="452"/>
      <c r="G181" s="452"/>
    </row>
    <row r="182" spans="6:7">
      <c r="F182" s="452"/>
      <c r="G182" s="452"/>
    </row>
    <row r="183" spans="6:7">
      <c r="F183" s="452"/>
      <c r="G183" s="452"/>
    </row>
    <row r="184" spans="6:7">
      <c r="F184" s="452"/>
      <c r="G184" s="452"/>
    </row>
    <row r="185" spans="6:7">
      <c r="F185" s="452"/>
      <c r="G185" s="452"/>
    </row>
    <row r="186" spans="6:7">
      <c r="F186" s="452"/>
      <c r="G186" s="452"/>
    </row>
    <row r="187" spans="6:7">
      <c r="F187" s="452"/>
      <c r="G187" s="452"/>
    </row>
    <row r="188" spans="6:7">
      <c r="F188" s="452"/>
      <c r="G188" s="452"/>
    </row>
    <row r="189" spans="6:7">
      <c r="F189" s="452"/>
      <c r="G189" s="452"/>
    </row>
    <row r="190" spans="6:7">
      <c r="F190" s="452"/>
      <c r="G190" s="452"/>
    </row>
    <row r="191" spans="6:7">
      <c r="F191" s="452"/>
      <c r="G191" s="452"/>
    </row>
    <row r="192" spans="6:7">
      <c r="F192" s="452"/>
      <c r="G192" s="452"/>
    </row>
    <row r="193" spans="6:7">
      <c r="F193" s="452"/>
      <c r="G193" s="452"/>
    </row>
    <row r="194" spans="6:7">
      <c r="F194" s="452"/>
      <c r="G194" s="452"/>
    </row>
    <row r="195" spans="6:7">
      <c r="F195" s="452"/>
      <c r="G195" s="452"/>
    </row>
    <row r="196" spans="6:7">
      <c r="F196" s="452"/>
      <c r="G196" s="452"/>
    </row>
    <row r="197" spans="6:7">
      <c r="F197" s="452"/>
      <c r="G197" s="452"/>
    </row>
    <row r="198" spans="6:7">
      <c r="F198" s="452"/>
      <c r="G198" s="452"/>
    </row>
    <row r="199" spans="6:7">
      <c r="F199" s="452"/>
      <c r="G199" s="452"/>
    </row>
    <row r="200" spans="6:7">
      <c r="F200" s="452"/>
      <c r="G200" s="452"/>
    </row>
    <row r="201" spans="6:7">
      <c r="F201" s="452"/>
      <c r="G201" s="452"/>
    </row>
    <row r="202" spans="6:7">
      <c r="F202" s="452"/>
      <c r="G202" s="452"/>
    </row>
    <row r="203" spans="6:7">
      <c r="F203" s="452"/>
      <c r="G203" s="452"/>
    </row>
    <row r="204" spans="6:7">
      <c r="F204" s="452"/>
      <c r="G204" s="452"/>
    </row>
    <row r="205" spans="6:7">
      <c r="F205" s="452"/>
      <c r="G205" s="452"/>
    </row>
    <row r="206" spans="6:7">
      <c r="F206" s="452"/>
      <c r="G206" s="452"/>
    </row>
    <row r="207" spans="6:7">
      <c r="F207" s="452"/>
      <c r="G207" s="452"/>
    </row>
    <row r="208" spans="6:7">
      <c r="F208" s="452"/>
      <c r="G208" s="452"/>
    </row>
    <row r="209" spans="6:7">
      <c r="F209" s="452"/>
      <c r="G209" s="452"/>
    </row>
    <row r="210" spans="6:7">
      <c r="F210" s="452"/>
      <c r="G210" s="452"/>
    </row>
    <row r="211" spans="6:7">
      <c r="F211" s="452"/>
      <c r="G211" s="452"/>
    </row>
    <row r="212" spans="6:7">
      <c r="F212" s="452"/>
      <c r="G212" s="452"/>
    </row>
    <row r="213" spans="6:7">
      <c r="F213" s="452"/>
      <c r="G213" s="452"/>
    </row>
    <row r="214" spans="6:7">
      <c r="F214" s="452"/>
      <c r="G214" s="452"/>
    </row>
    <row r="215" spans="6:7">
      <c r="F215" s="452"/>
      <c r="G215" s="452"/>
    </row>
    <row r="216" spans="6:7">
      <c r="F216" s="452"/>
      <c r="G216" s="452"/>
    </row>
    <row r="217" spans="6:7">
      <c r="F217" s="452"/>
      <c r="G217" s="452"/>
    </row>
  </sheetData>
  <mergeCells count="58">
    <mergeCell ref="F35:G35"/>
    <mergeCell ref="O45:O47"/>
    <mergeCell ref="A48:O48"/>
    <mergeCell ref="A49:A111"/>
    <mergeCell ref="D112:F112"/>
    <mergeCell ref="A45:A47"/>
    <mergeCell ref="B45:B47"/>
    <mergeCell ref="G45:G47"/>
    <mergeCell ref="I45:I47"/>
    <mergeCell ref="K45:K47"/>
    <mergeCell ref="M45:M47"/>
    <mergeCell ref="O37:O39"/>
    <mergeCell ref="A41:A43"/>
    <mergeCell ref="B41:B43"/>
    <mergeCell ref="G41:G43"/>
    <mergeCell ref="I41:I43"/>
    <mergeCell ref="K41:K43"/>
    <mergeCell ref="M41:M43"/>
    <mergeCell ref="O41:O43"/>
    <mergeCell ref="A37:A39"/>
    <mergeCell ref="B37:B39"/>
    <mergeCell ref="G37:G39"/>
    <mergeCell ref="I37:I39"/>
    <mergeCell ref="K37:K39"/>
    <mergeCell ref="M37:M39"/>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A28:C28"/>
    <mergeCell ref="E28:H28"/>
    <mergeCell ref="I28:K28"/>
    <mergeCell ref="L28:M28"/>
    <mergeCell ref="N28:O28"/>
    <mergeCell ref="A29:C29"/>
    <mergeCell ref="E29:H29"/>
    <mergeCell ref="I29:K29"/>
    <mergeCell ref="L29:M29"/>
    <mergeCell ref="N29:O29"/>
    <mergeCell ref="A4:O4"/>
    <mergeCell ref="A5:O5"/>
    <mergeCell ref="F10:I10"/>
    <mergeCell ref="A26:O26"/>
    <mergeCell ref="A27:D27"/>
    <mergeCell ref="E27:K27"/>
    <mergeCell ref="L27:O27"/>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2">
    <tabColor indexed="62"/>
  </sheetPr>
  <dimension ref="A1:P206"/>
  <sheetViews>
    <sheetView topLeftCell="A22" zoomScaleNormal="100" workbookViewId="0">
      <selection activeCell="E30" sqref="E30:H30"/>
    </sheetView>
  </sheetViews>
  <sheetFormatPr defaultColWidth="8.85546875" defaultRowHeight="12.75"/>
  <cols>
    <col min="1" max="1" width="14.28515625" style="104" customWidth="1"/>
    <col min="2" max="2" width="8.7109375" style="104" customWidth="1"/>
    <col min="3" max="3" width="21.28515625" style="104" bestFit="1" customWidth="1"/>
    <col min="4" max="4" width="46.7109375" style="104" customWidth="1"/>
    <col min="5" max="5" width="24" style="104" customWidth="1"/>
    <col min="6" max="6" width="18.28515625" style="165" customWidth="1"/>
    <col min="7" max="7" width="16" style="165" customWidth="1"/>
    <col min="8" max="8" width="24.5703125" style="104" bestFit="1" customWidth="1"/>
    <col min="9" max="9" width="23" style="104" customWidth="1"/>
    <col min="10" max="10" width="25" style="104" bestFit="1" customWidth="1"/>
    <col min="11" max="11" width="23" style="104" customWidth="1"/>
    <col min="12" max="12" width="25" style="104" bestFit="1" customWidth="1"/>
    <col min="13" max="13" width="23" style="104" customWidth="1"/>
    <col min="14" max="14" width="25" style="104" bestFit="1" customWidth="1"/>
    <col min="15" max="15" width="23" style="104" customWidth="1"/>
    <col min="16" max="16" width="12.42578125" style="104" customWidth="1"/>
    <col min="17" max="16384" width="8.85546875" style="104"/>
  </cols>
  <sheetData>
    <row r="1" spans="1:15" ht="13.5" thickBot="1">
      <c r="B1" s="105"/>
      <c r="C1" s="105"/>
      <c r="D1" s="106"/>
      <c r="E1" s="106"/>
      <c r="F1" s="107"/>
      <c r="G1" s="107"/>
      <c r="H1" s="107"/>
      <c r="I1" s="107"/>
      <c r="J1" s="107"/>
      <c r="K1" s="106"/>
      <c r="L1" s="107"/>
    </row>
    <row r="2" spans="1:15" ht="9" customHeight="1">
      <c r="A2" s="108"/>
      <c r="B2" s="109"/>
      <c r="C2" s="109"/>
      <c r="D2" s="110"/>
      <c r="E2" s="110"/>
      <c r="F2" s="111"/>
      <c r="G2" s="111"/>
      <c r="H2" s="111"/>
      <c r="I2" s="112"/>
      <c r="J2" s="112"/>
      <c r="K2" s="112"/>
      <c r="L2" s="112"/>
      <c r="M2" s="108"/>
      <c r="N2" s="108"/>
      <c r="O2" s="108"/>
    </row>
    <row r="3" spans="1:15" ht="10.5" customHeight="1">
      <c r="B3" s="105"/>
      <c r="C3" s="105"/>
      <c r="D3" s="106"/>
      <c r="E3" s="106"/>
      <c r="F3" s="107"/>
      <c r="G3" s="107"/>
      <c r="H3" s="107"/>
      <c r="I3" s="113"/>
      <c r="J3" s="113"/>
      <c r="K3" s="113"/>
      <c r="L3" s="113"/>
    </row>
    <row r="4" spans="1:15" ht="27">
      <c r="A4" s="1175" t="s">
        <v>4480</v>
      </c>
      <c r="B4" s="979"/>
      <c r="C4" s="979"/>
      <c r="D4" s="979"/>
      <c r="E4" s="979"/>
      <c r="F4" s="979"/>
      <c r="G4" s="979"/>
      <c r="H4" s="979"/>
      <c r="I4" s="979"/>
      <c r="J4" s="979"/>
      <c r="K4" s="979"/>
      <c r="L4" s="979"/>
      <c r="M4" s="979"/>
      <c r="N4" s="979"/>
      <c r="O4" s="979"/>
    </row>
    <row r="5" spans="1:15" s="114" customFormat="1" ht="61.5" customHeight="1">
      <c r="A5" s="982" t="s">
        <v>3813</v>
      </c>
      <c r="B5" s="1213"/>
      <c r="C5" s="1213"/>
      <c r="D5" s="1213"/>
      <c r="E5" s="1213"/>
      <c r="F5" s="1213"/>
      <c r="G5" s="1213"/>
      <c r="H5" s="1213"/>
      <c r="I5" s="1213"/>
      <c r="J5" s="1213"/>
      <c r="K5" s="1213"/>
      <c r="L5" s="1213"/>
      <c r="M5" s="1213"/>
      <c r="N5" s="1213"/>
      <c r="O5" s="1213"/>
    </row>
    <row r="6" spans="1:15" ht="9" customHeight="1" thickBot="1">
      <c r="A6" s="115"/>
      <c r="B6" s="115"/>
      <c r="C6" s="115"/>
      <c r="D6" s="115"/>
      <c r="E6" s="115"/>
      <c r="F6" s="115"/>
      <c r="G6" s="115"/>
      <c r="H6" s="115"/>
      <c r="I6" s="115"/>
      <c r="J6" s="115"/>
      <c r="K6" s="115"/>
      <c r="L6" s="115"/>
      <c r="M6" s="115"/>
      <c r="N6" s="115"/>
      <c r="O6" s="115"/>
    </row>
    <row r="9" spans="1:15" s="113" customFormat="1" ht="14.25">
      <c r="B9" s="120"/>
      <c r="C9" s="120"/>
      <c r="D9" s="121"/>
      <c r="E9" s="121"/>
      <c r="F9" s="121"/>
      <c r="G9" s="121"/>
      <c r="H9" s="121"/>
      <c r="I9" s="121"/>
      <c r="J9" s="121"/>
      <c r="K9" s="121"/>
      <c r="L9" s="121"/>
      <c r="M9" s="121"/>
      <c r="N9" s="121"/>
      <c r="O9" s="121"/>
    </row>
    <row r="10" spans="1:15" s="113" customFormat="1" ht="14.25">
      <c r="F10" s="980" t="s">
        <v>3</v>
      </c>
      <c r="G10" s="980"/>
      <c r="H10" s="980"/>
      <c r="I10" s="979"/>
      <c r="J10" s="104"/>
      <c r="K10" s="104"/>
      <c r="L10" s="104"/>
    </row>
    <row r="11" spans="1:15" s="113" customFormat="1" ht="14.25">
      <c r="F11" s="123" t="s">
        <v>210</v>
      </c>
      <c r="G11" s="113" t="s">
        <v>211</v>
      </c>
      <c r="I11" s="351"/>
      <c r="L11" s="351"/>
    </row>
    <row r="12" spans="1:15" s="113" customFormat="1" ht="14.25">
      <c r="F12" s="123" t="s">
        <v>212</v>
      </c>
      <c r="G12" s="113" t="s">
        <v>213</v>
      </c>
      <c r="I12" s="351"/>
      <c r="J12" s="131"/>
      <c r="L12" s="351"/>
    </row>
    <row r="13" spans="1:15" s="113" customFormat="1" ht="14.25">
      <c r="F13" s="123" t="s">
        <v>214</v>
      </c>
      <c r="G13" s="113" t="s">
        <v>392</v>
      </c>
      <c r="I13" s="351"/>
      <c r="L13" s="351"/>
    </row>
    <row r="14" spans="1:15" s="113" customFormat="1" ht="14.25">
      <c r="F14" s="123" t="s">
        <v>8</v>
      </c>
      <c r="G14" s="113" t="s">
        <v>560</v>
      </c>
      <c r="I14" s="351"/>
      <c r="J14" s="351"/>
      <c r="L14" s="351"/>
    </row>
    <row r="15" spans="1:15" s="113" customFormat="1" ht="14.25">
      <c r="D15" s="352"/>
      <c r="E15" s="352"/>
      <c r="F15" s="123" t="s">
        <v>9</v>
      </c>
      <c r="G15" s="113" t="s">
        <v>567</v>
      </c>
      <c r="I15" s="351"/>
      <c r="J15" s="351"/>
      <c r="L15" s="351"/>
    </row>
    <row r="16" spans="1:15" s="113" customFormat="1" ht="14.25">
      <c r="F16" s="123" t="s">
        <v>10</v>
      </c>
      <c r="G16" s="113" t="s">
        <v>98</v>
      </c>
      <c r="I16" s="351"/>
      <c r="J16" s="351"/>
      <c r="L16" s="351"/>
    </row>
    <row r="17" spans="1:15" s="113" customFormat="1" ht="14.25">
      <c r="F17" s="123" t="s">
        <v>99</v>
      </c>
      <c r="G17" s="113" t="s">
        <v>561</v>
      </c>
      <c r="I17" s="351"/>
      <c r="J17" s="351"/>
      <c r="L17" s="351"/>
    </row>
    <row r="18" spans="1:15" s="113" customFormat="1" ht="14.25">
      <c r="F18" s="123" t="s">
        <v>12</v>
      </c>
      <c r="G18" s="113" t="s">
        <v>562</v>
      </c>
      <c r="I18" s="122"/>
      <c r="J18" s="122"/>
      <c r="L18" s="122"/>
    </row>
    <row r="19" spans="1:15" s="113" customFormat="1" ht="14.25">
      <c r="F19" s="123"/>
      <c r="G19" s="113" t="s">
        <v>121</v>
      </c>
      <c r="I19" s="122"/>
      <c r="J19" s="122"/>
      <c r="L19" s="122"/>
    </row>
    <row r="20" spans="1:15" s="113" customFormat="1" ht="14.25">
      <c r="F20" s="123" t="s">
        <v>13</v>
      </c>
      <c r="G20" s="113" t="s">
        <v>216</v>
      </c>
      <c r="I20" s="122"/>
      <c r="J20" s="122"/>
      <c r="L20" s="122"/>
    </row>
    <row r="21" spans="1:15" s="113" customFormat="1" ht="14.25">
      <c r="F21" s="126"/>
      <c r="G21" s="113" t="s">
        <v>217</v>
      </c>
      <c r="I21" s="122"/>
      <c r="J21" s="122"/>
      <c r="L21" s="122"/>
    </row>
    <row r="22" spans="1:15" s="113" customFormat="1" ht="14.25">
      <c r="F22" s="123" t="s">
        <v>16</v>
      </c>
      <c r="G22" s="113" t="s">
        <v>218</v>
      </c>
      <c r="I22" s="122"/>
      <c r="J22" s="122"/>
      <c r="L22" s="122"/>
    </row>
    <row r="23" spans="1:15" s="113" customFormat="1" ht="14.25">
      <c r="F23" s="123" t="s">
        <v>220</v>
      </c>
      <c r="G23" s="113" t="s">
        <v>100</v>
      </c>
      <c r="I23" s="122"/>
      <c r="J23" s="122"/>
      <c r="L23" s="122"/>
    </row>
    <row r="24" spans="1:15" s="113" customFormat="1" ht="14.25">
      <c r="F24" s="123" t="s">
        <v>21</v>
      </c>
      <c r="G24" s="113" t="s">
        <v>120</v>
      </c>
      <c r="I24" s="122"/>
      <c r="J24" s="122"/>
      <c r="L24" s="122"/>
    </row>
    <row r="25" spans="1:15" s="113" customFormat="1" ht="14.25">
      <c r="D25" s="136"/>
      <c r="E25" s="136"/>
      <c r="F25" s="123" t="s">
        <v>22</v>
      </c>
      <c r="G25" s="202" t="s">
        <v>563</v>
      </c>
      <c r="K25" s="122"/>
    </row>
    <row r="26" spans="1:15" s="113" customFormat="1" ht="15" thickBot="1">
      <c r="A26" s="1104" t="s">
        <v>23</v>
      </c>
      <c r="B26" s="1037"/>
      <c r="C26" s="1037"/>
      <c r="D26" s="1037"/>
      <c r="E26" s="1037"/>
      <c r="F26" s="1037"/>
      <c r="G26" s="1037"/>
      <c r="H26" s="1037"/>
      <c r="I26" s="1037"/>
      <c r="J26" s="1037"/>
      <c r="K26" s="1037"/>
      <c r="L26" s="1037"/>
      <c r="M26" s="1037"/>
      <c r="N26" s="1037"/>
      <c r="O26" s="1037"/>
    </row>
    <row r="27" spans="1:15" s="113" customFormat="1" ht="14.25">
      <c r="A27" s="1098" t="s">
        <v>101</v>
      </c>
      <c r="B27" s="1099"/>
      <c r="C27" s="1099"/>
      <c r="D27" s="1100"/>
      <c r="E27" s="1101" t="s">
        <v>102</v>
      </c>
      <c r="F27" s="1061"/>
      <c r="G27" s="1061"/>
      <c r="H27" s="1061"/>
      <c r="I27" s="1061"/>
      <c r="J27" s="1061"/>
      <c r="K27" s="1102"/>
      <c r="L27" s="1098" t="s">
        <v>103</v>
      </c>
      <c r="M27" s="1061"/>
      <c r="N27" s="1061"/>
      <c r="O27" s="1102"/>
    </row>
    <row r="28" spans="1:15" s="113" customFormat="1" ht="12.75" customHeight="1">
      <c r="A28" s="1030" t="s">
        <v>160</v>
      </c>
      <c r="B28" s="1031"/>
      <c r="C28" s="1031"/>
      <c r="D28" s="401" t="s">
        <v>161</v>
      </c>
      <c r="E28" s="1030" t="s">
        <v>160</v>
      </c>
      <c r="F28" s="1023"/>
      <c r="G28" s="1023"/>
      <c r="H28" s="1023"/>
      <c r="I28" s="1109" t="s">
        <v>162</v>
      </c>
      <c r="J28" s="1139"/>
      <c r="K28" s="1106"/>
      <c r="L28" s="1030" t="s">
        <v>160</v>
      </c>
      <c r="M28" s="1023"/>
      <c r="N28" s="1110" t="s">
        <v>162</v>
      </c>
      <c r="O28" s="1111"/>
    </row>
    <row r="29" spans="1:15" s="113" customFormat="1" ht="12.75" customHeight="1">
      <c r="A29" s="1030" t="s">
        <v>43</v>
      </c>
      <c r="B29" s="1031"/>
      <c r="C29" s="1031"/>
      <c r="D29" s="402">
        <v>0</v>
      </c>
      <c r="E29" s="1030" t="s">
        <v>43</v>
      </c>
      <c r="F29" s="1023"/>
      <c r="G29" s="1023"/>
      <c r="H29" s="1023"/>
      <c r="I29" s="1105">
        <v>856</v>
      </c>
      <c r="J29" s="1139"/>
      <c r="K29" s="1106"/>
      <c r="L29" s="1030" t="s">
        <v>43</v>
      </c>
      <c r="M29" s="1023"/>
      <c r="N29" s="1107">
        <v>1127</v>
      </c>
      <c r="O29" s="1108"/>
    </row>
    <row r="30" spans="1:15" s="113" customFormat="1" ht="12.75" customHeight="1">
      <c r="A30" s="1030" t="s">
        <v>164</v>
      </c>
      <c r="B30" s="1031"/>
      <c r="C30" s="1031"/>
      <c r="D30" s="401" t="s">
        <v>165</v>
      </c>
      <c r="E30" s="1030" t="s">
        <v>164</v>
      </c>
      <c r="F30" s="1023"/>
      <c r="G30" s="1023"/>
      <c r="H30" s="1023"/>
      <c r="I30" s="1109" t="s">
        <v>239</v>
      </c>
      <c r="J30" s="1139"/>
      <c r="K30" s="1106"/>
      <c r="L30" s="1030" t="s">
        <v>164</v>
      </c>
      <c r="M30" s="1023"/>
      <c r="N30" s="1110" t="s">
        <v>240</v>
      </c>
      <c r="O30" s="1111"/>
    </row>
    <row r="31" spans="1:15" s="113" customFormat="1" ht="12.75" customHeight="1">
      <c r="A31" s="1030" t="s">
        <v>46</v>
      </c>
      <c r="B31" s="1031"/>
      <c r="C31" s="1031"/>
      <c r="D31" s="401" t="s">
        <v>27</v>
      </c>
      <c r="E31" s="1030" t="s">
        <v>47</v>
      </c>
      <c r="F31" s="1023"/>
      <c r="G31" s="1023"/>
      <c r="H31" s="1023"/>
      <c r="I31" s="1109" t="s">
        <v>3551</v>
      </c>
      <c r="J31" s="1139"/>
      <c r="K31" s="1106"/>
      <c r="L31" s="1030" t="s">
        <v>166</v>
      </c>
      <c r="M31" s="1023"/>
      <c r="N31" s="1110" t="s">
        <v>3551</v>
      </c>
      <c r="O31" s="1111"/>
    </row>
    <row r="32" spans="1:15" s="113" customFormat="1" ht="12.75" customHeight="1" thickBot="1">
      <c r="A32" s="1035" t="s">
        <v>225</v>
      </c>
      <c r="B32" s="1036"/>
      <c r="C32" s="1036"/>
      <c r="D32" s="403" t="s">
        <v>809</v>
      </c>
      <c r="E32" s="1035" t="s">
        <v>225</v>
      </c>
      <c r="F32" s="1036"/>
      <c r="G32" s="1037"/>
      <c r="H32" s="1037"/>
      <c r="I32" s="1112" t="s">
        <v>3550</v>
      </c>
      <c r="J32" s="1112"/>
      <c r="K32" s="1138"/>
      <c r="L32" s="1035" t="s">
        <v>225</v>
      </c>
      <c r="M32" s="1037"/>
      <c r="N32" s="1037" t="s">
        <v>3550</v>
      </c>
      <c r="O32" s="1038"/>
    </row>
    <row r="33" spans="1:16" s="113" customFormat="1" ht="12.75" customHeight="1">
      <c r="B33" s="124"/>
      <c r="C33" s="124"/>
      <c r="D33" s="136"/>
      <c r="E33" s="136"/>
      <c r="F33" s="135"/>
      <c r="G33" s="135"/>
      <c r="I33" s="114"/>
      <c r="J33" s="114"/>
      <c r="K33" s="114"/>
      <c r="L33" s="114"/>
    </row>
    <row r="34" spans="1:16" s="113" customFormat="1" ht="18" customHeight="1" thickBot="1">
      <c r="C34" s="136"/>
      <c r="D34" s="135"/>
      <c r="E34" s="146"/>
      <c r="F34" s="104"/>
      <c r="G34" s="147"/>
      <c r="H34" s="148"/>
      <c r="I34" s="149"/>
      <c r="J34" s="150"/>
    </row>
    <row r="35" spans="1:16" s="113" customFormat="1" ht="15.75" customHeight="1" thickBot="1">
      <c r="F35" s="1217" t="s">
        <v>167</v>
      </c>
      <c r="G35" s="1008"/>
      <c r="H35" s="1009" t="s">
        <v>168</v>
      </c>
      <c r="I35" s="1010"/>
      <c r="J35" s="1089"/>
      <c r="K35" s="1002"/>
      <c r="L35" s="1002"/>
      <c r="M35" s="1002"/>
      <c r="N35" s="1002"/>
      <c r="O35" s="1003"/>
    </row>
    <row r="36" spans="1:16" s="151" customFormat="1" ht="57.75" customHeight="1" thickBot="1">
      <c r="A36" s="82" t="s">
        <v>122</v>
      </c>
      <c r="B36" s="82" t="s">
        <v>169</v>
      </c>
      <c r="C36" s="83" t="s">
        <v>170</v>
      </c>
      <c r="D36" s="83" t="s">
        <v>171</v>
      </c>
      <c r="E36" s="83" t="s">
        <v>172</v>
      </c>
      <c r="F36" s="83" t="s">
        <v>173</v>
      </c>
      <c r="G36" s="82" t="s">
        <v>174</v>
      </c>
      <c r="H36" s="83" t="s">
        <v>175</v>
      </c>
      <c r="I36" s="82" t="s">
        <v>174</v>
      </c>
      <c r="J36" s="83" t="s">
        <v>176</v>
      </c>
      <c r="K36" s="82" t="s">
        <v>174</v>
      </c>
      <c r="L36" s="83" t="s">
        <v>177</v>
      </c>
      <c r="M36" s="82" t="s">
        <v>174</v>
      </c>
      <c r="N36" s="83" t="s">
        <v>178</v>
      </c>
      <c r="O36" s="82" t="s">
        <v>174</v>
      </c>
    </row>
    <row r="37" spans="1:16" s="332" customFormat="1" ht="25.5" thickBot="1">
      <c r="A37" s="1092">
        <v>15</v>
      </c>
      <c r="B37" s="1215"/>
      <c r="C37" s="522" t="s">
        <v>4478</v>
      </c>
      <c r="D37" s="353" t="s">
        <v>4479</v>
      </c>
      <c r="E37" s="354">
        <v>43584</v>
      </c>
      <c r="F37" s="969">
        <f>SUM(E37:E38)*(1-77%)</f>
        <v>10083.89</v>
      </c>
      <c r="G37" s="987">
        <f>F37*B37</f>
        <v>0</v>
      </c>
      <c r="H37" s="73">
        <f>F37*0.0832</f>
        <v>838.97964799999988</v>
      </c>
      <c r="I37" s="987">
        <f>H37*B37</f>
        <v>0</v>
      </c>
      <c r="J37" s="73">
        <f>F37*0.0313</f>
        <v>315.62575700000002</v>
      </c>
      <c r="K37" s="987">
        <f>J37*B37</f>
        <v>0</v>
      </c>
      <c r="L37" s="20">
        <f>F37*0.0256</f>
        <v>258.14758399999999</v>
      </c>
      <c r="M37" s="987">
        <f>L37*B37</f>
        <v>0</v>
      </c>
      <c r="N37" s="20">
        <f>F37*0.0213</f>
        <v>214.78685699999997</v>
      </c>
      <c r="O37" s="987">
        <f>N37*B37</f>
        <v>0</v>
      </c>
    </row>
    <row r="38" spans="1:16" s="357" customFormat="1" ht="13.5" thickBot="1">
      <c r="A38" s="1216"/>
      <c r="B38" s="1159"/>
      <c r="C38" s="333" t="s">
        <v>179</v>
      </c>
      <c r="D38" s="355" t="s">
        <v>104</v>
      </c>
      <c r="E38" s="356">
        <v>259</v>
      </c>
      <c r="F38" s="970" t="s">
        <v>162</v>
      </c>
      <c r="G38" s="1090"/>
      <c r="H38" s="217" t="s">
        <v>162</v>
      </c>
      <c r="I38" s="1090"/>
      <c r="J38" s="217" t="s">
        <v>162</v>
      </c>
      <c r="K38" s="1090"/>
      <c r="L38" s="218" t="s">
        <v>162</v>
      </c>
      <c r="M38" s="1091"/>
      <c r="N38" s="218" t="s">
        <v>162</v>
      </c>
      <c r="O38" s="1091"/>
    </row>
    <row r="39" spans="1:16" s="357" customFormat="1" ht="13.5" thickBot="1">
      <c r="A39" s="358"/>
      <c r="B39" s="95"/>
      <c r="C39" s="96"/>
      <c r="D39" s="359"/>
      <c r="E39" s="360"/>
      <c r="F39" s="971"/>
      <c r="G39" s="95"/>
      <c r="H39" s="99"/>
      <c r="I39" s="95"/>
      <c r="J39" s="99"/>
      <c r="K39" s="101"/>
      <c r="L39" s="100">
        <f>F39*0.0256</f>
        <v>0</v>
      </c>
      <c r="M39" s="95"/>
      <c r="N39" s="100"/>
      <c r="O39" s="101"/>
    </row>
    <row r="40" spans="1:16" s="332" customFormat="1" ht="25.5" thickBot="1">
      <c r="A40" s="1092" t="s">
        <v>105</v>
      </c>
      <c r="B40" s="1215"/>
      <c r="C40" s="522" t="s">
        <v>4478</v>
      </c>
      <c r="D40" s="353" t="s">
        <v>4479</v>
      </c>
      <c r="E40" s="354">
        <v>43584</v>
      </c>
      <c r="F40" s="969">
        <f>SUM(E40:E41)*(1-77%)</f>
        <v>10083.89</v>
      </c>
      <c r="G40" s="987">
        <f>F40*B40</f>
        <v>0</v>
      </c>
      <c r="H40" s="73">
        <f>F40*0.0832+I29/12</f>
        <v>910.31298133333325</v>
      </c>
      <c r="I40" s="987">
        <f>H40*B40</f>
        <v>0</v>
      </c>
      <c r="J40" s="73">
        <f>F40*0.0313+I29/12</f>
        <v>386.95909033333334</v>
      </c>
      <c r="K40" s="987">
        <f>J40*B40</f>
        <v>0</v>
      </c>
      <c r="L40" s="20">
        <f>F40*0.0256+I29/12</f>
        <v>329.48091733333331</v>
      </c>
      <c r="M40" s="987">
        <f>L40*B40</f>
        <v>0</v>
      </c>
      <c r="N40" s="20">
        <f>F40*0.0213+I29/12</f>
        <v>286.12019033333331</v>
      </c>
      <c r="O40" s="987">
        <f>N40*B40</f>
        <v>0</v>
      </c>
    </row>
    <row r="41" spans="1:16" s="357" customFormat="1" ht="13.5" thickBot="1">
      <c r="A41" s="1214"/>
      <c r="B41" s="1159"/>
      <c r="C41" s="333" t="s">
        <v>179</v>
      </c>
      <c r="D41" s="355" t="s">
        <v>104</v>
      </c>
      <c r="E41" s="356">
        <v>259</v>
      </c>
      <c r="F41" s="972" t="s">
        <v>162</v>
      </c>
      <c r="G41" s="1090"/>
      <c r="H41" s="47" t="s">
        <v>162</v>
      </c>
      <c r="I41" s="1090"/>
      <c r="J41" s="47" t="s">
        <v>162</v>
      </c>
      <c r="K41" s="1090"/>
      <c r="L41" s="36" t="s">
        <v>162</v>
      </c>
      <c r="M41" s="1090"/>
      <c r="N41" s="36" t="s">
        <v>162</v>
      </c>
      <c r="O41" s="1090"/>
    </row>
    <row r="42" spans="1:16" s="357" customFormat="1" ht="13.5" thickBot="1">
      <c r="A42" s="358"/>
      <c r="B42" s="95"/>
      <c r="C42" s="96"/>
      <c r="D42" s="359"/>
      <c r="E42" s="360"/>
      <c r="F42" s="971"/>
      <c r="G42" s="41"/>
      <c r="H42" s="48"/>
      <c r="I42" s="41"/>
      <c r="J42" s="48"/>
      <c r="K42" s="42"/>
      <c r="L42" s="40"/>
      <c r="M42" s="41"/>
      <c r="N42" s="40"/>
      <c r="O42" s="42"/>
    </row>
    <row r="43" spans="1:16" s="332" customFormat="1" ht="25.5" thickBot="1">
      <c r="A43" s="1092" t="s">
        <v>106</v>
      </c>
      <c r="B43" s="1215"/>
      <c r="C43" s="522" t="s">
        <v>4478</v>
      </c>
      <c r="D43" s="353" t="s">
        <v>4479</v>
      </c>
      <c r="E43" s="354">
        <v>43584</v>
      </c>
      <c r="F43" s="969">
        <f>SUM(E43:E44)*(1-77%)</f>
        <v>10083.89</v>
      </c>
      <c r="G43" s="987">
        <f>F43*B43</f>
        <v>0</v>
      </c>
      <c r="H43" s="73">
        <f>F43*0.0832+N29/12</f>
        <v>932.89631466666651</v>
      </c>
      <c r="I43" s="987">
        <f>H43*B43</f>
        <v>0</v>
      </c>
      <c r="J43" s="73">
        <f>F43*0.0313+N29/12</f>
        <v>409.54242366666671</v>
      </c>
      <c r="K43" s="987">
        <f>J43*B43</f>
        <v>0</v>
      </c>
      <c r="L43" s="20">
        <f>F43*0.0256+N29/12</f>
        <v>352.06425066666668</v>
      </c>
      <c r="M43" s="987">
        <f>L43*B43</f>
        <v>0</v>
      </c>
      <c r="N43" s="20">
        <f>F43*0.0213+N29/12</f>
        <v>308.70352366666663</v>
      </c>
      <c r="O43" s="987">
        <f>N43*B43</f>
        <v>0</v>
      </c>
    </row>
    <row r="44" spans="1:16" s="357" customFormat="1" ht="13.5" thickBot="1">
      <c r="A44" s="1214"/>
      <c r="B44" s="1159"/>
      <c r="C44" s="333" t="s">
        <v>179</v>
      </c>
      <c r="D44" s="355" t="s">
        <v>104</v>
      </c>
      <c r="E44" s="356">
        <v>259</v>
      </c>
      <c r="F44" s="972" t="s">
        <v>162</v>
      </c>
      <c r="G44" s="1090"/>
      <c r="H44" s="47" t="s">
        <v>162</v>
      </c>
      <c r="I44" s="1090"/>
      <c r="J44" s="47" t="s">
        <v>162</v>
      </c>
      <c r="K44" s="1090"/>
      <c r="L44" s="36" t="s">
        <v>162</v>
      </c>
      <c r="M44" s="1090"/>
      <c r="N44" s="36" t="s">
        <v>162</v>
      </c>
      <c r="O44" s="1090"/>
    </row>
    <row r="45" spans="1:16" s="361" customFormat="1" ht="13.5" customHeight="1" thickBot="1">
      <c r="A45" s="1148" t="s">
        <v>182</v>
      </c>
      <c r="B45" s="1002"/>
      <c r="C45" s="1002"/>
      <c r="D45" s="1002"/>
      <c r="E45" s="1002"/>
      <c r="F45" s="1002"/>
      <c r="G45" s="1149"/>
      <c r="H45" s="1149"/>
      <c r="I45" s="1149"/>
      <c r="J45" s="1149"/>
      <c r="K45" s="1149"/>
      <c r="L45" s="1149"/>
      <c r="M45" s="1149"/>
      <c r="N45" s="1149"/>
      <c r="O45" s="1150"/>
    </row>
    <row r="46" spans="1:16" s="357" customFormat="1" ht="13.5" thickBot="1">
      <c r="A46" s="362"/>
      <c r="B46" s="363"/>
      <c r="C46" s="531" t="s">
        <v>209</v>
      </c>
      <c r="D46" s="534" t="s">
        <v>66</v>
      </c>
      <c r="E46" s="503">
        <v>975.85567010309285</v>
      </c>
      <c r="F46" s="23">
        <f t="shared" ref="F46:F77" si="0">E46*(1-40%)</f>
        <v>585.51340206185569</v>
      </c>
      <c r="G46" s="2">
        <f t="shared" ref="G46:G77" si="1">F46*B46</f>
        <v>0</v>
      </c>
      <c r="H46" s="21">
        <f t="shared" ref="H46:H77" si="2">F46*0.0832</f>
        <v>48.714715051546392</v>
      </c>
      <c r="I46" s="21">
        <f t="shared" ref="I46:I77" si="3">H46*B46</f>
        <v>0</v>
      </c>
      <c r="J46" s="21">
        <f t="shared" ref="J46:J77" si="4">F46*0.0313</f>
        <v>18.326569484536083</v>
      </c>
      <c r="K46" s="21">
        <f t="shared" ref="K46:K77" si="5">J46*B46</f>
        <v>0</v>
      </c>
      <c r="L46" s="21">
        <f t="shared" ref="L46:L61" si="6">F46*0.0256</f>
        <v>14.989143092783506</v>
      </c>
      <c r="M46" s="21">
        <f t="shared" ref="M46:M77" si="7">L46*B46</f>
        <v>0</v>
      </c>
      <c r="N46" s="21">
        <f t="shared" ref="N46:N77" si="8">F46*0.0213</f>
        <v>12.471435463917526</v>
      </c>
      <c r="O46" s="21">
        <f t="shared" ref="O46:O77" si="9">N46*B46</f>
        <v>0</v>
      </c>
      <c r="P46" s="738"/>
    </row>
    <row r="47" spans="1:16" s="361" customFormat="1" ht="13.5" thickBot="1">
      <c r="A47" s="364"/>
      <c r="B47" s="365"/>
      <c r="C47" s="90" t="s">
        <v>486</v>
      </c>
      <c r="D47" s="235" t="s">
        <v>3804</v>
      </c>
      <c r="E47" s="343">
        <v>134.01030927835052</v>
      </c>
      <c r="F47" s="23">
        <f t="shared" si="0"/>
        <v>80.406185567010311</v>
      </c>
      <c r="G47" s="3">
        <f t="shared" si="1"/>
        <v>0</v>
      </c>
      <c r="H47" s="21">
        <f t="shared" si="2"/>
        <v>6.6897946391752576</v>
      </c>
      <c r="I47" s="21">
        <f t="shared" si="3"/>
        <v>0</v>
      </c>
      <c r="J47" s="21">
        <f t="shared" si="4"/>
        <v>2.5167136082474229</v>
      </c>
      <c r="K47" s="21">
        <f t="shared" si="5"/>
        <v>0</v>
      </c>
      <c r="L47" s="21">
        <f t="shared" si="6"/>
        <v>2.0583983505154642</v>
      </c>
      <c r="M47" s="21">
        <f t="shared" si="7"/>
        <v>0</v>
      </c>
      <c r="N47" s="21">
        <f t="shared" si="8"/>
        <v>1.7126517525773195</v>
      </c>
      <c r="O47" s="21">
        <f t="shared" si="9"/>
        <v>0</v>
      </c>
      <c r="P47" s="738"/>
    </row>
    <row r="48" spans="1:16" s="361" customFormat="1" ht="13.5" thickBot="1">
      <c r="A48" s="364"/>
      <c r="B48" s="366"/>
      <c r="C48" s="90" t="s">
        <v>3491</v>
      </c>
      <c r="D48" s="235" t="s">
        <v>3817</v>
      </c>
      <c r="E48" s="343">
        <v>411.34020618556701</v>
      </c>
      <c r="F48" s="23">
        <f t="shared" si="0"/>
        <v>246.8041237113402</v>
      </c>
      <c r="G48" s="3">
        <f t="shared" si="1"/>
        <v>0</v>
      </c>
      <c r="H48" s="21">
        <f t="shared" si="2"/>
        <v>20.534103092783504</v>
      </c>
      <c r="I48" s="21">
        <f t="shared" si="3"/>
        <v>0</v>
      </c>
      <c r="J48" s="21">
        <f t="shared" si="4"/>
        <v>7.7249690721649484</v>
      </c>
      <c r="K48" s="21">
        <f t="shared" si="5"/>
        <v>0</v>
      </c>
      <c r="L48" s="21">
        <f t="shared" si="6"/>
        <v>6.3181855670103095</v>
      </c>
      <c r="M48" s="21">
        <f t="shared" si="7"/>
        <v>0</v>
      </c>
      <c r="N48" s="21">
        <f t="shared" si="8"/>
        <v>5.2569278350515463</v>
      </c>
      <c r="O48" s="21">
        <f t="shared" si="9"/>
        <v>0</v>
      </c>
      <c r="P48" s="738"/>
    </row>
    <row r="49" spans="1:16" s="361" customFormat="1" ht="13.5" thickBot="1">
      <c r="A49" s="364"/>
      <c r="B49" s="366"/>
      <c r="C49" s="90" t="s">
        <v>472</v>
      </c>
      <c r="D49" s="491" t="s">
        <v>720</v>
      </c>
      <c r="E49" s="343">
        <v>257.73195876288662</v>
      </c>
      <c r="F49" s="23">
        <f t="shared" si="0"/>
        <v>154.63917525773198</v>
      </c>
      <c r="G49" s="3">
        <f t="shared" si="1"/>
        <v>0</v>
      </c>
      <c r="H49" s="21">
        <f t="shared" si="2"/>
        <v>12.865979381443299</v>
      </c>
      <c r="I49" s="21">
        <f t="shared" si="3"/>
        <v>0</v>
      </c>
      <c r="J49" s="21">
        <f t="shared" si="4"/>
        <v>4.8402061855670109</v>
      </c>
      <c r="K49" s="21">
        <f t="shared" si="5"/>
        <v>0</v>
      </c>
      <c r="L49" s="21">
        <f t="shared" si="6"/>
        <v>3.9587628865979387</v>
      </c>
      <c r="M49" s="21">
        <f t="shared" si="7"/>
        <v>0</v>
      </c>
      <c r="N49" s="21">
        <f t="shared" si="8"/>
        <v>3.293814432989691</v>
      </c>
      <c r="O49" s="21">
        <f t="shared" si="9"/>
        <v>0</v>
      </c>
      <c r="P49" s="738"/>
    </row>
    <row r="50" spans="1:16" s="361" customFormat="1" ht="13.5" thickBot="1">
      <c r="A50" s="364"/>
      <c r="B50" s="366"/>
      <c r="C50" s="90" t="s">
        <v>690</v>
      </c>
      <c r="D50" s="235" t="s">
        <v>721</v>
      </c>
      <c r="E50" s="343">
        <v>514.43298969072168</v>
      </c>
      <c r="F50" s="23">
        <f t="shared" si="0"/>
        <v>308.65979381443299</v>
      </c>
      <c r="G50" s="3">
        <f t="shared" si="1"/>
        <v>0</v>
      </c>
      <c r="H50" s="21">
        <f t="shared" si="2"/>
        <v>25.680494845360823</v>
      </c>
      <c r="I50" s="21">
        <f t="shared" si="3"/>
        <v>0</v>
      </c>
      <c r="J50" s="21">
        <f t="shared" si="4"/>
        <v>9.6610515463917537</v>
      </c>
      <c r="K50" s="21">
        <f t="shared" si="5"/>
        <v>0</v>
      </c>
      <c r="L50" s="21">
        <f t="shared" si="6"/>
        <v>7.9016907216494845</v>
      </c>
      <c r="M50" s="21">
        <f t="shared" si="7"/>
        <v>0</v>
      </c>
      <c r="N50" s="21">
        <f t="shared" si="8"/>
        <v>6.5744536082474223</v>
      </c>
      <c r="O50" s="21">
        <f t="shared" si="9"/>
        <v>0</v>
      </c>
      <c r="P50" s="738"/>
    </row>
    <row r="51" spans="1:16" s="361" customFormat="1" ht="13.5" thickBot="1">
      <c r="A51" s="364"/>
      <c r="B51" s="102"/>
      <c r="C51" s="90" t="s">
        <v>542</v>
      </c>
      <c r="D51" s="235" t="s">
        <v>3607</v>
      </c>
      <c r="E51" s="343">
        <v>1025.7731958762886</v>
      </c>
      <c r="F51" s="23">
        <f t="shared" si="0"/>
        <v>615.46391752577313</v>
      </c>
      <c r="G51" s="3">
        <f t="shared" si="1"/>
        <v>0</v>
      </c>
      <c r="H51" s="21">
        <f t="shared" si="2"/>
        <v>51.20659793814432</v>
      </c>
      <c r="I51" s="21">
        <f t="shared" si="3"/>
        <v>0</v>
      </c>
      <c r="J51" s="21">
        <f t="shared" si="4"/>
        <v>19.2640206185567</v>
      </c>
      <c r="K51" s="21">
        <f t="shared" si="5"/>
        <v>0</v>
      </c>
      <c r="L51" s="21">
        <f t="shared" si="6"/>
        <v>15.755876288659794</v>
      </c>
      <c r="M51" s="21">
        <f t="shared" si="7"/>
        <v>0</v>
      </c>
      <c r="N51" s="21">
        <f t="shared" si="8"/>
        <v>13.109381443298968</v>
      </c>
      <c r="O51" s="21">
        <f t="shared" si="9"/>
        <v>0</v>
      </c>
      <c r="P51" s="738"/>
    </row>
    <row r="52" spans="1:16" s="361" customFormat="1" ht="13.5" thickBot="1">
      <c r="A52" s="364"/>
      <c r="B52" s="102"/>
      <c r="C52" s="90" t="s">
        <v>89</v>
      </c>
      <c r="D52" s="491" t="s">
        <v>3608</v>
      </c>
      <c r="E52" s="343">
        <v>3505.1546391752577</v>
      </c>
      <c r="F52" s="23">
        <f t="shared" si="0"/>
        <v>2103.0927835051543</v>
      </c>
      <c r="G52" s="3">
        <f t="shared" si="1"/>
        <v>0</v>
      </c>
      <c r="H52" s="21">
        <f t="shared" si="2"/>
        <v>174.97731958762884</v>
      </c>
      <c r="I52" s="21">
        <f t="shared" si="3"/>
        <v>0</v>
      </c>
      <c r="J52" s="21">
        <f t="shared" si="4"/>
        <v>65.826804123711327</v>
      </c>
      <c r="K52" s="21">
        <f t="shared" si="5"/>
        <v>0</v>
      </c>
      <c r="L52" s="21">
        <f t="shared" si="6"/>
        <v>53.839175257731952</v>
      </c>
      <c r="M52" s="21">
        <f t="shared" si="7"/>
        <v>0</v>
      </c>
      <c r="N52" s="21">
        <f t="shared" si="8"/>
        <v>44.795876288659784</v>
      </c>
      <c r="O52" s="21">
        <f t="shared" si="9"/>
        <v>0</v>
      </c>
      <c r="P52" s="738"/>
    </row>
    <row r="53" spans="1:16" s="361" customFormat="1" ht="13.5" thickBot="1">
      <c r="A53" s="364"/>
      <c r="B53" s="102"/>
      <c r="C53" s="530" t="s">
        <v>487</v>
      </c>
      <c r="D53" s="235" t="s">
        <v>3819</v>
      </c>
      <c r="E53" s="343">
        <v>1025.7731958762886</v>
      </c>
      <c r="F53" s="23">
        <f t="shared" si="0"/>
        <v>615.46391752577313</v>
      </c>
      <c r="G53" s="3">
        <f t="shared" si="1"/>
        <v>0</v>
      </c>
      <c r="H53" s="21">
        <f t="shared" si="2"/>
        <v>51.20659793814432</v>
      </c>
      <c r="I53" s="21">
        <f t="shared" si="3"/>
        <v>0</v>
      </c>
      <c r="J53" s="21">
        <f t="shared" si="4"/>
        <v>19.2640206185567</v>
      </c>
      <c r="K53" s="21">
        <f t="shared" si="5"/>
        <v>0</v>
      </c>
      <c r="L53" s="21">
        <f t="shared" si="6"/>
        <v>15.755876288659794</v>
      </c>
      <c r="M53" s="21">
        <f t="shared" si="7"/>
        <v>0</v>
      </c>
      <c r="N53" s="21">
        <f t="shared" si="8"/>
        <v>13.109381443298968</v>
      </c>
      <c r="O53" s="21">
        <f t="shared" si="9"/>
        <v>0</v>
      </c>
      <c r="P53" s="738"/>
    </row>
    <row r="54" spans="1:16" s="361" customFormat="1" ht="13.5" thickBot="1">
      <c r="A54" s="364"/>
      <c r="B54" s="102"/>
      <c r="C54" s="530" t="s">
        <v>488</v>
      </c>
      <c r="D54" s="235" t="s">
        <v>3611</v>
      </c>
      <c r="E54" s="343">
        <v>5463.9175257731958</v>
      </c>
      <c r="F54" s="23">
        <f t="shared" si="0"/>
        <v>3278.3505154639174</v>
      </c>
      <c r="G54" s="3">
        <f t="shared" si="1"/>
        <v>0</v>
      </c>
      <c r="H54" s="21">
        <f t="shared" si="2"/>
        <v>272.75876288659794</v>
      </c>
      <c r="I54" s="21">
        <f t="shared" si="3"/>
        <v>0</v>
      </c>
      <c r="J54" s="21">
        <f t="shared" si="4"/>
        <v>102.61237113402062</v>
      </c>
      <c r="K54" s="21">
        <f t="shared" si="5"/>
        <v>0</v>
      </c>
      <c r="L54" s="21">
        <f t="shared" si="6"/>
        <v>83.925773195876289</v>
      </c>
      <c r="M54" s="21">
        <f t="shared" si="7"/>
        <v>0</v>
      </c>
      <c r="N54" s="21">
        <f t="shared" si="8"/>
        <v>69.828865979381433</v>
      </c>
      <c r="O54" s="21">
        <f t="shared" si="9"/>
        <v>0</v>
      </c>
      <c r="P54" s="738"/>
    </row>
    <row r="55" spans="1:16" s="361" customFormat="1" ht="13.5" thickBot="1">
      <c r="A55" s="364"/>
      <c r="B55" s="102"/>
      <c r="C55" s="90" t="s">
        <v>484</v>
      </c>
      <c r="D55" s="235" t="s">
        <v>409</v>
      </c>
      <c r="E55" s="343">
        <v>206.18556701030928</v>
      </c>
      <c r="F55" s="23">
        <f t="shared" si="0"/>
        <v>123.71134020618557</v>
      </c>
      <c r="G55" s="3">
        <f t="shared" si="1"/>
        <v>0</v>
      </c>
      <c r="H55" s="21">
        <f t="shared" si="2"/>
        <v>10.292783505154638</v>
      </c>
      <c r="I55" s="21">
        <f t="shared" si="3"/>
        <v>0</v>
      </c>
      <c r="J55" s="21">
        <f t="shared" si="4"/>
        <v>3.8721649484536083</v>
      </c>
      <c r="K55" s="21">
        <f t="shared" si="5"/>
        <v>0</v>
      </c>
      <c r="L55" s="21">
        <f t="shared" si="6"/>
        <v>3.1670103092783508</v>
      </c>
      <c r="M55" s="21">
        <f t="shared" si="7"/>
        <v>0</v>
      </c>
      <c r="N55" s="21">
        <f t="shared" si="8"/>
        <v>2.6350515463917525</v>
      </c>
      <c r="O55" s="21">
        <f t="shared" si="9"/>
        <v>0</v>
      </c>
      <c r="P55" s="738"/>
    </row>
    <row r="56" spans="1:16" s="361" customFormat="1" ht="26.25" thickBot="1">
      <c r="A56" s="364"/>
      <c r="B56" s="102"/>
      <c r="C56" s="90" t="s">
        <v>485</v>
      </c>
      <c r="D56" s="235" t="s">
        <v>3511</v>
      </c>
      <c r="E56" s="343">
        <v>287.62886597938143</v>
      </c>
      <c r="F56" s="23">
        <f t="shared" si="0"/>
        <v>172.57731958762886</v>
      </c>
      <c r="G56" s="3">
        <f t="shared" si="1"/>
        <v>0</v>
      </c>
      <c r="H56" s="21">
        <f t="shared" si="2"/>
        <v>14.358432989690721</v>
      </c>
      <c r="I56" s="21">
        <f t="shared" si="3"/>
        <v>0</v>
      </c>
      <c r="J56" s="21">
        <f t="shared" si="4"/>
        <v>5.4016701030927834</v>
      </c>
      <c r="K56" s="21">
        <f t="shared" si="5"/>
        <v>0</v>
      </c>
      <c r="L56" s="21">
        <f t="shared" si="6"/>
        <v>4.417979381443299</v>
      </c>
      <c r="M56" s="21">
        <f t="shared" si="7"/>
        <v>0</v>
      </c>
      <c r="N56" s="21">
        <f t="shared" si="8"/>
        <v>3.6758969072164946</v>
      </c>
      <c r="O56" s="21">
        <f t="shared" si="9"/>
        <v>0</v>
      </c>
      <c r="P56" s="738"/>
    </row>
    <row r="57" spans="1:16" s="361" customFormat="1" ht="13.5" thickBot="1">
      <c r="A57" s="364"/>
      <c r="B57" s="102"/>
      <c r="C57" s="90" t="s">
        <v>3489</v>
      </c>
      <c r="D57" s="235" t="s">
        <v>3512</v>
      </c>
      <c r="E57" s="343">
        <v>875.25773195876286</v>
      </c>
      <c r="F57" s="23">
        <f t="shared" si="0"/>
        <v>525.15463917525767</v>
      </c>
      <c r="G57" s="3">
        <f t="shared" si="1"/>
        <v>0</v>
      </c>
      <c r="H57" s="21">
        <f t="shared" si="2"/>
        <v>43.692865979381438</v>
      </c>
      <c r="I57" s="21">
        <f t="shared" si="3"/>
        <v>0</v>
      </c>
      <c r="J57" s="21">
        <f t="shared" si="4"/>
        <v>16.437340206185567</v>
      </c>
      <c r="K57" s="21">
        <f t="shared" si="5"/>
        <v>0</v>
      </c>
      <c r="L57" s="21">
        <f t="shared" si="6"/>
        <v>13.443958762886597</v>
      </c>
      <c r="M57" s="21">
        <f t="shared" si="7"/>
        <v>0</v>
      </c>
      <c r="N57" s="21">
        <f t="shared" si="8"/>
        <v>11.185793814432989</v>
      </c>
      <c r="O57" s="21">
        <f t="shared" si="9"/>
        <v>0</v>
      </c>
      <c r="P57" s="738"/>
    </row>
    <row r="58" spans="1:16" s="361" customFormat="1" ht="13.5" thickBot="1">
      <c r="A58" s="364"/>
      <c r="B58" s="102"/>
      <c r="C58" s="90" t="s">
        <v>3490</v>
      </c>
      <c r="D58" s="235" t="s">
        <v>723</v>
      </c>
      <c r="E58" s="343">
        <v>229.48453608247422</v>
      </c>
      <c r="F58" s="23">
        <f t="shared" si="0"/>
        <v>137.69072164948452</v>
      </c>
      <c r="G58" s="3">
        <f t="shared" si="1"/>
        <v>0</v>
      </c>
      <c r="H58" s="21">
        <f t="shared" si="2"/>
        <v>11.45586804123711</v>
      </c>
      <c r="I58" s="21">
        <f t="shared" si="3"/>
        <v>0</v>
      </c>
      <c r="J58" s="21">
        <f t="shared" si="4"/>
        <v>4.3097195876288659</v>
      </c>
      <c r="K58" s="21">
        <f t="shared" si="5"/>
        <v>0</v>
      </c>
      <c r="L58" s="21">
        <f t="shared" si="6"/>
        <v>3.5248824742268039</v>
      </c>
      <c r="M58" s="21">
        <f t="shared" si="7"/>
        <v>0</v>
      </c>
      <c r="N58" s="21">
        <f t="shared" si="8"/>
        <v>2.9328123711340202</v>
      </c>
      <c r="O58" s="21">
        <f t="shared" si="9"/>
        <v>0</v>
      </c>
      <c r="P58" s="738"/>
    </row>
    <row r="59" spans="1:16" s="361" customFormat="1" ht="13.5" thickBot="1">
      <c r="A59" s="364"/>
      <c r="B59" s="102"/>
      <c r="C59" s="529" t="s">
        <v>272</v>
      </c>
      <c r="D59" s="235" t="s">
        <v>3818</v>
      </c>
      <c r="E59" s="343">
        <v>1134.020618556701</v>
      </c>
      <c r="F59" s="23">
        <f t="shared" si="0"/>
        <v>680.41237113402065</v>
      </c>
      <c r="G59" s="3">
        <f t="shared" si="1"/>
        <v>0</v>
      </c>
      <c r="H59" s="21">
        <f t="shared" si="2"/>
        <v>56.610309278350513</v>
      </c>
      <c r="I59" s="21">
        <f t="shared" si="3"/>
        <v>0</v>
      </c>
      <c r="J59" s="21">
        <f t="shared" si="4"/>
        <v>21.296907216494848</v>
      </c>
      <c r="K59" s="21">
        <f t="shared" si="5"/>
        <v>0</v>
      </c>
      <c r="L59" s="21">
        <f t="shared" si="6"/>
        <v>17.41855670103093</v>
      </c>
      <c r="M59" s="21">
        <f t="shared" si="7"/>
        <v>0</v>
      </c>
      <c r="N59" s="21">
        <f t="shared" si="8"/>
        <v>14.492783505154639</v>
      </c>
      <c r="O59" s="21">
        <f t="shared" si="9"/>
        <v>0</v>
      </c>
      <c r="P59" s="738"/>
    </row>
    <row r="60" spans="1:16" s="357" customFormat="1" ht="13.5" thickBot="1">
      <c r="A60" s="367"/>
      <c r="B60" s="363"/>
      <c r="C60" s="90">
        <v>45206712</v>
      </c>
      <c r="D60" s="235" t="s">
        <v>3784</v>
      </c>
      <c r="E60" s="343">
        <v>2577.319587628866</v>
      </c>
      <c r="F60" s="23">
        <f t="shared" si="0"/>
        <v>1546.3917525773195</v>
      </c>
      <c r="G60" s="3">
        <f t="shared" si="1"/>
        <v>0</v>
      </c>
      <c r="H60" s="21">
        <f t="shared" si="2"/>
        <v>128.65979381443299</v>
      </c>
      <c r="I60" s="21">
        <f t="shared" si="3"/>
        <v>0</v>
      </c>
      <c r="J60" s="21">
        <f t="shared" si="4"/>
        <v>48.402061855670105</v>
      </c>
      <c r="K60" s="21">
        <f t="shared" si="5"/>
        <v>0</v>
      </c>
      <c r="L60" s="21">
        <f t="shared" si="6"/>
        <v>39.587628865979383</v>
      </c>
      <c r="M60" s="21">
        <f t="shared" si="7"/>
        <v>0</v>
      </c>
      <c r="N60" s="21">
        <f t="shared" si="8"/>
        <v>32.938144329896907</v>
      </c>
      <c r="O60" s="21">
        <f t="shared" si="9"/>
        <v>0</v>
      </c>
      <c r="P60" s="738"/>
    </row>
    <row r="61" spans="1:16" s="357" customFormat="1" ht="26.25" thickBot="1">
      <c r="A61" s="367"/>
      <c r="B61" s="363"/>
      <c r="C61" s="524">
        <v>45206719</v>
      </c>
      <c r="D61" s="534" t="s">
        <v>3820</v>
      </c>
      <c r="E61" s="503">
        <v>3092.7835051546394</v>
      </c>
      <c r="F61" s="23">
        <f t="shared" si="0"/>
        <v>1855.6701030927836</v>
      </c>
      <c r="G61" s="3">
        <f t="shared" si="1"/>
        <v>0</v>
      </c>
      <c r="H61" s="21">
        <f t="shared" si="2"/>
        <v>154.39175257731958</v>
      </c>
      <c r="I61" s="21">
        <f t="shared" si="3"/>
        <v>0</v>
      </c>
      <c r="J61" s="21">
        <f t="shared" si="4"/>
        <v>58.082474226804131</v>
      </c>
      <c r="K61" s="21">
        <f t="shared" si="5"/>
        <v>0</v>
      </c>
      <c r="L61" s="21">
        <f t="shared" si="6"/>
        <v>47.505154639175259</v>
      </c>
      <c r="M61" s="21">
        <f t="shared" si="7"/>
        <v>0</v>
      </c>
      <c r="N61" s="21">
        <f t="shared" si="8"/>
        <v>39.52577319587629</v>
      </c>
      <c r="O61" s="21">
        <f t="shared" si="9"/>
        <v>0</v>
      </c>
      <c r="P61" s="738"/>
    </row>
    <row r="62" spans="1:16" s="357" customFormat="1" ht="26.25" thickBot="1">
      <c r="A62" s="367"/>
      <c r="B62" s="363"/>
      <c r="C62" s="704" t="s">
        <v>490</v>
      </c>
      <c r="D62" s="526" t="s">
        <v>3505</v>
      </c>
      <c r="E62" s="446">
        <v>1103.0927835051546</v>
      </c>
      <c r="F62" s="23">
        <f t="shared" si="0"/>
        <v>661.85567010309273</v>
      </c>
      <c r="G62" s="6">
        <f t="shared" si="1"/>
        <v>0</v>
      </c>
      <c r="H62" s="4">
        <f t="shared" si="2"/>
        <v>55.06639175257731</v>
      </c>
      <c r="I62" s="4">
        <f t="shared" si="3"/>
        <v>0</v>
      </c>
      <c r="J62" s="4">
        <f t="shared" si="4"/>
        <v>20.716082474226802</v>
      </c>
      <c r="K62" s="4">
        <f t="shared" si="5"/>
        <v>0</v>
      </c>
      <c r="L62" s="4">
        <f>F62*0.027</f>
        <v>17.870103092783502</v>
      </c>
      <c r="M62" s="4">
        <f t="shared" si="7"/>
        <v>0</v>
      </c>
      <c r="N62" s="4">
        <f t="shared" si="8"/>
        <v>14.097525773195875</v>
      </c>
      <c r="O62" s="4">
        <f t="shared" si="9"/>
        <v>0</v>
      </c>
      <c r="P62" s="738"/>
    </row>
    <row r="63" spans="1:16" s="357" customFormat="1" ht="13.5" thickBot="1">
      <c r="A63" s="367"/>
      <c r="B63" s="366"/>
      <c r="C63" s="90" t="s">
        <v>455</v>
      </c>
      <c r="D63" s="235" t="s">
        <v>3506</v>
      </c>
      <c r="E63" s="343">
        <v>1101.5257731958764</v>
      </c>
      <c r="F63" s="23">
        <f t="shared" si="0"/>
        <v>660.91546391752581</v>
      </c>
      <c r="G63" s="3">
        <f t="shared" si="1"/>
        <v>0</v>
      </c>
      <c r="H63" s="21">
        <f t="shared" si="2"/>
        <v>54.988166597938147</v>
      </c>
      <c r="I63" s="21">
        <f t="shared" si="3"/>
        <v>0</v>
      </c>
      <c r="J63" s="21">
        <f t="shared" si="4"/>
        <v>20.686654020618558</v>
      </c>
      <c r="K63" s="21">
        <f t="shared" si="5"/>
        <v>0</v>
      </c>
      <c r="L63" s="21">
        <f>F63*0.027</f>
        <v>17.844717525773198</v>
      </c>
      <c r="M63" s="21">
        <f t="shared" si="7"/>
        <v>0</v>
      </c>
      <c r="N63" s="21">
        <f t="shared" si="8"/>
        <v>14.0774993814433</v>
      </c>
      <c r="O63" s="21">
        <f t="shared" si="9"/>
        <v>0</v>
      </c>
      <c r="P63" s="738"/>
    </row>
    <row r="64" spans="1:16" s="357" customFormat="1" ht="26.25" thickBot="1">
      <c r="A64" s="367"/>
      <c r="B64" s="363"/>
      <c r="C64" s="529" t="s">
        <v>3637</v>
      </c>
      <c r="D64" s="235" t="s">
        <v>3641</v>
      </c>
      <c r="E64" s="343">
        <v>2108.2474226804125</v>
      </c>
      <c r="F64" s="23">
        <f t="shared" si="0"/>
        <v>1264.9484536082475</v>
      </c>
      <c r="G64" s="3">
        <f t="shared" si="1"/>
        <v>0</v>
      </c>
      <c r="H64" s="21">
        <f t="shared" si="2"/>
        <v>105.24371134020619</v>
      </c>
      <c r="I64" s="21">
        <f t="shared" si="3"/>
        <v>0</v>
      </c>
      <c r="J64" s="21">
        <f t="shared" si="4"/>
        <v>39.592886597938147</v>
      </c>
      <c r="K64" s="21">
        <f t="shared" si="5"/>
        <v>0</v>
      </c>
      <c r="L64" s="21">
        <f t="shared" ref="L64:L69" si="10">F64*0.0256</f>
        <v>32.382680412371137</v>
      </c>
      <c r="M64" s="21">
        <f t="shared" si="7"/>
        <v>0</v>
      </c>
      <c r="N64" s="21">
        <f t="shared" si="8"/>
        <v>26.943402061855672</v>
      </c>
      <c r="O64" s="21">
        <f t="shared" si="9"/>
        <v>0</v>
      </c>
      <c r="P64" s="738"/>
    </row>
    <row r="65" spans="1:16" s="357" customFormat="1" ht="26.25" thickBot="1">
      <c r="A65" s="367"/>
      <c r="B65" s="363"/>
      <c r="C65" s="530" t="s">
        <v>3638</v>
      </c>
      <c r="D65" s="535" t="s">
        <v>3642</v>
      </c>
      <c r="E65" s="343">
        <v>3597.9381443298971</v>
      </c>
      <c r="F65" s="23">
        <f t="shared" si="0"/>
        <v>2158.7628865979382</v>
      </c>
      <c r="G65" s="3">
        <f t="shared" si="1"/>
        <v>0</v>
      </c>
      <c r="H65" s="21">
        <f t="shared" si="2"/>
        <v>179.60907216494846</v>
      </c>
      <c r="I65" s="21">
        <f t="shared" si="3"/>
        <v>0</v>
      </c>
      <c r="J65" s="21">
        <f t="shared" si="4"/>
        <v>67.569278350515475</v>
      </c>
      <c r="K65" s="21">
        <f t="shared" si="5"/>
        <v>0</v>
      </c>
      <c r="L65" s="21">
        <f t="shared" si="10"/>
        <v>55.264329896907221</v>
      </c>
      <c r="M65" s="21">
        <f t="shared" si="7"/>
        <v>0</v>
      </c>
      <c r="N65" s="21">
        <f t="shared" si="8"/>
        <v>45.981649484536085</v>
      </c>
      <c r="O65" s="21">
        <f t="shared" si="9"/>
        <v>0</v>
      </c>
      <c r="P65" s="738"/>
    </row>
    <row r="66" spans="1:16" s="357" customFormat="1" ht="26.25" thickBot="1">
      <c r="A66" s="367"/>
      <c r="B66" s="366"/>
      <c r="C66" s="533" t="s">
        <v>3639</v>
      </c>
      <c r="D66" s="535" t="s">
        <v>3643</v>
      </c>
      <c r="E66" s="343">
        <v>3520.6185567010311</v>
      </c>
      <c r="F66" s="23">
        <f t="shared" si="0"/>
        <v>2112.3711340206187</v>
      </c>
      <c r="G66" s="3">
        <f t="shared" si="1"/>
        <v>0</v>
      </c>
      <c r="H66" s="21">
        <f t="shared" si="2"/>
        <v>175.74927835051545</v>
      </c>
      <c r="I66" s="21">
        <f t="shared" si="3"/>
        <v>0</v>
      </c>
      <c r="J66" s="21">
        <f t="shared" si="4"/>
        <v>66.117216494845366</v>
      </c>
      <c r="K66" s="21">
        <f t="shared" si="5"/>
        <v>0</v>
      </c>
      <c r="L66" s="21">
        <f t="shared" si="10"/>
        <v>54.076701030927843</v>
      </c>
      <c r="M66" s="21">
        <f t="shared" si="7"/>
        <v>0</v>
      </c>
      <c r="N66" s="21">
        <f t="shared" si="8"/>
        <v>44.993505154639173</v>
      </c>
      <c r="O66" s="21">
        <f t="shared" si="9"/>
        <v>0</v>
      </c>
      <c r="P66" s="738"/>
    </row>
    <row r="67" spans="1:16" s="357" customFormat="1" ht="26.25" thickBot="1">
      <c r="A67" s="367"/>
      <c r="B67" s="368"/>
      <c r="C67" s="532" t="s">
        <v>3640</v>
      </c>
      <c r="D67" s="536" t="s">
        <v>3644</v>
      </c>
      <c r="E67" s="538">
        <v>5046.3917525773195</v>
      </c>
      <c r="F67" s="23">
        <f t="shared" si="0"/>
        <v>3027.8350515463917</v>
      </c>
      <c r="G67" s="3">
        <f t="shared" si="1"/>
        <v>0</v>
      </c>
      <c r="H67" s="21">
        <f t="shared" si="2"/>
        <v>251.91587628865977</v>
      </c>
      <c r="I67" s="21">
        <f t="shared" si="3"/>
        <v>0</v>
      </c>
      <c r="J67" s="21">
        <f t="shared" si="4"/>
        <v>94.771237113402066</v>
      </c>
      <c r="K67" s="21">
        <f t="shared" si="5"/>
        <v>0</v>
      </c>
      <c r="L67" s="21">
        <f t="shared" si="10"/>
        <v>77.512577319587635</v>
      </c>
      <c r="M67" s="21">
        <f t="shared" si="7"/>
        <v>0</v>
      </c>
      <c r="N67" s="21">
        <f t="shared" si="8"/>
        <v>64.492886597938138</v>
      </c>
      <c r="O67" s="21">
        <f t="shared" si="9"/>
        <v>0</v>
      </c>
      <c r="P67" s="738"/>
    </row>
    <row r="68" spans="1:16" s="357" customFormat="1" ht="13.5" thickBot="1">
      <c r="A68" s="367"/>
      <c r="B68" s="366"/>
      <c r="C68" s="90" t="s">
        <v>691</v>
      </c>
      <c r="D68" s="235" t="s">
        <v>3614</v>
      </c>
      <c r="E68" s="343">
        <v>4286.5979381443303</v>
      </c>
      <c r="F68" s="23">
        <f t="shared" si="0"/>
        <v>2571.9587628865979</v>
      </c>
      <c r="G68" s="3">
        <f t="shared" si="1"/>
        <v>0</v>
      </c>
      <c r="H68" s="21">
        <f t="shared" si="2"/>
        <v>213.98696907216492</v>
      </c>
      <c r="I68" s="21">
        <f t="shared" si="3"/>
        <v>0</v>
      </c>
      <c r="J68" s="21">
        <f t="shared" si="4"/>
        <v>80.502309278350523</v>
      </c>
      <c r="K68" s="21">
        <f t="shared" si="5"/>
        <v>0</v>
      </c>
      <c r="L68" s="21">
        <f t="shared" si="10"/>
        <v>65.842144329896911</v>
      </c>
      <c r="M68" s="21">
        <f t="shared" si="7"/>
        <v>0</v>
      </c>
      <c r="N68" s="21">
        <f t="shared" si="8"/>
        <v>54.782721649484536</v>
      </c>
      <c r="O68" s="21">
        <f t="shared" si="9"/>
        <v>0</v>
      </c>
      <c r="P68" s="738"/>
    </row>
    <row r="69" spans="1:16" s="357" customFormat="1" ht="13.5" thickBot="1">
      <c r="A69" s="367"/>
      <c r="B69" s="368"/>
      <c r="C69" s="90" t="s">
        <v>476</v>
      </c>
      <c r="D69" s="235" t="s">
        <v>3514</v>
      </c>
      <c r="E69" s="343">
        <v>515.46391752577324</v>
      </c>
      <c r="F69" s="23">
        <f t="shared" si="0"/>
        <v>309.27835051546396</v>
      </c>
      <c r="G69" s="3">
        <f t="shared" si="1"/>
        <v>0</v>
      </c>
      <c r="H69" s="21">
        <f t="shared" si="2"/>
        <v>25.731958762886599</v>
      </c>
      <c r="I69" s="21">
        <f t="shared" si="3"/>
        <v>0</v>
      </c>
      <c r="J69" s="21">
        <f t="shared" si="4"/>
        <v>9.6804123711340218</v>
      </c>
      <c r="K69" s="21">
        <f t="shared" si="5"/>
        <v>0</v>
      </c>
      <c r="L69" s="21">
        <f t="shared" si="10"/>
        <v>7.9175257731958775</v>
      </c>
      <c r="M69" s="21">
        <f t="shared" si="7"/>
        <v>0</v>
      </c>
      <c r="N69" s="21">
        <f t="shared" si="8"/>
        <v>6.587628865979382</v>
      </c>
      <c r="O69" s="21">
        <f t="shared" si="9"/>
        <v>0</v>
      </c>
      <c r="P69" s="738"/>
    </row>
    <row r="70" spans="1:16" s="361" customFormat="1" ht="13.5" thickBot="1">
      <c r="A70" s="364"/>
      <c r="B70" s="366"/>
      <c r="C70" s="90" t="s">
        <v>3488</v>
      </c>
      <c r="D70" s="235" t="s">
        <v>3561</v>
      </c>
      <c r="E70" s="343">
        <v>88.659793814432987</v>
      </c>
      <c r="F70" s="23">
        <f t="shared" si="0"/>
        <v>53.19587628865979</v>
      </c>
      <c r="G70" s="3">
        <f t="shared" si="1"/>
        <v>0</v>
      </c>
      <c r="H70" s="21">
        <f t="shared" si="2"/>
        <v>4.4258969072164946</v>
      </c>
      <c r="I70" s="21">
        <f t="shared" si="3"/>
        <v>0</v>
      </c>
      <c r="J70" s="21">
        <f t="shared" si="4"/>
        <v>1.6650309278350515</v>
      </c>
      <c r="K70" s="21">
        <f t="shared" si="5"/>
        <v>0</v>
      </c>
      <c r="L70" s="21">
        <f>F70*0.027</f>
        <v>1.4362886597938143</v>
      </c>
      <c r="M70" s="21">
        <f t="shared" si="7"/>
        <v>0</v>
      </c>
      <c r="N70" s="21">
        <f t="shared" si="8"/>
        <v>1.1330721649484534</v>
      </c>
      <c r="O70" s="21">
        <f t="shared" si="9"/>
        <v>0</v>
      </c>
      <c r="P70" s="738"/>
    </row>
    <row r="71" spans="1:16" s="361" customFormat="1" ht="13.5" thickBot="1">
      <c r="A71" s="364"/>
      <c r="B71" s="102"/>
      <c r="C71" s="90" t="s">
        <v>692</v>
      </c>
      <c r="D71" s="235" t="s">
        <v>3510</v>
      </c>
      <c r="E71" s="343">
        <v>126.80412371134021</v>
      </c>
      <c r="F71" s="23">
        <f t="shared" si="0"/>
        <v>76.082474226804123</v>
      </c>
      <c r="G71" s="3">
        <f t="shared" si="1"/>
        <v>0</v>
      </c>
      <c r="H71" s="21">
        <f t="shared" si="2"/>
        <v>6.3300618556701025</v>
      </c>
      <c r="I71" s="21">
        <f t="shared" si="3"/>
        <v>0</v>
      </c>
      <c r="J71" s="21">
        <f t="shared" si="4"/>
        <v>2.3813814432989693</v>
      </c>
      <c r="K71" s="21">
        <f t="shared" si="5"/>
        <v>0</v>
      </c>
      <c r="L71" s="21">
        <f t="shared" ref="L71:L100" si="11">F71*0.0256</f>
        <v>1.9477113402061856</v>
      </c>
      <c r="M71" s="21">
        <f t="shared" si="7"/>
        <v>0</v>
      </c>
      <c r="N71" s="21">
        <f t="shared" si="8"/>
        <v>1.6205567010309279</v>
      </c>
      <c r="O71" s="21">
        <f t="shared" si="9"/>
        <v>0</v>
      </c>
      <c r="P71" s="738"/>
    </row>
    <row r="72" spans="1:16" s="361" customFormat="1" ht="13.5" thickBot="1">
      <c r="A72" s="364"/>
      <c r="B72" s="366"/>
      <c r="C72" s="90" t="s">
        <v>693</v>
      </c>
      <c r="D72" s="235" t="s">
        <v>674</v>
      </c>
      <c r="E72" s="343">
        <v>129.89690721649484</v>
      </c>
      <c r="F72" s="23">
        <f t="shared" si="0"/>
        <v>77.9381443298969</v>
      </c>
      <c r="G72" s="3">
        <f t="shared" si="1"/>
        <v>0</v>
      </c>
      <c r="H72" s="21">
        <f t="shared" si="2"/>
        <v>6.4844536082474216</v>
      </c>
      <c r="I72" s="21">
        <f t="shared" si="3"/>
        <v>0</v>
      </c>
      <c r="J72" s="21">
        <f t="shared" si="4"/>
        <v>2.4394639175257731</v>
      </c>
      <c r="K72" s="21">
        <f t="shared" si="5"/>
        <v>0</v>
      </c>
      <c r="L72" s="21">
        <f t="shared" si="11"/>
        <v>1.9952164948453608</v>
      </c>
      <c r="M72" s="21">
        <f t="shared" si="7"/>
        <v>0</v>
      </c>
      <c r="N72" s="21">
        <f t="shared" si="8"/>
        <v>1.6600824742268039</v>
      </c>
      <c r="O72" s="21">
        <f t="shared" si="9"/>
        <v>0</v>
      </c>
      <c r="P72" s="738"/>
    </row>
    <row r="73" spans="1:16" s="361" customFormat="1" ht="13.5" thickBot="1">
      <c r="A73" s="364"/>
      <c r="B73" s="369"/>
      <c r="C73" s="529" t="s">
        <v>438</v>
      </c>
      <c r="D73" s="537" t="s">
        <v>594</v>
      </c>
      <c r="E73" s="343">
        <v>1134.020618556701</v>
      </c>
      <c r="F73" s="23">
        <f t="shared" si="0"/>
        <v>680.41237113402065</v>
      </c>
      <c r="G73" s="3">
        <f t="shared" si="1"/>
        <v>0</v>
      </c>
      <c r="H73" s="21">
        <f t="shared" si="2"/>
        <v>56.610309278350513</v>
      </c>
      <c r="I73" s="21">
        <f t="shared" si="3"/>
        <v>0</v>
      </c>
      <c r="J73" s="21">
        <f t="shared" si="4"/>
        <v>21.296907216494848</v>
      </c>
      <c r="K73" s="21">
        <f t="shared" si="5"/>
        <v>0</v>
      </c>
      <c r="L73" s="21">
        <f t="shared" si="11"/>
        <v>17.41855670103093</v>
      </c>
      <c r="M73" s="21">
        <f t="shared" si="7"/>
        <v>0</v>
      </c>
      <c r="N73" s="21">
        <f t="shared" si="8"/>
        <v>14.492783505154639</v>
      </c>
      <c r="O73" s="21">
        <f t="shared" si="9"/>
        <v>0</v>
      </c>
      <c r="P73" s="738"/>
    </row>
    <row r="74" spans="1:16" s="361" customFormat="1" ht="13.5" thickBot="1">
      <c r="A74" s="364"/>
      <c r="B74" s="102"/>
      <c r="C74" s="90" t="s">
        <v>439</v>
      </c>
      <c r="D74" s="235" t="s">
        <v>595</v>
      </c>
      <c r="E74" s="343">
        <v>809.2783505154639</v>
      </c>
      <c r="F74" s="23">
        <f t="shared" si="0"/>
        <v>485.56701030927832</v>
      </c>
      <c r="G74" s="3">
        <f t="shared" si="1"/>
        <v>0</v>
      </c>
      <c r="H74" s="21">
        <f t="shared" si="2"/>
        <v>40.399175257731955</v>
      </c>
      <c r="I74" s="21">
        <f t="shared" si="3"/>
        <v>0</v>
      </c>
      <c r="J74" s="21">
        <f t="shared" si="4"/>
        <v>15.198247422680412</v>
      </c>
      <c r="K74" s="21">
        <f t="shared" si="5"/>
        <v>0</v>
      </c>
      <c r="L74" s="21">
        <f t="shared" si="11"/>
        <v>12.430515463917526</v>
      </c>
      <c r="M74" s="21">
        <f t="shared" si="7"/>
        <v>0</v>
      </c>
      <c r="N74" s="21">
        <f t="shared" si="8"/>
        <v>10.342577319587628</v>
      </c>
      <c r="O74" s="21">
        <f t="shared" si="9"/>
        <v>0</v>
      </c>
      <c r="P74" s="738"/>
    </row>
    <row r="75" spans="1:16" s="361" customFormat="1" ht="13.5" thickBot="1">
      <c r="A75" s="364"/>
      <c r="B75" s="102"/>
      <c r="C75" s="529" t="s">
        <v>440</v>
      </c>
      <c r="D75" s="235" t="s">
        <v>418</v>
      </c>
      <c r="E75" s="343">
        <v>688.45360824742261</v>
      </c>
      <c r="F75" s="23">
        <f t="shared" si="0"/>
        <v>413.07216494845358</v>
      </c>
      <c r="G75" s="3">
        <f t="shared" si="1"/>
        <v>0</v>
      </c>
      <c r="H75" s="21">
        <f t="shared" si="2"/>
        <v>34.367604123711338</v>
      </c>
      <c r="I75" s="21">
        <f t="shared" si="3"/>
        <v>0</v>
      </c>
      <c r="J75" s="21">
        <f t="shared" si="4"/>
        <v>12.929158762886598</v>
      </c>
      <c r="K75" s="21">
        <f t="shared" si="5"/>
        <v>0</v>
      </c>
      <c r="L75" s="21">
        <f t="shared" si="11"/>
        <v>10.574647422680412</v>
      </c>
      <c r="M75" s="21">
        <f t="shared" si="7"/>
        <v>0</v>
      </c>
      <c r="N75" s="21">
        <f t="shared" si="8"/>
        <v>8.7984371134020609</v>
      </c>
      <c r="O75" s="21">
        <f t="shared" si="9"/>
        <v>0</v>
      </c>
      <c r="P75" s="738"/>
    </row>
    <row r="76" spans="1:16" s="361" customFormat="1" ht="13.5" thickBot="1">
      <c r="A76" s="364"/>
      <c r="B76" s="102"/>
      <c r="C76" s="531" t="s">
        <v>441</v>
      </c>
      <c r="D76" s="534" t="s">
        <v>596</v>
      </c>
      <c r="E76" s="503">
        <v>846.39175257731961</v>
      </c>
      <c r="F76" s="23">
        <f t="shared" si="0"/>
        <v>507.83505154639175</v>
      </c>
      <c r="G76" s="3">
        <f t="shared" si="1"/>
        <v>0</v>
      </c>
      <c r="H76" s="21">
        <f t="shared" si="2"/>
        <v>42.251876288659794</v>
      </c>
      <c r="I76" s="21">
        <f t="shared" si="3"/>
        <v>0</v>
      </c>
      <c r="J76" s="21">
        <f t="shared" si="4"/>
        <v>15.895237113402063</v>
      </c>
      <c r="K76" s="21">
        <f t="shared" si="5"/>
        <v>0</v>
      </c>
      <c r="L76" s="21">
        <f t="shared" si="11"/>
        <v>13.000577319587629</v>
      </c>
      <c r="M76" s="21">
        <f t="shared" si="7"/>
        <v>0</v>
      </c>
      <c r="N76" s="21">
        <f t="shared" si="8"/>
        <v>10.816886597938144</v>
      </c>
      <c r="O76" s="21">
        <f t="shared" si="9"/>
        <v>0</v>
      </c>
      <c r="P76" s="738"/>
    </row>
    <row r="77" spans="1:16" s="361" customFormat="1" ht="13.5" thickBot="1">
      <c r="A77" s="364"/>
      <c r="B77" s="102"/>
      <c r="C77" s="90" t="s">
        <v>442</v>
      </c>
      <c r="D77" s="235" t="s">
        <v>597</v>
      </c>
      <c r="E77" s="343">
        <v>711.34020618556701</v>
      </c>
      <c r="F77" s="23">
        <f t="shared" si="0"/>
        <v>426.8041237113402</v>
      </c>
      <c r="G77" s="3">
        <f t="shared" si="1"/>
        <v>0</v>
      </c>
      <c r="H77" s="21">
        <f t="shared" si="2"/>
        <v>35.510103092783503</v>
      </c>
      <c r="I77" s="21">
        <f t="shared" si="3"/>
        <v>0</v>
      </c>
      <c r="J77" s="21">
        <f t="shared" si="4"/>
        <v>13.358969072164948</v>
      </c>
      <c r="K77" s="21">
        <f t="shared" si="5"/>
        <v>0</v>
      </c>
      <c r="L77" s="21">
        <f t="shared" si="11"/>
        <v>10.926185567010309</v>
      </c>
      <c r="M77" s="21">
        <f t="shared" si="7"/>
        <v>0</v>
      </c>
      <c r="N77" s="21">
        <f t="shared" si="8"/>
        <v>9.0909278350515468</v>
      </c>
      <c r="O77" s="21">
        <f t="shared" si="9"/>
        <v>0</v>
      </c>
      <c r="P77" s="738"/>
    </row>
    <row r="78" spans="1:16" s="361" customFormat="1" ht="13.5" thickBot="1">
      <c r="A78" s="364"/>
      <c r="B78" s="102"/>
      <c r="C78" s="531" t="s">
        <v>443</v>
      </c>
      <c r="D78" s="534" t="s">
        <v>598</v>
      </c>
      <c r="E78" s="503">
        <v>196.90721649484536</v>
      </c>
      <c r="F78" s="23">
        <f t="shared" ref="F78:F100" si="12">E78*(1-40%)</f>
        <v>118.14432989690721</v>
      </c>
      <c r="G78" s="3">
        <f t="shared" ref="G78:G100" si="13">F78*B78</f>
        <v>0</v>
      </c>
      <c r="H78" s="21">
        <f t="shared" ref="H78:H100" si="14">F78*0.0832</f>
        <v>9.82960824742268</v>
      </c>
      <c r="I78" s="21">
        <f t="shared" ref="I78:I100" si="15">H78*B78</f>
        <v>0</v>
      </c>
      <c r="J78" s="21">
        <f t="shared" ref="J78:J100" si="16">F78*0.0313</f>
        <v>3.697917525773196</v>
      </c>
      <c r="K78" s="21">
        <f t="shared" ref="K78:K100" si="17">J78*B78</f>
        <v>0</v>
      </c>
      <c r="L78" s="21">
        <f t="shared" si="11"/>
        <v>3.0244948453608247</v>
      </c>
      <c r="M78" s="21">
        <f t="shared" ref="M78:M100" si="18">L78*B78</f>
        <v>0</v>
      </c>
      <c r="N78" s="21">
        <f t="shared" ref="N78:N100" si="19">F78*0.0213</f>
        <v>2.5164742268041236</v>
      </c>
      <c r="O78" s="21">
        <f t="shared" ref="O78:O100" si="20">N78*B78</f>
        <v>0</v>
      </c>
      <c r="P78" s="738"/>
    </row>
    <row r="79" spans="1:16" s="357" customFormat="1" ht="13.5" thickBot="1">
      <c r="A79" s="367"/>
      <c r="B79" s="363"/>
      <c r="C79" s="530" t="s">
        <v>444</v>
      </c>
      <c r="D79" s="706" t="s">
        <v>680</v>
      </c>
      <c r="E79" s="343">
        <v>688.45360824742261</v>
      </c>
      <c r="F79" s="23">
        <f t="shared" si="12"/>
        <v>413.07216494845358</v>
      </c>
      <c r="G79" s="3">
        <f t="shared" si="13"/>
        <v>0</v>
      </c>
      <c r="H79" s="21">
        <f t="shared" si="14"/>
        <v>34.367604123711338</v>
      </c>
      <c r="I79" s="21">
        <f t="shared" si="15"/>
        <v>0</v>
      </c>
      <c r="J79" s="21">
        <f t="shared" si="16"/>
        <v>12.929158762886598</v>
      </c>
      <c r="K79" s="21">
        <f t="shared" si="17"/>
        <v>0</v>
      </c>
      <c r="L79" s="21">
        <f t="shared" si="11"/>
        <v>10.574647422680412</v>
      </c>
      <c r="M79" s="21">
        <f t="shared" si="18"/>
        <v>0</v>
      </c>
      <c r="N79" s="21">
        <f t="shared" si="19"/>
        <v>8.7984371134020609</v>
      </c>
      <c r="O79" s="21">
        <f t="shared" si="20"/>
        <v>0</v>
      </c>
      <c r="P79" s="738"/>
    </row>
    <row r="80" spans="1:16" s="357" customFormat="1" ht="13.5" thickBot="1">
      <c r="A80" s="367"/>
      <c r="B80" s="366"/>
      <c r="C80" s="90" t="s">
        <v>116</v>
      </c>
      <c r="D80" s="235" t="s">
        <v>117</v>
      </c>
      <c r="E80" s="343">
        <v>257.73195876288662</v>
      </c>
      <c r="F80" s="23">
        <f t="shared" si="12"/>
        <v>154.63917525773198</v>
      </c>
      <c r="G80" s="3">
        <f t="shared" si="13"/>
        <v>0</v>
      </c>
      <c r="H80" s="21">
        <f t="shared" si="14"/>
        <v>12.865979381443299</v>
      </c>
      <c r="I80" s="21">
        <f t="shared" si="15"/>
        <v>0</v>
      </c>
      <c r="J80" s="21">
        <f t="shared" si="16"/>
        <v>4.8402061855670109</v>
      </c>
      <c r="K80" s="21">
        <f t="shared" si="17"/>
        <v>0</v>
      </c>
      <c r="L80" s="21">
        <f t="shared" si="11"/>
        <v>3.9587628865979387</v>
      </c>
      <c r="M80" s="21">
        <f t="shared" si="18"/>
        <v>0</v>
      </c>
      <c r="N80" s="21">
        <f t="shared" si="19"/>
        <v>3.293814432989691</v>
      </c>
      <c r="O80" s="21">
        <f t="shared" si="20"/>
        <v>0</v>
      </c>
      <c r="P80" s="738"/>
    </row>
    <row r="81" spans="1:16" s="357" customFormat="1" ht="13.5" thickBot="1">
      <c r="A81" s="367"/>
      <c r="B81" s="368"/>
      <c r="C81" s="419" t="s">
        <v>3487</v>
      </c>
      <c r="D81" s="420" t="s">
        <v>3507</v>
      </c>
      <c r="E81" s="448">
        <v>407.21649484536084</v>
      </c>
      <c r="F81" s="23">
        <f t="shared" si="12"/>
        <v>244.32989690721649</v>
      </c>
      <c r="G81" s="3">
        <f t="shared" si="13"/>
        <v>0</v>
      </c>
      <c r="H81" s="21">
        <f t="shared" si="14"/>
        <v>20.328247422680413</v>
      </c>
      <c r="I81" s="21">
        <f t="shared" si="15"/>
        <v>0</v>
      </c>
      <c r="J81" s="21">
        <f t="shared" si="16"/>
        <v>7.647525773195877</v>
      </c>
      <c r="K81" s="21">
        <f t="shared" si="17"/>
        <v>0</v>
      </c>
      <c r="L81" s="21">
        <f t="shared" si="11"/>
        <v>6.254845360824743</v>
      </c>
      <c r="M81" s="21">
        <f t="shared" si="18"/>
        <v>0</v>
      </c>
      <c r="N81" s="21">
        <f t="shared" si="19"/>
        <v>5.204226804123711</v>
      </c>
      <c r="O81" s="21">
        <f t="shared" si="20"/>
        <v>0</v>
      </c>
      <c r="P81" s="738"/>
    </row>
    <row r="82" spans="1:16" s="361" customFormat="1" ht="13.5" thickBot="1">
      <c r="A82" s="364"/>
      <c r="B82" s="365"/>
      <c r="C82" s="90" t="s">
        <v>3606</v>
      </c>
      <c r="D82" s="235" t="s">
        <v>564</v>
      </c>
      <c r="E82" s="343">
        <v>3432.9896907216494</v>
      </c>
      <c r="F82" s="23">
        <f t="shared" si="12"/>
        <v>2059.7938144329896</v>
      </c>
      <c r="G82" s="3">
        <f t="shared" si="13"/>
        <v>0</v>
      </c>
      <c r="H82" s="21">
        <f t="shared" si="14"/>
        <v>171.37484536082474</v>
      </c>
      <c r="I82" s="21">
        <f t="shared" si="15"/>
        <v>0</v>
      </c>
      <c r="J82" s="21">
        <f t="shared" si="16"/>
        <v>64.471546391752582</v>
      </c>
      <c r="K82" s="21">
        <f t="shared" si="17"/>
        <v>0</v>
      </c>
      <c r="L82" s="21">
        <f t="shared" si="11"/>
        <v>52.730721649484536</v>
      </c>
      <c r="M82" s="21">
        <f t="shared" si="18"/>
        <v>0</v>
      </c>
      <c r="N82" s="21">
        <f t="shared" si="19"/>
        <v>43.873608247422681</v>
      </c>
      <c r="O82" s="21">
        <f t="shared" si="20"/>
        <v>0</v>
      </c>
      <c r="P82" s="738"/>
    </row>
    <row r="83" spans="1:16" s="361" customFormat="1" ht="13.5" thickBot="1">
      <c r="A83" s="364"/>
      <c r="B83" s="366"/>
      <c r="C83" s="529" t="s">
        <v>3605</v>
      </c>
      <c r="D83" s="534" t="s">
        <v>565</v>
      </c>
      <c r="E83" s="503">
        <v>1824.7422680412371</v>
      </c>
      <c r="F83" s="23">
        <f t="shared" si="12"/>
        <v>1094.8453608247423</v>
      </c>
      <c r="G83" s="3">
        <f t="shared" si="13"/>
        <v>0</v>
      </c>
      <c r="H83" s="21">
        <f t="shared" si="14"/>
        <v>91.091134020618554</v>
      </c>
      <c r="I83" s="21">
        <f t="shared" si="15"/>
        <v>0</v>
      </c>
      <c r="J83" s="21">
        <f t="shared" si="16"/>
        <v>34.268659793814436</v>
      </c>
      <c r="K83" s="21">
        <f t="shared" si="17"/>
        <v>0</v>
      </c>
      <c r="L83" s="21">
        <f t="shared" si="11"/>
        <v>28.028041237113406</v>
      </c>
      <c r="M83" s="21">
        <f t="shared" si="18"/>
        <v>0</v>
      </c>
      <c r="N83" s="21">
        <f t="shared" si="19"/>
        <v>23.32020618556701</v>
      </c>
      <c r="O83" s="21">
        <f t="shared" si="20"/>
        <v>0</v>
      </c>
      <c r="P83" s="738"/>
    </row>
    <row r="84" spans="1:16" s="361" customFormat="1" ht="13.5" thickBot="1">
      <c r="A84" s="364"/>
      <c r="B84" s="102"/>
      <c r="C84" s="90" t="s">
        <v>454</v>
      </c>
      <c r="D84" s="235" t="s">
        <v>3526</v>
      </c>
      <c r="E84" s="343">
        <v>872.1649484536083</v>
      </c>
      <c r="F84" s="23">
        <f t="shared" si="12"/>
        <v>523.29896907216494</v>
      </c>
      <c r="G84" s="3">
        <f t="shared" si="13"/>
        <v>0</v>
      </c>
      <c r="H84" s="21">
        <f t="shared" si="14"/>
        <v>43.538474226804119</v>
      </c>
      <c r="I84" s="21">
        <f t="shared" si="15"/>
        <v>0</v>
      </c>
      <c r="J84" s="21">
        <f t="shared" si="16"/>
        <v>16.379257731958763</v>
      </c>
      <c r="K84" s="21">
        <f t="shared" si="17"/>
        <v>0</v>
      </c>
      <c r="L84" s="21">
        <f t="shared" si="11"/>
        <v>13.396453608247423</v>
      </c>
      <c r="M84" s="21">
        <f t="shared" si="18"/>
        <v>0</v>
      </c>
      <c r="N84" s="21">
        <f t="shared" si="19"/>
        <v>11.146268041237112</v>
      </c>
      <c r="O84" s="21">
        <f t="shared" si="20"/>
        <v>0</v>
      </c>
      <c r="P84" s="738"/>
    </row>
    <row r="85" spans="1:16" s="361" customFormat="1" ht="13.5" thickBot="1">
      <c r="A85" s="364"/>
      <c r="B85" s="366"/>
      <c r="C85" s="90" t="s">
        <v>70</v>
      </c>
      <c r="D85" s="235" t="s">
        <v>682</v>
      </c>
      <c r="E85" s="343">
        <v>61.855670103092784</v>
      </c>
      <c r="F85" s="23">
        <f t="shared" si="12"/>
        <v>37.113402061855666</v>
      </c>
      <c r="G85" s="3">
        <f t="shared" si="13"/>
        <v>0</v>
      </c>
      <c r="H85" s="21">
        <f t="shared" si="14"/>
        <v>3.0878350515463913</v>
      </c>
      <c r="I85" s="21">
        <f t="shared" si="15"/>
        <v>0</v>
      </c>
      <c r="J85" s="21">
        <f t="shared" si="16"/>
        <v>1.1616494845360823</v>
      </c>
      <c r="K85" s="21">
        <f t="shared" si="17"/>
        <v>0</v>
      </c>
      <c r="L85" s="21">
        <f t="shared" si="11"/>
        <v>0.95010309278350513</v>
      </c>
      <c r="M85" s="21">
        <f t="shared" si="18"/>
        <v>0</v>
      </c>
      <c r="N85" s="21">
        <f t="shared" si="19"/>
        <v>0.7905154639175257</v>
      </c>
      <c r="O85" s="21">
        <f t="shared" si="20"/>
        <v>0</v>
      </c>
      <c r="P85" s="738"/>
    </row>
    <row r="86" spans="1:16" s="361" customFormat="1" ht="13.5" thickBot="1">
      <c r="A86" s="364"/>
      <c r="B86" s="369"/>
      <c r="C86" s="90" t="s">
        <v>456</v>
      </c>
      <c r="D86" s="235" t="s">
        <v>683</v>
      </c>
      <c r="E86" s="343">
        <v>123.71134020618557</v>
      </c>
      <c r="F86" s="23">
        <f t="shared" si="12"/>
        <v>74.226804123711332</v>
      </c>
      <c r="G86" s="3">
        <f t="shared" si="13"/>
        <v>0</v>
      </c>
      <c r="H86" s="21">
        <f t="shared" si="14"/>
        <v>6.1756701030927825</v>
      </c>
      <c r="I86" s="21">
        <f t="shared" si="15"/>
        <v>0</v>
      </c>
      <c r="J86" s="21">
        <f t="shared" si="16"/>
        <v>2.3232989690721646</v>
      </c>
      <c r="K86" s="21">
        <f t="shared" si="17"/>
        <v>0</v>
      </c>
      <c r="L86" s="21">
        <f t="shared" si="11"/>
        <v>1.9002061855670103</v>
      </c>
      <c r="M86" s="21">
        <f t="shared" si="18"/>
        <v>0</v>
      </c>
      <c r="N86" s="21">
        <f t="shared" si="19"/>
        <v>1.5810309278350514</v>
      </c>
      <c r="O86" s="21">
        <f t="shared" si="20"/>
        <v>0</v>
      </c>
      <c r="P86" s="738"/>
    </row>
    <row r="87" spans="1:16" s="361" customFormat="1" ht="13.5" thickBot="1">
      <c r="A87" s="364"/>
      <c r="B87" s="102"/>
      <c r="C87" s="90" t="s">
        <v>3603</v>
      </c>
      <c r="D87" s="235" t="s">
        <v>3597</v>
      </c>
      <c r="E87" s="343">
        <v>304.12371134020617</v>
      </c>
      <c r="F87" s="23">
        <f t="shared" si="12"/>
        <v>182.4742268041237</v>
      </c>
      <c r="G87" s="3">
        <f t="shared" si="13"/>
        <v>0</v>
      </c>
      <c r="H87" s="21">
        <f t="shared" si="14"/>
        <v>15.181855670103092</v>
      </c>
      <c r="I87" s="21">
        <f t="shared" si="15"/>
        <v>0</v>
      </c>
      <c r="J87" s="21">
        <f t="shared" si="16"/>
        <v>5.7114432989690718</v>
      </c>
      <c r="K87" s="21">
        <f t="shared" si="17"/>
        <v>0</v>
      </c>
      <c r="L87" s="21">
        <f t="shared" si="11"/>
        <v>4.6713402061855671</v>
      </c>
      <c r="M87" s="21">
        <f t="shared" si="18"/>
        <v>0</v>
      </c>
      <c r="N87" s="21">
        <f t="shared" si="19"/>
        <v>3.8867010309278349</v>
      </c>
      <c r="O87" s="21">
        <f t="shared" si="20"/>
        <v>0</v>
      </c>
      <c r="P87" s="738"/>
    </row>
    <row r="88" spans="1:16" s="361" customFormat="1" ht="13.5" thickBot="1">
      <c r="A88" s="364"/>
      <c r="B88" s="102"/>
      <c r="C88" s="524" t="s">
        <v>3494</v>
      </c>
      <c r="D88" s="235" t="s">
        <v>3517</v>
      </c>
      <c r="E88" s="343">
        <v>1144.3298969072166</v>
      </c>
      <c r="F88" s="23">
        <f t="shared" si="12"/>
        <v>686.59793814432999</v>
      </c>
      <c r="G88" s="3">
        <f t="shared" si="13"/>
        <v>0</v>
      </c>
      <c r="H88" s="21">
        <f t="shared" si="14"/>
        <v>57.124948453608255</v>
      </c>
      <c r="I88" s="21">
        <f t="shared" si="15"/>
        <v>0</v>
      </c>
      <c r="J88" s="21">
        <f t="shared" si="16"/>
        <v>21.490515463917529</v>
      </c>
      <c r="K88" s="21">
        <f t="shared" si="17"/>
        <v>0</v>
      </c>
      <c r="L88" s="21">
        <f t="shared" si="11"/>
        <v>17.576907216494849</v>
      </c>
      <c r="M88" s="21">
        <f t="shared" si="18"/>
        <v>0</v>
      </c>
      <c r="N88" s="21">
        <f t="shared" si="19"/>
        <v>14.624536082474229</v>
      </c>
      <c r="O88" s="21">
        <f t="shared" si="20"/>
        <v>0</v>
      </c>
      <c r="P88" s="738"/>
    </row>
    <row r="89" spans="1:16" s="361" customFormat="1" ht="13.5" thickBot="1">
      <c r="A89" s="364"/>
      <c r="B89" s="102"/>
      <c r="C89" s="530" t="s">
        <v>3499</v>
      </c>
      <c r="D89" s="235" t="s">
        <v>3522</v>
      </c>
      <c r="E89" s="343">
        <v>604.12371134020623</v>
      </c>
      <c r="F89" s="23">
        <f t="shared" si="12"/>
        <v>362.4742268041237</v>
      </c>
      <c r="G89" s="3">
        <f t="shared" si="13"/>
        <v>0</v>
      </c>
      <c r="H89" s="21">
        <f t="shared" si="14"/>
        <v>30.157855670103089</v>
      </c>
      <c r="I89" s="21">
        <f t="shared" si="15"/>
        <v>0</v>
      </c>
      <c r="J89" s="21">
        <f t="shared" si="16"/>
        <v>11.345443298969073</v>
      </c>
      <c r="K89" s="21">
        <f t="shared" si="17"/>
        <v>0</v>
      </c>
      <c r="L89" s="21">
        <f t="shared" si="11"/>
        <v>9.2793402061855677</v>
      </c>
      <c r="M89" s="21">
        <f t="shared" si="18"/>
        <v>0</v>
      </c>
      <c r="N89" s="21">
        <f t="shared" si="19"/>
        <v>7.7207010309278346</v>
      </c>
      <c r="O89" s="21">
        <f t="shared" si="20"/>
        <v>0</v>
      </c>
      <c r="P89" s="738"/>
    </row>
    <row r="90" spans="1:16" s="361" customFormat="1" ht="13.5" thickBot="1">
      <c r="A90" s="364"/>
      <c r="B90" s="102"/>
      <c r="C90" s="90" t="s">
        <v>3500</v>
      </c>
      <c r="D90" s="235" t="s">
        <v>3590</v>
      </c>
      <c r="E90" s="343">
        <v>876.28865979381442</v>
      </c>
      <c r="F90" s="23">
        <f t="shared" si="12"/>
        <v>525.77319587628858</v>
      </c>
      <c r="G90" s="3">
        <f t="shared" si="13"/>
        <v>0</v>
      </c>
      <c r="H90" s="21">
        <f t="shared" si="14"/>
        <v>43.74432989690721</v>
      </c>
      <c r="I90" s="21">
        <f t="shared" si="15"/>
        <v>0</v>
      </c>
      <c r="J90" s="21">
        <f t="shared" si="16"/>
        <v>16.456701030927832</v>
      </c>
      <c r="K90" s="21">
        <f t="shared" si="17"/>
        <v>0</v>
      </c>
      <c r="L90" s="21">
        <f t="shared" si="11"/>
        <v>13.459793814432988</v>
      </c>
      <c r="M90" s="21">
        <f t="shared" si="18"/>
        <v>0</v>
      </c>
      <c r="N90" s="21">
        <f t="shared" si="19"/>
        <v>11.198969072164946</v>
      </c>
      <c r="O90" s="21">
        <f t="shared" si="20"/>
        <v>0</v>
      </c>
      <c r="P90" s="738"/>
    </row>
    <row r="91" spans="1:16" s="361" customFormat="1" ht="13.5" thickBot="1">
      <c r="A91" s="364"/>
      <c r="B91" s="102"/>
      <c r="C91" s="90" t="s">
        <v>698</v>
      </c>
      <c r="D91" s="235" t="s">
        <v>685</v>
      </c>
      <c r="E91" s="343">
        <v>1262.8865979381444</v>
      </c>
      <c r="F91" s="23">
        <f t="shared" si="12"/>
        <v>757.73195876288662</v>
      </c>
      <c r="G91" s="3">
        <f t="shared" si="13"/>
        <v>0</v>
      </c>
      <c r="H91" s="21">
        <f t="shared" si="14"/>
        <v>63.043298969072161</v>
      </c>
      <c r="I91" s="21">
        <f t="shared" si="15"/>
        <v>0</v>
      </c>
      <c r="J91" s="21">
        <f t="shared" si="16"/>
        <v>23.717010309278351</v>
      </c>
      <c r="K91" s="21">
        <f t="shared" si="17"/>
        <v>0</v>
      </c>
      <c r="L91" s="21">
        <f t="shared" si="11"/>
        <v>19.397938144329899</v>
      </c>
      <c r="M91" s="21">
        <f t="shared" si="18"/>
        <v>0</v>
      </c>
      <c r="N91" s="21">
        <f t="shared" si="19"/>
        <v>16.139690721649483</v>
      </c>
      <c r="O91" s="21">
        <f t="shared" si="20"/>
        <v>0</v>
      </c>
      <c r="P91" s="738"/>
    </row>
    <row r="92" spans="1:16" s="361" customFormat="1" ht="13.5" thickBot="1">
      <c r="A92" s="364"/>
      <c r="B92" s="102"/>
      <c r="C92" s="530" t="s">
        <v>493</v>
      </c>
      <c r="D92" s="535" t="s">
        <v>52</v>
      </c>
      <c r="E92" s="343">
        <v>49.175257731958766</v>
      </c>
      <c r="F92" s="23">
        <f t="shared" si="12"/>
        <v>29.505154639175259</v>
      </c>
      <c r="G92" s="3">
        <f t="shared" si="13"/>
        <v>0</v>
      </c>
      <c r="H92" s="21">
        <f t="shared" si="14"/>
        <v>2.4548288659793815</v>
      </c>
      <c r="I92" s="21">
        <f t="shared" si="15"/>
        <v>0</v>
      </c>
      <c r="J92" s="21">
        <f t="shared" si="16"/>
        <v>0.92351134020618564</v>
      </c>
      <c r="K92" s="21">
        <f t="shared" si="17"/>
        <v>0</v>
      </c>
      <c r="L92" s="21">
        <f t="shared" si="11"/>
        <v>0.75533195876288672</v>
      </c>
      <c r="M92" s="21">
        <f t="shared" si="18"/>
        <v>0</v>
      </c>
      <c r="N92" s="21">
        <f t="shared" si="19"/>
        <v>0.62845979381443307</v>
      </c>
      <c r="O92" s="21">
        <f t="shared" si="20"/>
        <v>0</v>
      </c>
      <c r="P92" s="738"/>
    </row>
    <row r="93" spans="1:16" s="361" customFormat="1" ht="13.5" thickBot="1">
      <c r="A93" s="364"/>
      <c r="B93" s="366"/>
      <c r="C93" s="705" t="s">
        <v>478</v>
      </c>
      <c r="D93" s="535" t="s">
        <v>3560</v>
      </c>
      <c r="E93" s="343">
        <v>27.319587628865982</v>
      </c>
      <c r="F93" s="23">
        <f t="shared" si="12"/>
        <v>16.39175257731959</v>
      </c>
      <c r="G93" s="3">
        <f t="shared" si="13"/>
        <v>0</v>
      </c>
      <c r="H93" s="21">
        <f t="shared" si="14"/>
        <v>1.3637938144329897</v>
      </c>
      <c r="I93" s="21">
        <f t="shared" si="15"/>
        <v>0</v>
      </c>
      <c r="J93" s="21">
        <f t="shared" si="16"/>
        <v>0.51306185567010321</v>
      </c>
      <c r="K93" s="21">
        <f t="shared" si="17"/>
        <v>0</v>
      </c>
      <c r="L93" s="21">
        <f t="shared" si="11"/>
        <v>0.41962886597938154</v>
      </c>
      <c r="M93" s="21">
        <f t="shared" si="18"/>
        <v>0</v>
      </c>
      <c r="N93" s="21">
        <f t="shared" si="19"/>
        <v>0.34914432989690725</v>
      </c>
      <c r="O93" s="21">
        <f t="shared" si="20"/>
        <v>0</v>
      </c>
      <c r="P93" s="738"/>
    </row>
    <row r="94" spans="1:16" s="361" customFormat="1" ht="13.5" thickBot="1">
      <c r="A94" s="364"/>
      <c r="B94" s="366"/>
      <c r="C94" s="703" t="s">
        <v>3814</v>
      </c>
      <c r="D94" s="536" t="s">
        <v>3815</v>
      </c>
      <c r="E94" s="538">
        <v>1386.5979381443299</v>
      </c>
      <c r="F94" s="23">
        <f t="shared" si="12"/>
        <v>831.95876288659792</v>
      </c>
      <c r="G94" s="3">
        <f t="shared" si="13"/>
        <v>0</v>
      </c>
      <c r="H94" s="21">
        <f t="shared" si="14"/>
        <v>69.218969072164938</v>
      </c>
      <c r="I94" s="21">
        <f t="shared" si="15"/>
        <v>0</v>
      </c>
      <c r="J94" s="21">
        <f t="shared" si="16"/>
        <v>26.040309278350517</v>
      </c>
      <c r="K94" s="21">
        <f t="shared" si="17"/>
        <v>0</v>
      </c>
      <c r="L94" s="21">
        <f t="shared" si="11"/>
        <v>21.298144329896907</v>
      </c>
      <c r="M94" s="21">
        <f t="shared" si="18"/>
        <v>0</v>
      </c>
      <c r="N94" s="21">
        <f t="shared" si="19"/>
        <v>17.720721649484535</v>
      </c>
      <c r="O94" s="21">
        <f t="shared" si="20"/>
        <v>0</v>
      </c>
      <c r="P94" s="738"/>
    </row>
    <row r="95" spans="1:16" s="361" customFormat="1" ht="13.5" thickBot="1">
      <c r="A95" s="364"/>
      <c r="B95" s="366"/>
      <c r="C95" s="531" t="s">
        <v>33</v>
      </c>
      <c r="D95" s="534" t="s">
        <v>3563</v>
      </c>
      <c r="E95" s="503">
        <v>30.927835051546392</v>
      </c>
      <c r="F95" s="23">
        <f t="shared" si="12"/>
        <v>18.556701030927833</v>
      </c>
      <c r="G95" s="3">
        <f t="shared" si="13"/>
        <v>0</v>
      </c>
      <c r="H95" s="21">
        <f t="shared" si="14"/>
        <v>1.5439175257731956</v>
      </c>
      <c r="I95" s="21">
        <f t="shared" si="15"/>
        <v>0</v>
      </c>
      <c r="J95" s="21">
        <f t="shared" si="16"/>
        <v>0.58082474226804115</v>
      </c>
      <c r="K95" s="21">
        <f t="shared" si="17"/>
        <v>0</v>
      </c>
      <c r="L95" s="21">
        <f t="shared" si="11"/>
        <v>0.47505154639175257</v>
      </c>
      <c r="M95" s="21">
        <f t="shared" si="18"/>
        <v>0</v>
      </c>
      <c r="N95" s="21">
        <f t="shared" si="19"/>
        <v>0.39525773195876285</v>
      </c>
      <c r="O95" s="21">
        <f t="shared" si="20"/>
        <v>0</v>
      </c>
      <c r="P95" s="738"/>
    </row>
    <row r="96" spans="1:16" s="361" customFormat="1" ht="13.5" thickBot="1">
      <c r="A96" s="364"/>
      <c r="B96" s="102"/>
      <c r="C96" s="90" t="s">
        <v>700</v>
      </c>
      <c r="D96" s="235" t="s">
        <v>3816</v>
      </c>
      <c r="E96" s="343">
        <v>268.04123711340208</v>
      </c>
      <c r="F96" s="23">
        <f t="shared" si="12"/>
        <v>160.82474226804123</v>
      </c>
      <c r="G96" s="3">
        <f t="shared" si="13"/>
        <v>0</v>
      </c>
      <c r="H96" s="21">
        <f t="shared" si="14"/>
        <v>13.38061855670103</v>
      </c>
      <c r="I96" s="21">
        <f t="shared" si="15"/>
        <v>0</v>
      </c>
      <c r="J96" s="21">
        <f t="shared" si="16"/>
        <v>5.0338144329896908</v>
      </c>
      <c r="K96" s="21">
        <f t="shared" si="17"/>
        <v>0</v>
      </c>
      <c r="L96" s="21">
        <f t="shared" si="11"/>
        <v>4.1171134020618556</v>
      </c>
      <c r="M96" s="21">
        <f t="shared" si="18"/>
        <v>0</v>
      </c>
      <c r="N96" s="21">
        <f t="shared" si="19"/>
        <v>3.4255670103092783</v>
      </c>
      <c r="O96" s="21">
        <f t="shared" si="20"/>
        <v>0</v>
      </c>
      <c r="P96" s="738"/>
    </row>
    <row r="97" spans="1:16" s="361" customFormat="1" ht="13.5" thickBot="1">
      <c r="A97" s="364"/>
      <c r="B97" s="369"/>
      <c r="C97" s="90" t="s">
        <v>701</v>
      </c>
      <c r="D97" s="235" t="s">
        <v>3617</v>
      </c>
      <c r="E97" s="343">
        <v>305.15463917525773</v>
      </c>
      <c r="F97" s="23">
        <f t="shared" si="12"/>
        <v>183.09278350515464</v>
      </c>
      <c r="G97" s="3">
        <f t="shared" si="13"/>
        <v>0</v>
      </c>
      <c r="H97" s="21">
        <f t="shared" si="14"/>
        <v>15.233319587628866</v>
      </c>
      <c r="I97" s="21">
        <f t="shared" si="15"/>
        <v>0</v>
      </c>
      <c r="J97" s="21">
        <f t="shared" si="16"/>
        <v>5.7308041237113407</v>
      </c>
      <c r="K97" s="21">
        <f t="shared" si="17"/>
        <v>0</v>
      </c>
      <c r="L97" s="21">
        <f t="shared" si="11"/>
        <v>4.6871752577319592</v>
      </c>
      <c r="M97" s="21">
        <f t="shared" si="18"/>
        <v>0</v>
      </c>
      <c r="N97" s="21">
        <f t="shared" si="19"/>
        <v>3.8998762886597937</v>
      </c>
      <c r="O97" s="21">
        <f t="shared" si="20"/>
        <v>0</v>
      </c>
      <c r="P97" s="738"/>
    </row>
    <row r="98" spans="1:16" s="361" customFormat="1" ht="13.5" thickBot="1">
      <c r="A98" s="364"/>
      <c r="B98" s="366"/>
      <c r="C98" s="90" t="s">
        <v>453</v>
      </c>
      <c r="D98" s="235" t="s">
        <v>3562</v>
      </c>
      <c r="E98" s="343">
        <v>115.4639175257732</v>
      </c>
      <c r="F98" s="23">
        <f t="shared" si="12"/>
        <v>69.278350515463913</v>
      </c>
      <c r="G98" s="3">
        <f t="shared" si="13"/>
        <v>0</v>
      </c>
      <c r="H98" s="21">
        <f t="shared" si="14"/>
        <v>5.7639587628865971</v>
      </c>
      <c r="I98" s="21">
        <f t="shared" si="15"/>
        <v>0</v>
      </c>
      <c r="J98" s="21">
        <f t="shared" si="16"/>
        <v>2.1684123711340204</v>
      </c>
      <c r="K98" s="21">
        <f t="shared" si="17"/>
        <v>0</v>
      </c>
      <c r="L98" s="21">
        <f t="shared" si="11"/>
        <v>1.7735257731958762</v>
      </c>
      <c r="M98" s="21">
        <f t="shared" si="18"/>
        <v>0</v>
      </c>
      <c r="N98" s="21">
        <f t="shared" si="19"/>
        <v>1.4756288659793813</v>
      </c>
      <c r="O98" s="21">
        <f t="shared" si="20"/>
        <v>0</v>
      </c>
      <c r="P98" s="738"/>
    </row>
    <row r="99" spans="1:16" s="151" customFormat="1" ht="13.5" thickBot="1">
      <c r="A99" s="364"/>
      <c r="B99" s="370"/>
      <c r="C99" s="523" t="s">
        <v>3604</v>
      </c>
      <c r="D99" s="526" t="s">
        <v>3598</v>
      </c>
      <c r="E99" s="446">
        <v>2577.319587628866</v>
      </c>
      <c r="F99" s="23">
        <f t="shared" si="12"/>
        <v>1546.3917525773195</v>
      </c>
      <c r="G99" s="3">
        <f t="shared" si="13"/>
        <v>0</v>
      </c>
      <c r="H99" s="21">
        <f t="shared" si="14"/>
        <v>128.65979381443299</v>
      </c>
      <c r="I99" s="21">
        <f t="shared" si="15"/>
        <v>0</v>
      </c>
      <c r="J99" s="21">
        <f t="shared" si="16"/>
        <v>48.402061855670105</v>
      </c>
      <c r="K99" s="21">
        <f t="shared" si="17"/>
        <v>0</v>
      </c>
      <c r="L99" s="21">
        <f t="shared" si="11"/>
        <v>39.587628865979383</v>
      </c>
      <c r="M99" s="21">
        <f t="shared" si="18"/>
        <v>0</v>
      </c>
      <c r="N99" s="21">
        <f t="shared" si="19"/>
        <v>32.938144329896907</v>
      </c>
      <c r="O99" s="21">
        <f t="shared" si="20"/>
        <v>0</v>
      </c>
      <c r="P99" s="738"/>
    </row>
    <row r="100" spans="1:16" s="361" customFormat="1" ht="13.5" thickBot="1">
      <c r="A100" s="373"/>
      <c r="B100" s="374"/>
      <c r="C100" s="90" t="s">
        <v>3493</v>
      </c>
      <c r="D100" s="235" t="s">
        <v>3516</v>
      </c>
      <c r="E100" s="343">
        <v>5164.9484536082473</v>
      </c>
      <c r="F100" s="23">
        <f t="shared" si="12"/>
        <v>3098.9690721649481</v>
      </c>
      <c r="G100" s="3">
        <f t="shared" si="13"/>
        <v>0</v>
      </c>
      <c r="H100" s="21">
        <f t="shared" si="14"/>
        <v>257.83422680412366</v>
      </c>
      <c r="I100" s="21">
        <f t="shared" si="15"/>
        <v>0</v>
      </c>
      <c r="J100" s="21">
        <f t="shared" si="16"/>
        <v>96.997731958762884</v>
      </c>
      <c r="K100" s="21">
        <f t="shared" si="17"/>
        <v>0</v>
      </c>
      <c r="L100" s="21">
        <f t="shared" si="11"/>
        <v>79.333608247422674</v>
      </c>
      <c r="M100" s="21">
        <f t="shared" si="18"/>
        <v>0</v>
      </c>
      <c r="N100" s="21">
        <f t="shared" si="19"/>
        <v>66.008041237113389</v>
      </c>
      <c r="O100" s="21">
        <f t="shared" si="20"/>
        <v>0</v>
      </c>
      <c r="P100" s="738"/>
    </row>
    <row r="101" spans="1:16" s="361" customFormat="1" ht="15">
      <c r="B101" s="375"/>
      <c r="C101" s="375"/>
      <c r="D101" s="997" t="s">
        <v>183</v>
      </c>
      <c r="E101" s="998"/>
      <c r="F101" s="998"/>
      <c r="G101" s="9">
        <f t="array" ref="G101">SUM(G46:G100)+G37:G46:G100+G40:G46:G100+G43</f>
        <v>0</v>
      </c>
      <c r="H101" s="143" t="s">
        <v>184</v>
      </c>
      <c r="I101" s="9">
        <f t="array" ref="I101">SUM(I46:I100)+I37:I46:I100+I40:I46:I100+I43</f>
        <v>0</v>
      </c>
      <c r="J101" s="143" t="s">
        <v>185</v>
      </c>
      <c r="K101" s="9">
        <f t="array" ref="K101">SUM(K46:K100)+K37:K46:K100+K40:K46:K100+K43</f>
        <v>0</v>
      </c>
      <c r="L101" s="143" t="s">
        <v>186</v>
      </c>
      <c r="M101" s="9">
        <f t="array" ref="M101">SUM(M46:M100)+M37:M46:M100+M40:M46:M100+M43</f>
        <v>0</v>
      </c>
      <c r="N101" s="143" t="s">
        <v>187</v>
      </c>
      <c r="O101" s="9">
        <f t="array" ref="O101">SUM(O46:O100)+O37:O46:O100+O40:O46:O100+O43</f>
        <v>0</v>
      </c>
    </row>
    <row r="102" spans="1:16" s="375" customFormat="1">
      <c r="F102" s="241"/>
      <c r="G102" s="241"/>
      <c r="H102" s="376"/>
    </row>
    <row r="103" spans="1:16" s="375" customFormat="1" ht="15" customHeight="1">
      <c r="B103" s="377"/>
      <c r="F103" s="241"/>
      <c r="G103" s="241"/>
    </row>
    <row r="104" spans="1:16" s="375" customFormat="1" ht="15" customHeight="1">
      <c r="B104" s="377"/>
      <c r="F104" s="241"/>
      <c r="G104" s="241"/>
    </row>
    <row r="105" spans="1:16" s="375" customFormat="1">
      <c r="F105" s="241"/>
      <c r="G105" s="241"/>
    </row>
    <row r="106" spans="1:16" s="375" customFormat="1">
      <c r="F106" s="241"/>
      <c r="G106" s="241"/>
    </row>
    <row r="107" spans="1:16" s="375" customFormat="1">
      <c r="F107" s="241"/>
      <c r="G107" s="241"/>
    </row>
    <row r="108" spans="1:16" s="375" customFormat="1">
      <c r="F108" s="241"/>
      <c r="G108" s="241"/>
    </row>
    <row r="109" spans="1:16" s="375" customFormat="1">
      <c r="F109" s="241"/>
      <c r="G109" s="241"/>
    </row>
    <row r="110" spans="1:16" s="375" customFormat="1">
      <c r="F110" s="241"/>
      <c r="G110" s="241"/>
    </row>
    <row r="111" spans="1:16" s="375" customFormat="1">
      <c r="F111" s="241"/>
      <c r="G111" s="241"/>
    </row>
    <row r="112" spans="1:16" s="375" customFormat="1">
      <c r="F112" s="241"/>
      <c r="G112" s="241"/>
    </row>
    <row r="113" spans="2:7" s="375" customFormat="1">
      <c r="F113" s="241"/>
      <c r="G113" s="241"/>
    </row>
    <row r="114" spans="2:7" s="375" customFormat="1">
      <c r="F114" s="241"/>
      <c r="G114" s="241"/>
    </row>
    <row r="115" spans="2:7" s="375" customFormat="1">
      <c r="F115" s="241"/>
      <c r="G115" s="241"/>
    </row>
    <row r="116" spans="2:7" s="375" customFormat="1">
      <c r="F116" s="241"/>
      <c r="G116" s="241"/>
    </row>
    <row r="117" spans="2:7" s="375" customFormat="1">
      <c r="F117" s="241"/>
      <c r="G117" s="241"/>
    </row>
    <row r="118" spans="2:7" s="375" customFormat="1">
      <c r="F118" s="241"/>
      <c r="G118" s="241"/>
    </row>
    <row r="119" spans="2:7" s="375" customFormat="1">
      <c r="F119" s="241"/>
      <c r="G119" s="241"/>
    </row>
    <row r="120" spans="2:7" s="375" customFormat="1">
      <c r="B120" s="377"/>
      <c r="C120" s="377"/>
      <c r="F120" s="241"/>
      <c r="G120" s="241"/>
    </row>
    <row r="121" spans="2:7" s="375" customFormat="1">
      <c r="F121" s="241"/>
      <c r="G121" s="241"/>
    </row>
    <row r="122" spans="2:7" s="375" customFormat="1">
      <c r="F122" s="241"/>
      <c r="G122" s="241"/>
    </row>
    <row r="123" spans="2:7" s="375" customFormat="1">
      <c r="F123" s="241"/>
      <c r="G123" s="241"/>
    </row>
    <row r="124" spans="2:7" s="375" customFormat="1">
      <c r="F124" s="241"/>
      <c r="G124" s="241"/>
    </row>
    <row r="125" spans="2:7" s="375" customFormat="1">
      <c r="F125" s="241"/>
      <c r="G125" s="241"/>
    </row>
    <row r="126" spans="2:7" s="375" customFormat="1">
      <c r="F126" s="241"/>
      <c r="G126" s="241"/>
    </row>
    <row r="127" spans="2:7" s="375" customFormat="1">
      <c r="F127" s="241"/>
      <c r="G127" s="241"/>
    </row>
    <row r="128" spans="2:7" s="375" customFormat="1">
      <c r="F128" s="241"/>
      <c r="G128" s="241"/>
    </row>
    <row r="129" spans="6:7" s="375" customFormat="1">
      <c r="F129" s="241"/>
      <c r="G129" s="241"/>
    </row>
    <row r="130" spans="6:7" s="375" customFormat="1">
      <c r="F130" s="241"/>
      <c r="G130" s="241"/>
    </row>
    <row r="131" spans="6:7" s="375" customFormat="1">
      <c r="F131" s="241"/>
      <c r="G131" s="241"/>
    </row>
    <row r="132" spans="6:7" s="375" customFormat="1">
      <c r="F132" s="241"/>
      <c r="G132" s="241"/>
    </row>
    <row r="133" spans="6:7" s="375" customFormat="1">
      <c r="F133" s="241"/>
      <c r="G133" s="241"/>
    </row>
    <row r="134" spans="6:7" s="375" customFormat="1">
      <c r="F134" s="241"/>
      <c r="G134" s="241"/>
    </row>
    <row r="135" spans="6:7" s="375" customFormat="1">
      <c r="F135" s="241"/>
      <c r="G135" s="241"/>
    </row>
    <row r="136" spans="6:7" s="375" customFormat="1">
      <c r="F136" s="241"/>
      <c r="G136" s="241"/>
    </row>
    <row r="137" spans="6:7" s="375" customFormat="1">
      <c r="F137" s="241"/>
      <c r="G137" s="241"/>
    </row>
    <row r="138" spans="6:7" s="375" customFormat="1">
      <c r="F138" s="241"/>
      <c r="G138" s="241"/>
    </row>
    <row r="139" spans="6:7" s="375" customFormat="1">
      <c r="F139" s="241"/>
      <c r="G139" s="241"/>
    </row>
    <row r="140" spans="6:7" s="375" customFormat="1">
      <c r="F140" s="241"/>
      <c r="G140" s="241"/>
    </row>
    <row r="141" spans="6:7" s="375" customFormat="1">
      <c r="F141" s="241"/>
      <c r="G141" s="241"/>
    </row>
    <row r="142" spans="6:7" s="375" customFormat="1">
      <c r="F142" s="241"/>
      <c r="G142" s="241"/>
    </row>
    <row r="143" spans="6:7" s="375" customFormat="1">
      <c r="F143" s="241"/>
      <c r="G143" s="241"/>
    </row>
    <row r="144" spans="6:7" s="375" customFormat="1">
      <c r="F144" s="241"/>
      <c r="G144" s="241"/>
    </row>
    <row r="145" spans="6:7" s="375" customFormat="1">
      <c r="F145" s="241"/>
      <c r="G145" s="241"/>
    </row>
    <row r="146" spans="6:7" s="375" customFormat="1">
      <c r="F146" s="241"/>
      <c r="G146" s="241"/>
    </row>
    <row r="147" spans="6:7" s="375" customFormat="1">
      <c r="F147" s="241"/>
      <c r="G147" s="241"/>
    </row>
    <row r="148" spans="6:7" s="375" customFormat="1">
      <c r="F148" s="241"/>
      <c r="G148" s="241"/>
    </row>
    <row r="149" spans="6:7" s="375" customFormat="1">
      <c r="F149" s="241"/>
      <c r="G149" s="241"/>
    </row>
    <row r="150" spans="6:7" s="375" customFormat="1">
      <c r="F150" s="241"/>
      <c r="G150" s="241"/>
    </row>
    <row r="151" spans="6:7" s="375" customFormat="1">
      <c r="F151" s="241"/>
      <c r="G151" s="241"/>
    </row>
    <row r="152" spans="6:7" s="375" customFormat="1">
      <c r="F152" s="241"/>
      <c r="G152" s="241"/>
    </row>
    <row r="153" spans="6:7" s="375" customFormat="1">
      <c r="F153" s="241"/>
      <c r="G153" s="241"/>
    </row>
    <row r="154" spans="6:7" s="375" customFormat="1">
      <c r="F154" s="241"/>
      <c r="G154" s="241"/>
    </row>
    <row r="155" spans="6:7" s="375" customFormat="1">
      <c r="F155" s="241"/>
      <c r="G155" s="241"/>
    </row>
    <row r="156" spans="6:7" s="375" customFormat="1">
      <c r="F156" s="241"/>
      <c r="G156" s="241"/>
    </row>
    <row r="157" spans="6:7" s="375" customFormat="1">
      <c r="F157" s="241"/>
      <c r="G157" s="241"/>
    </row>
    <row r="158" spans="6:7" s="375" customFormat="1">
      <c r="F158" s="241"/>
      <c r="G158" s="241"/>
    </row>
    <row r="159" spans="6:7" s="375" customFormat="1">
      <c r="F159" s="241"/>
      <c r="G159" s="241"/>
    </row>
    <row r="160" spans="6:7" s="375" customFormat="1">
      <c r="F160" s="241"/>
      <c r="G160" s="241"/>
    </row>
    <row r="161" spans="6:7" s="375" customFormat="1">
      <c r="F161" s="241"/>
      <c r="G161" s="241"/>
    </row>
    <row r="162" spans="6:7" s="375" customFormat="1">
      <c r="F162" s="241"/>
      <c r="G162" s="241"/>
    </row>
    <row r="163" spans="6:7" s="375" customFormat="1">
      <c r="F163" s="241"/>
      <c r="G163" s="241"/>
    </row>
    <row r="164" spans="6:7" s="375" customFormat="1">
      <c r="F164" s="241"/>
      <c r="G164" s="241"/>
    </row>
    <row r="165" spans="6:7" s="375" customFormat="1">
      <c r="F165" s="241"/>
      <c r="G165" s="241"/>
    </row>
    <row r="166" spans="6:7" s="375" customFormat="1">
      <c r="F166" s="241"/>
      <c r="G166" s="241"/>
    </row>
    <row r="167" spans="6:7" s="375" customFormat="1">
      <c r="F167" s="241"/>
      <c r="G167" s="241"/>
    </row>
    <row r="168" spans="6:7" s="375" customFormat="1">
      <c r="F168" s="241"/>
      <c r="G168" s="241"/>
    </row>
    <row r="169" spans="6:7" s="375" customFormat="1">
      <c r="F169" s="241"/>
      <c r="G169" s="241"/>
    </row>
    <row r="170" spans="6:7" s="375" customFormat="1">
      <c r="F170" s="241"/>
      <c r="G170" s="241"/>
    </row>
    <row r="171" spans="6:7" s="375" customFormat="1">
      <c r="F171" s="241"/>
      <c r="G171" s="241"/>
    </row>
    <row r="172" spans="6:7" s="375" customFormat="1">
      <c r="F172" s="241"/>
      <c r="G172" s="241"/>
    </row>
    <row r="173" spans="6:7" s="375" customFormat="1">
      <c r="F173" s="241"/>
      <c r="G173" s="241"/>
    </row>
    <row r="174" spans="6:7" s="375" customFormat="1">
      <c r="F174" s="241"/>
      <c r="G174" s="241"/>
    </row>
    <row r="175" spans="6:7" s="375" customFormat="1">
      <c r="F175" s="241"/>
      <c r="G175" s="241"/>
    </row>
    <row r="176" spans="6:7" s="375" customFormat="1">
      <c r="F176" s="241"/>
      <c r="G176" s="241"/>
    </row>
    <row r="177" spans="6:7" s="375" customFormat="1">
      <c r="F177" s="241"/>
      <c r="G177" s="241"/>
    </row>
    <row r="178" spans="6:7" s="375" customFormat="1">
      <c r="F178" s="241"/>
      <c r="G178" s="241"/>
    </row>
    <row r="179" spans="6:7" s="375" customFormat="1">
      <c r="F179" s="241"/>
      <c r="G179" s="241"/>
    </row>
    <row r="180" spans="6:7" s="375" customFormat="1">
      <c r="F180" s="241"/>
      <c r="G180" s="241"/>
    </row>
    <row r="181" spans="6:7" s="375" customFormat="1">
      <c r="F181" s="241"/>
      <c r="G181" s="241"/>
    </row>
    <row r="182" spans="6:7" s="375" customFormat="1">
      <c r="F182" s="241"/>
      <c r="G182" s="241"/>
    </row>
    <row r="183" spans="6:7" s="375" customFormat="1">
      <c r="F183" s="241"/>
      <c r="G183" s="241"/>
    </row>
    <row r="184" spans="6:7" s="375" customFormat="1">
      <c r="F184" s="241"/>
      <c r="G184" s="241"/>
    </row>
    <row r="185" spans="6:7" s="375" customFormat="1">
      <c r="F185" s="241"/>
      <c r="G185" s="241"/>
    </row>
    <row r="186" spans="6:7" s="375" customFormat="1">
      <c r="F186" s="241"/>
      <c r="G186" s="241"/>
    </row>
    <row r="187" spans="6:7" s="375" customFormat="1">
      <c r="F187" s="241"/>
      <c r="G187" s="241"/>
    </row>
    <row r="188" spans="6:7" s="375" customFormat="1">
      <c r="F188" s="241"/>
      <c r="G188" s="241"/>
    </row>
    <row r="189" spans="6:7" s="375" customFormat="1">
      <c r="F189" s="241"/>
      <c r="G189" s="241"/>
    </row>
    <row r="190" spans="6:7" s="375" customFormat="1">
      <c r="F190" s="241"/>
      <c r="G190" s="241"/>
    </row>
    <row r="191" spans="6:7" s="375" customFormat="1">
      <c r="F191" s="241"/>
      <c r="G191" s="241"/>
    </row>
    <row r="192" spans="6:7" s="375" customFormat="1">
      <c r="F192" s="241"/>
      <c r="G192" s="241"/>
    </row>
    <row r="193" spans="6:8" s="375" customFormat="1">
      <c r="F193" s="241"/>
      <c r="G193" s="241"/>
    </row>
    <row r="194" spans="6:8" s="375" customFormat="1">
      <c r="F194" s="241"/>
      <c r="G194" s="241"/>
    </row>
    <row r="195" spans="6:8" s="375" customFormat="1">
      <c r="F195" s="241"/>
      <c r="G195" s="241"/>
    </row>
    <row r="196" spans="6:8" s="375" customFormat="1">
      <c r="F196" s="241"/>
      <c r="G196" s="241"/>
    </row>
    <row r="197" spans="6:8" s="375" customFormat="1">
      <c r="F197" s="241"/>
      <c r="G197" s="241"/>
    </row>
    <row r="198" spans="6:8" s="375" customFormat="1">
      <c r="F198" s="241"/>
      <c r="G198" s="241"/>
    </row>
    <row r="199" spans="6:8" s="375" customFormat="1">
      <c r="F199" s="241"/>
      <c r="G199" s="241"/>
    </row>
    <row r="200" spans="6:8" s="375" customFormat="1">
      <c r="F200" s="241"/>
      <c r="G200" s="241"/>
    </row>
    <row r="201" spans="6:8" s="375" customFormat="1">
      <c r="F201" s="241"/>
      <c r="G201" s="241"/>
    </row>
    <row r="202" spans="6:8" s="375" customFormat="1">
      <c r="F202" s="241"/>
      <c r="G202" s="241"/>
    </row>
    <row r="203" spans="6:8" s="375" customFormat="1">
      <c r="F203" s="241"/>
      <c r="G203" s="241"/>
    </row>
    <row r="204" spans="6:8" s="375" customFormat="1">
      <c r="F204" s="241"/>
      <c r="G204" s="241"/>
    </row>
    <row r="205" spans="6:8" s="375" customFormat="1">
      <c r="F205" s="241"/>
      <c r="G205" s="241"/>
    </row>
    <row r="206" spans="6:8" s="375" customFormat="1">
      <c r="F206" s="241"/>
      <c r="G206" s="241"/>
      <c r="H206" s="104"/>
    </row>
  </sheetData>
  <mergeCells count="57">
    <mergeCell ref="A31:C31"/>
    <mergeCell ref="A40:A41"/>
    <mergeCell ref="A37:A38"/>
    <mergeCell ref="I32:K32"/>
    <mergeCell ref="L32:M32"/>
    <mergeCell ref="M40:M41"/>
    <mergeCell ref="K40:K41"/>
    <mergeCell ref="K37:K38"/>
    <mergeCell ref="L31:M31"/>
    <mergeCell ref="I37:I38"/>
    <mergeCell ref="B40:B41"/>
    <mergeCell ref="B37:B38"/>
    <mergeCell ref="G40:G41"/>
    <mergeCell ref="G37:G38"/>
    <mergeCell ref="F35:G35"/>
    <mergeCell ref="M37:M38"/>
    <mergeCell ref="D101:F101"/>
    <mergeCell ref="K43:K44"/>
    <mergeCell ref="G43:G44"/>
    <mergeCell ref="I43:I44"/>
    <mergeCell ref="A45:O45"/>
    <mergeCell ref="O43:O44"/>
    <mergeCell ref="A43:A44"/>
    <mergeCell ref="B43:B44"/>
    <mergeCell ref="M43:M44"/>
    <mergeCell ref="A4:O4"/>
    <mergeCell ref="L28:M28"/>
    <mergeCell ref="N28:O28"/>
    <mergeCell ref="F10:I10"/>
    <mergeCell ref="N32:O32"/>
    <mergeCell ref="N31:O31"/>
    <mergeCell ref="A32:C32"/>
    <mergeCell ref="A26:O26"/>
    <mergeCell ref="E27:K27"/>
    <mergeCell ref="N29:O29"/>
    <mergeCell ref="I28:K28"/>
    <mergeCell ref="A27:D27"/>
    <mergeCell ref="L29:M29"/>
    <mergeCell ref="E30:H30"/>
    <mergeCell ref="E32:H32"/>
    <mergeCell ref="A29:C29"/>
    <mergeCell ref="O40:O41"/>
    <mergeCell ref="I40:I41"/>
    <mergeCell ref="A5:O5"/>
    <mergeCell ref="L30:M30"/>
    <mergeCell ref="N30:O30"/>
    <mergeCell ref="I29:K29"/>
    <mergeCell ref="I30:K30"/>
    <mergeCell ref="A30:C30"/>
    <mergeCell ref="A28:C28"/>
    <mergeCell ref="E29:H29"/>
    <mergeCell ref="L27:O27"/>
    <mergeCell ref="E28:H28"/>
    <mergeCell ref="O37:O38"/>
    <mergeCell ref="E31:H31"/>
    <mergeCell ref="I31:K31"/>
    <mergeCell ref="H35:O35"/>
  </mergeCells>
  <phoneticPr fontId="0" type="noConversion"/>
  <pageMargins left="0.25" right="0.23" top="0.37" bottom="0.43" header="0.18" footer="0.22"/>
  <pageSetup scale="35" firstPageNumber="6" orientation="landscape" useFirstPageNumber="1" r:id="rId1"/>
  <headerFooter alignWithMargins="0">
    <oddHeader>&amp;L&amp;"Arial,Bold"VITA CONTRACT #: VA-XXXXXX-VBS&amp;R&amp;"Arial,Bold"Segment # 15</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FC715-F415-4DA4-8634-DF5E426998E5}">
  <sheetPr>
    <tabColor indexed="62"/>
  </sheetPr>
  <dimension ref="A1:P118"/>
  <sheetViews>
    <sheetView topLeftCell="A15" zoomScale="82" zoomScaleNormal="82" workbookViewId="0">
      <selection activeCell="D47" sqref="D47"/>
    </sheetView>
  </sheetViews>
  <sheetFormatPr defaultColWidth="8.85546875" defaultRowHeight="12.75"/>
  <cols>
    <col min="1" max="1" width="14.42578125" style="378" customWidth="1"/>
    <col min="2" max="2" width="9.42578125" style="378" customWidth="1"/>
    <col min="3" max="3" width="15.42578125" style="769" bestFit="1" customWidth="1"/>
    <col min="4" max="4" width="50.28515625" style="378" customWidth="1"/>
    <col min="5" max="5" width="17.42578125" style="378" customWidth="1"/>
    <col min="6" max="6" width="19" style="455" customWidth="1"/>
    <col min="7" max="7" width="15.42578125" style="378" customWidth="1"/>
    <col min="8" max="8" width="28.28515625" style="378" bestFit="1" customWidth="1"/>
    <col min="9" max="9" width="20.140625" style="378" customWidth="1"/>
    <col min="10" max="10" width="25" style="378" bestFit="1" customWidth="1"/>
    <col min="11" max="11" width="19" style="378" customWidth="1"/>
    <col min="12" max="12" width="25" style="378" bestFit="1" customWidth="1"/>
    <col min="13" max="13" width="17" style="378" customWidth="1"/>
    <col min="14" max="14" width="25" style="378" bestFit="1" customWidth="1"/>
    <col min="15" max="15" width="18.85546875" style="378" customWidth="1"/>
    <col min="16" max="16" width="12.42578125" style="378" customWidth="1"/>
    <col min="17" max="16384" width="8.85546875" style="378"/>
  </cols>
  <sheetData>
    <row r="1" spans="1:15" ht="13.5" thickBot="1">
      <c r="B1" s="381"/>
      <c r="C1" s="852"/>
      <c r="D1" s="380"/>
      <c r="E1" s="380"/>
      <c r="F1" s="381"/>
      <c r="G1" s="381"/>
      <c r="H1" s="381"/>
      <c r="I1" s="381"/>
      <c r="J1" s="381"/>
      <c r="K1" s="380"/>
      <c r="L1" s="381"/>
    </row>
    <row r="2" spans="1:15" ht="9" customHeight="1">
      <c r="A2" s="382"/>
      <c r="B2" s="386"/>
      <c r="C2" s="854"/>
      <c r="D2" s="384"/>
      <c r="E2" s="384"/>
      <c r="F2" s="385"/>
      <c r="G2" s="386"/>
      <c r="H2" s="385"/>
      <c r="I2" s="386"/>
      <c r="J2" s="386"/>
      <c r="K2" s="386"/>
      <c r="L2" s="386"/>
      <c r="M2" s="382"/>
      <c r="N2" s="382"/>
      <c r="O2" s="382"/>
    </row>
    <row r="3" spans="1:15" ht="10.5" customHeight="1">
      <c r="B3" s="387"/>
      <c r="C3" s="852"/>
      <c r="D3" s="380"/>
      <c r="E3" s="380"/>
      <c r="F3" s="381"/>
      <c r="G3" s="387"/>
      <c r="H3" s="381"/>
      <c r="I3" s="387"/>
      <c r="J3" s="387"/>
      <c r="K3" s="387"/>
      <c r="L3" s="387"/>
    </row>
    <row r="4" spans="1:15" ht="36" customHeight="1">
      <c r="A4" s="1022" t="s">
        <v>4483</v>
      </c>
      <c r="B4" s="1023"/>
      <c r="C4" s="1023"/>
      <c r="D4" s="1023"/>
      <c r="E4" s="1023"/>
      <c r="F4" s="1023"/>
      <c r="G4" s="1023"/>
      <c r="H4" s="1023"/>
      <c r="I4" s="1023"/>
      <c r="J4" s="1023"/>
      <c r="K4" s="1023"/>
      <c r="L4" s="1023"/>
      <c r="M4" s="1023"/>
      <c r="N4" s="1023"/>
      <c r="O4" s="1023"/>
    </row>
    <row r="5" spans="1:15" s="388" customFormat="1" ht="37.5" customHeight="1">
      <c r="A5" s="1142" t="s">
        <v>3591</v>
      </c>
      <c r="B5" s="1142"/>
      <c r="C5" s="1142"/>
      <c r="D5" s="1142"/>
      <c r="E5" s="1142"/>
      <c r="F5" s="1142"/>
      <c r="G5" s="1142"/>
      <c r="H5" s="1142"/>
      <c r="I5" s="1142"/>
      <c r="J5" s="1142"/>
      <c r="K5" s="1142"/>
      <c r="L5" s="1142"/>
      <c r="M5" s="1142"/>
      <c r="N5" s="1142"/>
      <c r="O5" s="1142"/>
    </row>
    <row r="6" spans="1:15" ht="12" customHeight="1" thickBot="1">
      <c r="A6" s="389"/>
      <c r="B6" s="389"/>
      <c r="C6" s="389"/>
      <c r="D6" s="389"/>
      <c r="E6" s="389"/>
      <c r="F6" s="389"/>
      <c r="G6" s="389"/>
      <c r="H6" s="389"/>
      <c r="I6" s="389"/>
      <c r="J6" s="389"/>
      <c r="K6" s="389"/>
      <c r="L6" s="389"/>
      <c r="M6" s="389"/>
      <c r="N6" s="389"/>
      <c r="O6" s="389"/>
    </row>
    <row r="8" spans="1:15" s="387" customFormat="1" ht="14.25">
      <c r="C8" s="404"/>
      <c r="F8" s="616"/>
      <c r="G8" s="616"/>
      <c r="H8" s="1026" t="s">
        <v>3</v>
      </c>
      <c r="I8" s="1026"/>
      <c r="J8" s="1026"/>
      <c r="K8" s="717"/>
    </row>
    <row r="9" spans="1:15" s="387" customFormat="1" ht="14.25">
      <c r="C9" s="404"/>
      <c r="H9" s="397" t="s">
        <v>4</v>
      </c>
      <c r="I9" s="196" t="s">
        <v>133</v>
      </c>
    </row>
    <row r="10" spans="1:15" s="387" customFormat="1">
      <c r="B10" s="404"/>
      <c r="C10" s="404"/>
      <c r="G10" s="404"/>
      <c r="H10" s="392" t="s">
        <v>5</v>
      </c>
      <c r="I10" s="250" t="s">
        <v>3579</v>
      </c>
      <c r="J10" s="404"/>
      <c r="K10" s="395"/>
      <c r="L10" s="404"/>
    </row>
    <row r="11" spans="1:15" s="387" customFormat="1" ht="12.75" customHeight="1">
      <c r="B11" s="768"/>
      <c r="C11" s="404"/>
      <c r="F11" s="616"/>
      <c r="G11" s="768"/>
      <c r="H11" s="398" t="s">
        <v>8</v>
      </c>
      <c r="I11" s="495">
        <v>200000</v>
      </c>
      <c r="J11" s="768"/>
      <c r="L11" s="768"/>
    </row>
    <row r="12" spans="1:15" s="387" customFormat="1">
      <c r="B12" s="404"/>
      <c r="C12" s="404"/>
      <c r="F12" s="616"/>
      <c r="G12" s="404"/>
      <c r="H12" s="392" t="s">
        <v>9</v>
      </c>
      <c r="I12" s="496" t="s">
        <v>108</v>
      </c>
      <c r="J12" s="404"/>
      <c r="L12" s="404"/>
    </row>
    <row r="13" spans="1:15" s="387" customFormat="1">
      <c r="C13" s="894"/>
      <c r="F13" s="616"/>
      <c r="H13" s="392" t="s">
        <v>10</v>
      </c>
      <c r="I13" s="196" t="s">
        <v>255</v>
      </c>
    </row>
    <row r="14" spans="1:15" s="387" customFormat="1">
      <c r="C14" s="404"/>
      <c r="F14" s="616"/>
      <c r="H14" s="392" t="s">
        <v>11</v>
      </c>
      <c r="I14" s="196" t="s">
        <v>3618</v>
      </c>
    </row>
    <row r="15" spans="1:15" s="387" customFormat="1">
      <c r="C15" s="404"/>
      <c r="F15" s="424"/>
      <c r="H15" s="392" t="s">
        <v>12</v>
      </c>
      <c r="I15" s="196" t="s">
        <v>3626</v>
      </c>
    </row>
    <row r="16" spans="1:15" s="387" customFormat="1">
      <c r="C16" s="404"/>
      <c r="F16" s="616"/>
      <c r="H16" s="392" t="s">
        <v>13</v>
      </c>
      <c r="I16" s="196" t="s">
        <v>14</v>
      </c>
    </row>
    <row r="17" spans="1:15" s="387" customFormat="1">
      <c r="C17" s="404"/>
      <c r="F17" s="616"/>
      <c r="H17" s="392"/>
      <c r="I17" s="196" t="s">
        <v>36</v>
      </c>
    </row>
    <row r="18" spans="1:15" s="387" customFormat="1">
      <c r="C18" s="404"/>
      <c r="H18" s="392"/>
      <c r="I18" s="196" t="s">
        <v>37</v>
      </c>
    </row>
    <row r="19" spans="1:15" s="387" customFormat="1">
      <c r="C19" s="404"/>
      <c r="F19" s="616"/>
      <c r="H19" s="392" t="s">
        <v>15</v>
      </c>
      <c r="I19" s="196" t="s">
        <v>38</v>
      </c>
    </row>
    <row r="20" spans="1:15" s="387" customFormat="1">
      <c r="C20" s="404"/>
      <c r="F20" s="616"/>
      <c r="H20" s="392" t="s">
        <v>16</v>
      </c>
      <c r="I20" s="196" t="s">
        <v>39</v>
      </c>
    </row>
    <row r="21" spans="1:15" s="387" customFormat="1">
      <c r="B21" s="404"/>
      <c r="C21" s="404"/>
      <c r="F21" s="616"/>
      <c r="G21" s="404"/>
      <c r="H21" s="392" t="s">
        <v>18</v>
      </c>
      <c r="I21" s="250" t="s">
        <v>111</v>
      </c>
      <c r="J21" s="404"/>
      <c r="L21" s="404"/>
    </row>
    <row r="22" spans="1:15" s="387" customFormat="1" ht="12" customHeight="1">
      <c r="C22" s="404"/>
      <c r="F22" s="616"/>
      <c r="H22" s="392" t="s">
        <v>19</v>
      </c>
      <c r="I22" s="196" t="s">
        <v>3581</v>
      </c>
    </row>
    <row r="23" spans="1:15" s="387" customFormat="1" ht="15.75" customHeight="1">
      <c r="C23" s="404"/>
      <c r="D23" s="1027"/>
      <c r="E23" s="399"/>
      <c r="F23" s="405"/>
      <c r="H23" s="392" t="s">
        <v>20</v>
      </c>
      <c r="I23" s="196" t="s">
        <v>3620</v>
      </c>
      <c r="K23" s="895"/>
    </row>
    <row r="24" spans="1:15" s="387" customFormat="1" ht="12.75" customHeight="1">
      <c r="C24" s="404"/>
      <c r="D24" s="1027"/>
      <c r="E24" s="399"/>
      <c r="F24" s="405"/>
      <c r="H24" s="392" t="s">
        <v>21</v>
      </c>
      <c r="I24" s="196" t="s">
        <v>3627</v>
      </c>
    </row>
    <row r="25" spans="1:15" s="387" customFormat="1" ht="12.75" customHeight="1">
      <c r="C25" s="404"/>
      <c r="D25" s="399"/>
      <c r="E25" s="399"/>
      <c r="F25" s="405"/>
      <c r="H25" s="392" t="s">
        <v>22</v>
      </c>
      <c r="I25" s="196" t="s">
        <v>3622</v>
      </c>
    </row>
    <row r="26" spans="1:15" s="387" customFormat="1" ht="15" thickBot="1">
      <c r="A26" s="1104" t="s">
        <v>23</v>
      </c>
      <c r="B26" s="1187"/>
      <c r="C26" s="1187"/>
      <c r="D26" s="1187"/>
      <c r="E26" s="1187"/>
      <c r="F26" s="1187"/>
      <c r="G26" s="1187"/>
      <c r="H26" s="1187"/>
      <c r="I26" s="1187"/>
      <c r="J26" s="1187"/>
      <c r="K26" s="1187"/>
      <c r="L26" s="1187"/>
      <c r="M26" s="1187"/>
      <c r="N26" s="1187"/>
      <c r="O26" s="1187"/>
    </row>
    <row r="27" spans="1:15" s="387" customFormat="1" ht="14.25">
      <c r="A27" s="1098" t="s">
        <v>112</v>
      </c>
      <c r="B27" s="1099"/>
      <c r="C27" s="1099"/>
      <c r="D27" s="1100"/>
      <c r="E27" s="1101" t="s">
        <v>113</v>
      </c>
      <c r="F27" s="1184"/>
      <c r="G27" s="1184"/>
      <c r="H27" s="1184"/>
      <c r="I27" s="1184"/>
      <c r="J27" s="1185"/>
      <c r="K27" s="1098" t="s">
        <v>114</v>
      </c>
      <c r="L27" s="1099"/>
      <c r="M27" s="1099"/>
      <c r="N27" s="1099"/>
      <c r="O27" s="1100"/>
    </row>
    <row r="28" spans="1:15" s="387" customFormat="1" ht="12.75" customHeight="1">
      <c r="A28" s="1030" t="s">
        <v>160</v>
      </c>
      <c r="B28" s="1031"/>
      <c r="C28" s="1031"/>
      <c r="D28" s="401" t="s">
        <v>161</v>
      </c>
      <c r="E28" s="1030" t="s">
        <v>160</v>
      </c>
      <c r="F28" s="1031"/>
      <c r="G28" s="1031"/>
      <c r="H28" s="1031"/>
      <c r="I28" s="1109" t="s">
        <v>162</v>
      </c>
      <c r="J28" s="1140"/>
      <c r="K28" s="1030" t="s">
        <v>160</v>
      </c>
      <c r="L28" s="1031"/>
      <c r="M28" s="1031"/>
      <c r="N28" s="1110" t="s">
        <v>162</v>
      </c>
      <c r="O28" s="1111"/>
    </row>
    <row r="29" spans="1:15" s="387" customFormat="1" ht="12.75" customHeight="1">
      <c r="A29" s="1030" t="s">
        <v>43</v>
      </c>
      <c r="B29" s="1031"/>
      <c r="C29" s="1031"/>
      <c r="D29" s="402">
        <v>0</v>
      </c>
      <c r="E29" s="1030" t="s">
        <v>43</v>
      </c>
      <c r="F29" s="1031"/>
      <c r="G29" s="1031"/>
      <c r="H29" s="1031"/>
      <c r="I29" s="1105">
        <v>792</v>
      </c>
      <c r="J29" s="1186"/>
      <c r="K29" s="1030" t="s">
        <v>43</v>
      </c>
      <c r="L29" s="1031"/>
      <c r="M29" s="1031"/>
      <c r="N29" s="1107">
        <v>1305</v>
      </c>
      <c r="O29" s="1108"/>
    </row>
    <row r="30" spans="1:15" s="387" customFormat="1" ht="12.75" customHeight="1">
      <c r="A30" s="1030" t="s">
        <v>164</v>
      </c>
      <c r="B30" s="1031"/>
      <c r="C30" s="1031"/>
      <c r="D30" s="401" t="s">
        <v>165</v>
      </c>
      <c r="E30" s="1030" t="s">
        <v>164</v>
      </c>
      <c r="F30" s="1031"/>
      <c r="G30" s="1031"/>
      <c r="H30" s="1031"/>
      <c r="I30" s="1109" t="s">
        <v>239</v>
      </c>
      <c r="J30" s="1140"/>
      <c r="K30" s="1030" t="s">
        <v>164</v>
      </c>
      <c r="L30" s="1031"/>
      <c r="M30" s="1031"/>
      <c r="N30" s="1110" t="s">
        <v>115</v>
      </c>
      <c r="O30" s="1111"/>
    </row>
    <row r="31" spans="1:15" s="387" customFormat="1" ht="12.75" customHeight="1" thickBot="1">
      <c r="A31" s="1035" t="s">
        <v>46</v>
      </c>
      <c r="B31" s="1036"/>
      <c r="C31" s="1036"/>
      <c r="D31" s="403" t="s">
        <v>27</v>
      </c>
      <c r="E31" s="1035" t="s">
        <v>47</v>
      </c>
      <c r="F31" s="1036"/>
      <c r="G31" s="1036"/>
      <c r="H31" s="1036"/>
      <c r="I31" s="1112" t="s">
        <v>140</v>
      </c>
      <c r="J31" s="1138"/>
      <c r="K31" s="1035" t="s">
        <v>166</v>
      </c>
      <c r="L31" s="1036"/>
      <c r="M31" s="1036"/>
      <c r="N31" s="1114" t="s">
        <v>140</v>
      </c>
      <c r="O31" s="1115"/>
    </row>
    <row r="32" spans="1:15" s="387" customFormat="1" ht="12.75" customHeight="1">
      <c r="A32" s="767"/>
      <c r="B32" s="378"/>
      <c r="C32" s="378"/>
      <c r="E32" s="767"/>
      <c r="F32" s="378"/>
      <c r="I32" s="767"/>
      <c r="J32" s="378"/>
      <c r="M32" s="867"/>
    </row>
    <row r="33" spans="1:15" s="387" customFormat="1" ht="12.75" customHeight="1">
      <c r="C33" s="921"/>
      <c r="D33" s="399"/>
      <c r="E33" s="399"/>
      <c r="F33" s="405"/>
      <c r="G33" s="405"/>
      <c r="H33" s="405"/>
      <c r="I33" s="1086"/>
      <c r="J33" s="1086"/>
      <c r="K33" s="1086"/>
    </row>
    <row r="34" spans="1:15" s="387" customFormat="1" ht="12.75" customHeight="1" thickBot="1">
      <c r="C34" s="404"/>
      <c r="D34" s="399"/>
      <c r="E34" s="399"/>
      <c r="F34" s="405"/>
      <c r="G34" s="405"/>
      <c r="H34" s="405"/>
      <c r="I34" s="1086"/>
      <c r="J34" s="1086"/>
      <c r="K34" s="1086"/>
    </row>
    <row r="35" spans="1:15" s="387" customFormat="1" ht="12.75" customHeight="1">
      <c r="C35" s="404"/>
      <c r="D35" s="399"/>
      <c r="E35" s="399"/>
      <c r="F35" s="405"/>
      <c r="G35" s="405"/>
      <c r="H35" s="405"/>
      <c r="I35" s="1218"/>
      <c r="J35" s="1218"/>
      <c r="K35" s="1218"/>
    </row>
    <row r="36" spans="1:15" s="387" customFormat="1" ht="13.5" customHeight="1" thickBot="1">
      <c r="B36" s="410"/>
      <c r="C36" s="404"/>
      <c r="D36" s="399"/>
      <c r="E36" s="399"/>
      <c r="F36" s="405"/>
      <c r="G36" s="410"/>
      <c r="I36" s="410"/>
      <c r="J36" s="410"/>
      <c r="K36" s="410"/>
      <c r="L36" s="410"/>
    </row>
    <row r="37" spans="1:15" s="387" customFormat="1" ht="15.75" customHeight="1" thickBot="1">
      <c r="C37" s="404"/>
      <c r="F37" s="1088" t="s">
        <v>167</v>
      </c>
      <c r="G37" s="1041"/>
      <c r="H37" s="1042" t="s">
        <v>168</v>
      </c>
      <c r="I37" s="1043"/>
      <c r="J37" s="1116"/>
      <c r="K37" s="1044"/>
      <c r="L37" s="1044"/>
      <c r="M37" s="1044"/>
      <c r="N37" s="1044"/>
      <c r="O37" s="1045"/>
    </row>
    <row r="38" spans="1:15" s="413" customFormat="1" ht="62.25" customHeight="1" thickBot="1">
      <c r="A38" s="411" t="s">
        <v>122</v>
      </c>
      <c r="B38" s="411" t="s">
        <v>169</v>
      </c>
      <c r="C38" s="896" t="s">
        <v>170</v>
      </c>
      <c r="D38" s="412" t="s">
        <v>171</v>
      </c>
      <c r="E38" s="412" t="s">
        <v>172</v>
      </c>
      <c r="F38" s="412" t="s">
        <v>173</v>
      </c>
      <c r="G38" s="411" t="s">
        <v>174</v>
      </c>
      <c r="H38" s="412" t="s">
        <v>175</v>
      </c>
      <c r="I38" s="411" t="s">
        <v>174</v>
      </c>
      <c r="J38" s="412" t="s">
        <v>176</v>
      </c>
      <c r="K38" s="411" t="s">
        <v>174</v>
      </c>
      <c r="L38" s="412" t="s">
        <v>177</v>
      </c>
      <c r="M38" s="411" t="s">
        <v>174</v>
      </c>
      <c r="N38" s="412" t="s">
        <v>178</v>
      </c>
      <c r="O38" s="411" t="s">
        <v>174</v>
      </c>
    </row>
    <row r="39" spans="1:15" s="418" customFormat="1" ht="45.75" thickBot="1">
      <c r="A39" s="1119">
        <v>16</v>
      </c>
      <c r="B39" s="1197"/>
      <c r="C39" s="897" t="s">
        <v>4481</v>
      </c>
      <c r="D39" s="898" t="s">
        <v>4482</v>
      </c>
      <c r="E39" s="899">
        <v>33769</v>
      </c>
      <c r="F39" s="900">
        <f>SUM(E39:E41)*(1-85%)</f>
        <v>5146.5000000000009</v>
      </c>
      <c r="G39" s="1198">
        <f>F39*B39</f>
        <v>0</v>
      </c>
      <c r="H39" s="901">
        <f>F39*0.0832</f>
        <v>428.18880000000007</v>
      </c>
      <c r="I39" s="1198">
        <f>H39*B39</f>
        <v>0</v>
      </c>
      <c r="J39" s="901">
        <f>F39*0.0313</f>
        <v>161.08545000000004</v>
      </c>
      <c r="K39" s="1198">
        <f>J39*B39</f>
        <v>0</v>
      </c>
      <c r="L39" s="417">
        <f>F39*0.0256</f>
        <v>131.75040000000004</v>
      </c>
      <c r="M39" s="1050">
        <f>L39*B39</f>
        <v>0</v>
      </c>
      <c r="N39" s="417">
        <f>F39*0.0213</f>
        <v>109.62045000000002</v>
      </c>
      <c r="O39" s="1050">
        <f>N39*B39</f>
        <v>0</v>
      </c>
    </row>
    <row r="40" spans="1:15" s="413" customFormat="1" ht="13.5" thickBot="1">
      <c r="A40" s="1046"/>
      <c r="B40" s="1219"/>
      <c r="C40" s="902" t="s">
        <v>714</v>
      </c>
      <c r="D40" s="903" t="s">
        <v>670</v>
      </c>
      <c r="E40" s="442">
        <v>282</v>
      </c>
      <c r="F40" s="904" t="s">
        <v>162</v>
      </c>
      <c r="G40" s="1220"/>
      <c r="H40" s="904" t="s">
        <v>162</v>
      </c>
      <c r="I40" s="1220"/>
      <c r="J40" s="904" t="s">
        <v>162</v>
      </c>
      <c r="K40" s="1220"/>
      <c r="L40" s="423" t="s">
        <v>162</v>
      </c>
      <c r="M40" s="1212"/>
      <c r="N40" s="423" t="s">
        <v>162</v>
      </c>
      <c r="O40" s="1212"/>
    </row>
    <row r="41" spans="1:15" s="413" customFormat="1" ht="13.5" thickBot="1">
      <c r="A41" s="1125"/>
      <c r="B41" s="1182"/>
      <c r="C41" s="425" t="s">
        <v>179</v>
      </c>
      <c r="D41" s="922" t="s">
        <v>104</v>
      </c>
      <c r="E41" s="906">
        <v>259</v>
      </c>
      <c r="F41" s="913" t="s">
        <v>162</v>
      </c>
      <c r="G41" s="1202"/>
      <c r="H41" s="913" t="s">
        <v>162</v>
      </c>
      <c r="I41" s="1202"/>
      <c r="J41" s="913" t="s">
        <v>162</v>
      </c>
      <c r="K41" s="1202"/>
      <c r="L41" s="53" t="s">
        <v>162</v>
      </c>
      <c r="M41" s="1118"/>
      <c r="N41" s="53" t="s">
        <v>162</v>
      </c>
      <c r="O41" s="1118"/>
    </row>
    <row r="42" spans="1:15" s="413" customFormat="1" ht="13.5" thickBot="1">
      <c r="A42" s="908"/>
      <c r="B42" s="765"/>
      <c r="C42" s="765"/>
      <c r="D42" s="757"/>
      <c r="E42" s="784"/>
      <c r="F42" s="909"/>
      <c r="G42" s="758"/>
      <c r="H42" s="914"/>
      <c r="I42" s="758"/>
      <c r="J42" s="914"/>
      <c r="K42" s="759"/>
      <c r="L42" s="57"/>
      <c r="M42" s="55"/>
      <c r="N42" s="57"/>
      <c r="O42" s="56"/>
    </row>
    <row r="43" spans="1:15" s="418" customFormat="1" ht="45.75" thickBot="1">
      <c r="A43" s="1119" t="s">
        <v>28</v>
      </c>
      <c r="B43" s="1197"/>
      <c r="C43" s="897" t="s">
        <v>4481</v>
      </c>
      <c r="D43" s="898" t="s">
        <v>4482</v>
      </c>
      <c r="E43" s="899">
        <v>33769</v>
      </c>
      <c r="F43" s="900">
        <f>SUM(E43:E45)*(1-85%)</f>
        <v>5146.5000000000009</v>
      </c>
      <c r="G43" s="1198">
        <f>F43*B43</f>
        <v>0</v>
      </c>
      <c r="H43" s="901">
        <f>F43*0.0832+I29/12</f>
        <v>494.18880000000007</v>
      </c>
      <c r="I43" s="1198">
        <f>H43*B43</f>
        <v>0</v>
      </c>
      <c r="J43" s="901">
        <f>F43*0.0313+I29/12</f>
        <v>227.08545000000004</v>
      </c>
      <c r="K43" s="1198">
        <f>J43*B43</f>
        <v>0</v>
      </c>
      <c r="L43" s="417">
        <f>F43*0.0256+I29/12</f>
        <v>197.75040000000004</v>
      </c>
      <c r="M43" s="1050">
        <f>L43*B43</f>
        <v>0</v>
      </c>
      <c r="N43" s="417">
        <f>F43*0.0213+I29/12</f>
        <v>175.62045000000001</v>
      </c>
      <c r="O43" s="1050">
        <f>N43*B43</f>
        <v>0</v>
      </c>
    </row>
    <row r="44" spans="1:15" s="413" customFormat="1" ht="13.5" thickBot="1">
      <c r="A44" s="1046"/>
      <c r="B44" s="1219"/>
      <c r="C44" s="902" t="s">
        <v>714</v>
      </c>
      <c r="D44" s="903" t="s">
        <v>670</v>
      </c>
      <c r="E44" s="442">
        <v>282</v>
      </c>
      <c r="F44" s="904" t="s">
        <v>162</v>
      </c>
      <c r="G44" s="1220"/>
      <c r="H44" s="904" t="s">
        <v>162</v>
      </c>
      <c r="I44" s="1220"/>
      <c r="J44" s="904" t="s">
        <v>162</v>
      </c>
      <c r="K44" s="1220"/>
      <c r="L44" s="423" t="s">
        <v>162</v>
      </c>
      <c r="M44" s="1212"/>
      <c r="N44" s="423" t="s">
        <v>162</v>
      </c>
      <c r="O44" s="1212"/>
    </row>
    <row r="45" spans="1:15" s="413" customFormat="1" ht="13.5" thickBot="1">
      <c r="A45" s="1125"/>
      <c r="B45" s="1182"/>
      <c r="C45" s="425" t="s">
        <v>179</v>
      </c>
      <c r="D45" s="922" t="s">
        <v>104</v>
      </c>
      <c r="E45" s="906">
        <v>259</v>
      </c>
      <c r="F45" s="913" t="s">
        <v>162</v>
      </c>
      <c r="G45" s="1202"/>
      <c r="H45" s="913" t="s">
        <v>162</v>
      </c>
      <c r="I45" s="1202"/>
      <c r="J45" s="913" t="s">
        <v>162</v>
      </c>
      <c r="K45" s="1202"/>
      <c r="L45" s="53" t="s">
        <v>162</v>
      </c>
      <c r="M45" s="1118"/>
      <c r="N45" s="53" t="s">
        <v>162</v>
      </c>
      <c r="O45" s="1118"/>
    </row>
    <row r="46" spans="1:15" s="413" customFormat="1" ht="13.5" thickBot="1">
      <c r="A46" s="908"/>
      <c r="B46" s="765"/>
      <c r="C46" s="765"/>
      <c r="D46" s="757"/>
      <c r="E46" s="784"/>
      <c r="F46" s="909"/>
      <c r="G46" s="758"/>
      <c r="H46" s="914"/>
      <c r="I46" s="758"/>
      <c r="J46" s="914"/>
      <c r="K46" s="759"/>
      <c r="L46" s="57"/>
      <c r="M46" s="55"/>
      <c r="N46" s="57"/>
      <c r="O46" s="56"/>
    </row>
    <row r="47" spans="1:15" s="418" customFormat="1" ht="45.75" thickBot="1">
      <c r="A47" s="1119" t="s">
        <v>29</v>
      </c>
      <c r="B47" s="1197"/>
      <c r="C47" s="897" t="s">
        <v>4481</v>
      </c>
      <c r="D47" s="898" t="s">
        <v>4482</v>
      </c>
      <c r="E47" s="899">
        <v>33769</v>
      </c>
      <c r="F47" s="900">
        <f>SUM(E47:E49)*(1-85%)</f>
        <v>5146.5000000000009</v>
      </c>
      <c r="G47" s="1198">
        <f>F47*B47</f>
        <v>0</v>
      </c>
      <c r="H47" s="901">
        <f>F47*0.0832+N29/12</f>
        <v>536.93880000000013</v>
      </c>
      <c r="I47" s="1198">
        <f>H47*B47</f>
        <v>0</v>
      </c>
      <c r="J47" s="901">
        <f>F47*0.0313+N29/12</f>
        <v>269.83545000000004</v>
      </c>
      <c r="K47" s="1198">
        <f>J47*B47</f>
        <v>0</v>
      </c>
      <c r="L47" s="417">
        <f>F47*0.0256+N29/12</f>
        <v>240.50040000000004</v>
      </c>
      <c r="M47" s="1050">
        <f>L47*B47</f>
        <v>0</v>
      </c>
      <c r="N47" s="417">
        <f>F47*0.0213+N29/12</f>
        <v>218.37045000000001</v>
      </c>
      <c r="O47" s="1050">
        <f>N47*B47</f>
        <v>0</v>
      </c>
    </row>
    <row r="48" spans="1:15" s="413" customFormat="1" ht="13.5" thickBot="1">
      <c r="A48" s="1046"/>
      <c r="B48" s="1219"/>
      <c r="C48" s="902" t="s">
        <v>714</v>
      </c>
      <c r="D48" s="903" t="s">
        <v>670</v>
      </c>
      <c r="E48" s="442">
        <v>282</v>
      </c>
      <c r="F48" s="904" t="s">
        <v>162</v>
      </c>
      <c r="G48" s="1220"/>
      <c r="H48" s="904" t="s">
        <v>162</v>
      </c>
      <c r="I48" s="1220"/>
      <c r="J48" s="904" t="s">
        <v>162</v>
      </c>
      <c r="K48" s="1220"/>
      <c r="L48" s="423" t="s">
        <v>162</v>
      </c>
      <c r="M48" s="1212"/>
      <c r="N48" s="423" t="s">
        <v>162</v>
      </c>
      <c r="O48" s="1212"/>
    </row>
    <row r="49" spans="1:16" s="413" customFormat="1" ht="13.5" thickBot="1">
      <c r="A49" s="1125"/>
      <c r="B49" s="1182"/>
      <c r="C49" s="425" t="s">
        <v>179</v>
      </c>
      <c r="D49" s="922" t="s">
        <v>104</v>
      </c>
      <c r="E49" s="906">
        <v>259</v>
      </c>
      <c r="F49" s="913" t="s">
        <v>162</v>
      </c>
      <c r="G49" s="1202"/>
      <c r="H49" s="913" t="s">
        <v>162</v>
      </c>
      <c r="I49" s="1202"/>
      <c r="J49" s="913" t="s">
        <v>162</v>
      </c>
      <c r="K49" s="1202"/>
      <c r="L49" s="828" t="s">
        <v>162</v>
      </c>
      <c r="M49" s="1117"/>
      <c r="N49" s="828" t="s">
        <v>162</v>
      </c>
      <c r="O49" s="1117"/>
    </row>
    <row r="50" spans="1:16" s="729" customFormat="1" ht="13.5" customHeight="1" thickBot="1">
      <c r="A50" s="1221" t="s">
        <v>182</v>
      </c>
      <c r="B50" s="1044"/>
      <c r="C50" s="1044"/>
      <c r="D50" s="1044"/>
      <c r="E50" s="1044"/>
      <c r="F50" s="1055"/>
      <c r="G50" s="1055"/>
      <c r="H50" s="1055"/>
      <c r="I50" s="1055"/>
      <c r="J50" s="1055"/>
      <c r="K50" s="1055"/>
      <c r="L50" s="1055"/>
      <c r="M50" s="1055"/>
      <c r="N50" s="1055"/>
      <c r="O50" s="1056"/>
    </row>
    <row r="51" spans="1:16" s="413" customFormat="1" ht="13.5" thickBot="1">
      <c r="A51" s="1181"/>
      <c r="B51" s="915"/>
      <c r="C51" s="871" t="s">
        <v>209</v>
      </c>
      <c r="D51" s="420" t="s">
        <v>66</v>
      </c>
      <c r="E51" s="693">
        <v>975.85567010309285</v>
      </c>
      <c r="F51" s="923">
        <f t="shared" ref="F51:F102" si="0">E51*(1-40%)</f>
        <v>585.51340206185569</v>
      </c>
      <c r="G51" s="787">
        <f t="shared" ref="G51:G102" si="1">F51*B51</f>
        <v>0</v>
      </c>
      <c r="H51" s="787">
        <f t="shared" ref="H51:H102" si="2">F51*0.0832</f>
        <v>48.714715051546392</v>
      </c>
      <c r="I51" s="787">
        <f t="shared" ref="I51:I102" si="3">H51*B51</f>
        <v>0</v>
      </c>
      <c r="J51" s="787">
        <f t="shared" ref="J51:J102" si="4">F51*0.0313</f>
        <v>18.326569484536083</v>
      </c>
      <c r="K51" s="787">
        <f t="shared" ref="K51:K102" si="5">J51*B51</f>
        <v>0</v>
      </c>
      <c r="L51" s="787">
        <f t="shared" ref="L51:L102" si="6">F51*0.0256</f>
        <v>14.989143092783506</v>
      </c>
      <c r="M51" s="787">
        <f t="shared" ref="M51:M102" si="7">L51*B51</f>
        <v>0</v>
      </c>
      <c r="N51" s="787">
        <f t="shared" ref="N51:N102" si="8">F51*0.0213</f>
        <v>12.471435463917526</v>
      </c>
      <c r="O51" s="787">
        <f t="shared" ref="O51:O102" si="9">N51*B51</f>
        <v>0</v>
      </c>
      <c r="P51" s="788"/>
    </row>
    <row r="52" spans="1:16" s="413" customFormat="1" ht="13.5" thickBot="1">
      <c r="A52" s="1182"/>
      <c r="B52" s="916"/>
      <c r="C52" s="419" t="s">
        <v>486</v>
      </c>
      <c r="D52" s="420" t="s">
        <v>671</v>
      </c>
      <c r="E52" s="693">
        <v>134.01030927835052</v>
      </c>
      <c r="F52" s="442">
        <f t="shared" si="0"/>
        <v>80.406185567010311</v>
      </c>
      <c r="G52" s="786">
        <f t="shared" si="1"/>
        <v>0</v>
      </c>
      <c r="H52" s="787">
        <f t="shared" si="2"/>
        <v>6.6897946391752576</v>
      </c>
      <c r="I52" s="787">
        <f t="shared" si="3"/>
        <v>0</v>
      </c>
      <c r="J52" s="787">
        <f t="shared" si="4"/>
        <v>2.5167136082474229</v>
      </c>
      <c r="K52" s="787">
        <f t="shared" si="5"/>
        <v>0</v>
      </c>
      <c r="L52" s="787">
        <f t="shared" si="6"/>
        <v>2.0583983505154642</v>
      </c>
      <c r="M52" s="787">
        <f t="shared" si="7"/>
        <v>0</v>
      </c>
      <c r="N52" s="787">
        <f t="shared" si="8"/>
        <v>1.7126517525773195</v>
      </c>
      <c r="O52" s="787">
        <f t="shared" si="9"/>
        <v>0</v>
      </c>
      <c r="P52" s="788"/>
    </row>
    <row r="53" spans="1:16" s="413" customFormat="1" ht="26.25" thickBot="1">
      <c r="A53" s="1182"/>
      <c r="B53" s="916"/>
      <c r="C53" s="695" t="s">
        <v>3491</v>
      </c>
      <c r="D53" s="697" t="s">
        <v>3568</v>
      </c>
      <c r="E53" s="525">
        <v>411.34020618556701</v>
      </c>
      <c r="F53" s="442">
        <f t="shared" si="0"/>
        <v>246.8041237113402</v>
      </c>
      <c r="G53" s="786">
        <f t="shared" si="1"/>
        <v>0</v>
      </c>
      <c r="H53" s="787">
        <f t="shared" si="2"/>
        <v>20.534103092783504</v>
      </c>
      <c r="I53" s="787">
        <f t="shared" si="3"/>
        <v>0</v>
      </c>
      <c r="J53" s="787">
        <f t="shared" si="4"/>
        <v>7.7249690721649484</v>
      </c>
      <c r="K53" s="787">
        <f t="shared" si="5"/>
        <v>0</v>
      </c>
      <c r="L53" s="787">
        <f t="shared" si="6"/>
        <v>6.3181855670103095</v>
      </c>
      <c r="M53" s="787">
        <f t="shared" si="7"/>
        <v>0</v>
      </c>
      <c r="N53" s="787">
        <f t="shared" si="8"/>
        <v>5.2569278350515463</v>
      </c>
      <c r="O53" s="787">
        <f t="shared" si="9"/>
        <v>0</v>
      </c>
      <c r="P53" s="788"/>
    </row>
    <row r="54" spans="1:16" s="413" customFormat="1" ht="13.5" thickBot="1">
      <c r="A54" s="1182"/>
      <c r="B54" s="916"/>
      <c r="C54" s="871" t="s">
        <v>3577</v>
      </c>
      <c r="D54" s="917" t="s">
        <v>720</v>
      </c>
      <c r="E54" s="693">
        <v>257.73195876288662</v>
      </c>
      <c r="F54" s="442">
        <f t="shared" si="0"/>
        <v>154.63917525773198</v>
      </c>
      <c r="G54" s="786">
        <f t="shared" si="1"/>
        <v>0</v>
      </c>
      <c r="H54" s="787">
        <f t="shared" si="2"/>
        <v>12.865979381443299</v>
      </c>
      <c r="I54" s="787">
        <f t="shared" si="3"/>
        <v>0</v>
      </c>
      <c r="J54" s="787">
        <f t="shared" si="4"/>
        <v>4.8402061855670109</v>
      </c>
      <c r="K54" s="787">
        <f t="shared" si="5"/>
        <v>0</v>
      </c>
      <c r="L54" s="787">
        <f t="shared" si="6"/>
        <v>3.9587628865979387</v>
      </c>
      <c r="M54" s="787">
        <f t="shared" si="7"/>
        <v>0</v>
      </c>
      <c r="N54" s="787">
        <f t="shared" si="8"/>
        <v>3.293814432989691</v>
      </c>
      <c r="O54" s="787">
        <f t="shared" si="9"/>
        <v>0</v>
      </c>
      <c r="P54" s="788"/>
    </row>
    <row r="55" spans="1:16" s="413" customFormat="1" ht="13.5" thickBot="1">
      <c r="A55" s="1182"/>
      <c r="B55" s="916"/>
      <c r="C55" s="419" t="s">
        <v>3578</v>
      </c>
      <c r="D55" s="420" t="s">
        <v>3573</v>
      </c>
      <c r="E55" s="693">
        <v>412.37113402061857</v>
      </c>
      <c r="F55" s="442">
        <f t="shared" si="0"/>
        <v>247.42268041237114</v>
      </c>
      <c r="G55" s="786">
        <f t="shared" si="1"/>
        <v>0</v>
      </c>
      <c r="H55" s="787">
        <f t="shared" si="2"/>
        <v>20.585567010309276</v>
      </c>
      <c r="I55" s="787">
        <f t="shared" si="3"/>
        <v>0</v>
      </c>
      <c r="J55" s="787">
        <f t="shared" si="4"/>
        <v>7.7443298969072165</v>
      </c>
      <c r="K55" s="787">
        <f t="shared" si="5"/>
        <v>0</v>
      </c>
      <c r="L55" s="787">
        <f t="shared" si="6"/>
        <v>6.3340206185567016</v>
      </c>
      <c r="M55" s="787">
        <f t="shared" si="7"/>
        <v>0</v>
      </c>
      <c r="N55" s="787">
        <f t="shared" si="8"/>
        <v>5.2701030927835051</v>
      </c>
      <c r="O55" s="787">
        <f t="shared" si="9"/>
        <v>0</v>
      </c>
      <c r="P55" s="788"/>
    </row>
    <row r="56" spans="1:16" s="413" customFormat="1" ht="13.5" thickBot="1">
      <c r="A56" s="1182"/>
      <c r="B56" s="916"/>
      <c r="C56" s="419" t="s">
        <v>690</v>
      </c>
      <c r="D56" s="420" t="s">
        <v>721</v>
      </c>
      <c r="E56" s="693">
        <v>514.43298969072168</v>
      </c>
      <c r="F56" s="442">
        <f t="shared" si="0"/>
        <v>308.65979381443299</v>
      </c>
      <c r="G56" s="786">
        <f t="shared" si="1"/>
        <v>0</v>
      </c>
      <c r="H56" s="787">
        <f t="shared" si="2"/>
        <v>25.680494845360823</v>
      </c>
      <c r="I56" s="787">
        <f t="shared" si="3"/>
        <v>0</v>
      </c>
      <c r="J56" s="787">
        <f t="shared" si="4"/>
        <v>9.6610515463917537</v>
      </c>
      <c r="K56" s="787">
        <f t="shared" si="5"/>
        <v>0</v>
      </c>
      <c r="L56" s="787">
        <f t="shared" si="6"/>
        <v>7.9016907216494845</v>
      </c>
      <c r="M56" s="787">
        <f t="shared" si="7"/>
        <v>0</v>
      </c>
      <c r="N56" s="787">
        <f t="shared" si="8"/>
        <v>6.5744536082474223</v>
      </c>
      <c r="O56" s="787">
        <f t="shared" si="9"/>
        <v>0</v>
      </c>
      <c r="P56" s="788"/>
    </row>
    <row r="57" spans="1:16" s="413" customFormat="1" ht="13.5" thickBot="1">
      <c r="A57" s="1182"/>
      <c r="B57" s="916"/>
      <c r="C57" s="419" t="s">
        <v>484</v>
      </c>
      <c r="D57" s="420" t="s">
        <v>409</v>
      </c>
      <c r="E57" s="693">
        <v>206.18556701030928</v>
      </c>
      <c r="F57" s="442">
        <f t="shared" si="0"/>
        <v>123.71134020618557</v>
      </c>
      <c r="G57" s="786">
        <f t="shared" si="1"/>
        <v>0</v>
      </c>
      <c r="H57" s="787">
        <f t="shared" si="2"/>
        <v>10.292783505154638</v>
      </c>
      <c r="I57" s="787">
        <f t="shared" si="3"/>
        <v>0</v>
      </c>
      <c r="J57" s="787">
        <f t="shared" si="4"/>
        <v>3.8721649484536083</v>
      </c>
      <c r="K57" s="787">
        <f t="shared" si="5"/>
        <v>0</v>
      </c>
      <c r="L57" s="787">
        <f t="shared" si="6"/>
        <v>3.1670103092783508</v>
      </c>
      <c r="M57" s="787">
        <f t="shared" si="7"/>
        <v>0</v>
      </c>
      <c r="N57" s="787">
        <f t="shared" si="8"/>
        <v>2.6350515463917525</v>
      </c>
      <c r="O57" s="787">
        <f t="shared" si="9"/>
        <v>0</v>
      </c>
      <c r="P57" s="788"/>
    </row>
    <row r="58" spans="1:16" s="413" customFormat="1" ht="26.25" thickBot="1">
      <c r="A58" s="1182"/>
      <c r="B58" s="916"/>
      <c r="C58" s="419" t="s">
        <v>485</v>
      </c>
      <c r="D58" s="420" t="s">
        <v>3511</v>
      </c>
      <c r="E58" s="693">
        <v>287.62886597938143</v>
      </c>
      <c r="F58" s="442">
        <f t="shared" si="0"/>
        <v>172.57731958762886</v>
      </c>
      <c r="G58" s="786">
        <f t="shared" si="1"/>
        <v>0</v>
      </c>
      <c r="H58" s="787">
        <f t="shared" si="2"/>
        <v>14.358432989690721</v>
      </c>
      <c r="I58" s="787">
        <f t="shared" si="3"/>
        <v>0</v>
      </c>
      <c r="J58" s="787">
        <f t="shared" si="4"/>
        <v>5.4016701030927834</v>
      </c>
      <c r="K58" s="787">
        <f t="shared" si="5"/>
        <v>0</v>
      </c>
      <c r="L58" s="787">
        <f t="shared" si="6"/>
        <v>4.417979381443299</v>
      </c>
      <c r="M58" s="787">
        <f t="shared" si="7"/>
        <v>0</v>
      </c>
      <c r="N58" s="787">
        <f t="shared" si="8"/>
        <v>3.6758969072164946</v>
      </c>
      <c r="O58" s="787">
        <f t="shared" si="9"/>
        <v>0</v>
      </c>
      <c r="P58" s="788"/>
    </row>
    <row r="59" spans="1:16" s="413" customFormat="1" ht="13.5" thickBot="1">
      <c r="A59" s="1182"/>
      <c r="B59" s="916"/>
      <c r="C59" s="871" t="s">
        <v>3489</v>
      </c>
      <c r="D59" s="420" t="s">
        <v>3564</v>
      </c>
      <c r="E59" s="693">
        <v>875.25773195876286</v>
      </c>
      <c r="F59" s="442">
        <f t="shared" si="0"/>
        <v>525.15463917525767</v>
      </c>
      <c r="G59" s="786">
        <f t="shared" si="1"/>
        <v>0</v>
      </c>
      <c r="H59" s="787">
        <f t="shared" si="2"/>
        <v>43.692865979381438</v>
      </c>
      <c r="I59" s="787">
        <f t="shared" si="3"/>
        <v>0</v>
      </c>
      <c r="J59" s="787">
        <f t="shared" si="4"/>
        <v>16.437340206185567</v>
      </c>
      <c r="K59" s="787">
        <f t="shared" si="5"/>
        <v>0</v>
      </c>
      <c r="L59" s="787">
        <f t="shared" si="6"/>
        <v>13.443958762886597</v>
      </c>
      <c r="M59" s="787">
        <f t="shared" si="7"/>
        <v>0</v>
      </c>
      <c r="N59" s="787">
        <f t="shared" si="8"/>
        <v>11.185793814432989</v>
      </c>
      <c r="O59" s="787">
        <f t="shared" si="9"/>
        <v>0</v>
      </c>
      <c r="P59" s="788"/>
    </row>
    <row r="60" spans="1:16" s="413" customFormat="1" ht="26.25" thickBot="1">
      <c r="A60" s="1182"/>
      <c r="B60" s="916"/>
      <c r="C60" s="873" t="s">
        <v>586</v>
      </c>
      <c r="D60" s="697" t="s">
        <v>3567</v>
      </c>
      <c r="E60" s="525">
        <v>453.60824742268045</v>
      </c>
      <c r="F60" s="923">
        <f t="shared" si="0"/>
        <v>272.16494845360825</v>
      </c>
      <c r="G60" s="787">
        <f t="shared" si="1"/>
        <v>0</v>
      </c>
      <c r="H60" s="787">
        <f t="shared" si="2"/>
        <v>22.644123711340207</v>
      </c>
      <c r="I60" s="787">
        <f t="shared" si="3"/>
        <v>0</v>
      </c>
      <c r="J60" s="787">
        <f t="shared" si="4"/>
        <v>8.5187628865979388</v>
      </c>
      <c r="K60" s="787">
        <f t="shared" si="5"/>
        <v>0</v>
      </c>
      <c r="L60" s="787">
        <f t="shared" si="6"/>
        <v>6.9674226804123718</v>
      </c>
      <c r="M60" s="787">
        <f t="shared" si="7"/>
        <v>0</v>
      </c>
      <c r="N60" s="787">
        <f t="shared" si="8"/>
        <v>5.7971134020618553</v>
      </c>
      <c r="O60" s="787">
        <f t="shared" si="9"/>
        <v>0</v>
      </c>
      <c r="P60" s="788"/>
    </row>
    <row r="61" spans="1:16" s="413" customFormat="1" ht="26.25" thickBot="1">
      <c r="A61" s="1182"/>
      <c r="B61" s="916"/>
      <c r="C61" s="696" t="s">
        <v>3490</v>
      </c>
      <c r="D61" s="697" t="s">
        <v>723</v>
      </c>
      <c r="E61" s="525">
        <v>229.48453608247422</v>
      </c>
      <c r="F61" s="923">
        <f t="shared" si="0"/>
        <v>137.69072164948452</v>
      </c>
      <c r="G61" s="787">
        <f t="shared" si="1"/>
        <v>0</v>
      </c>
      <c r="H61" s="787">
        <f t="shared" si="2"/>
        <v>11.45586804123711</v>
      </c>
      <c r="I61" s="787">
        <f t="shared" si="3"/>
        <v>0</v>
      </c>
      <c r="J61" s="787">
        <f t="shared" si="4"/>
        <v>4.3097195876288659</v>
      </c>
      <c r="K61" s="787">
        <f t="shared" si="5"/>
        <v>0</v>
      </c>
      <c r="L61" s="787">
        <f t="shared" si="6"/>
        <v>3.5248824742268039</v>
      </c>
      <c r="M61" s="787">
        <f t="shared" si="7"/>
        <v>0</v>
      </c>
      <c r="N61" s="787">
        <f t="shared" si="8"/>
        <v>2.9328123711340202</v>
      </c>
      <c r="O61" s="787">
        <f t="shared" si="9"/>
        <v>0</v>
      </c>
      <c r="P61" s="788"/>
    </row>
    <row r="62" spans="1:16" s="413" customFormat="1" ht="26.25" thickBot="1">
      <c r="A62" s="1182"/>
      <c r="B62" s="916"/>
      <c r="C62" s="419" t="s">
        <v>490</v>
      </c>
      <c r="D62" s="420" t="s">
        <v>3505</v>
      </c>
      <c r="E62" s="693">
        <v>1103.0927835051546</v>
      </c>
      <c r="F62" s="924">
        <f t="shared" si="0"/>
        <v>661.85567010309273</v>
      </c>
      <c r="G62" s="528">
        <f t="shared" si="1"/>
        <v>0</v>
      </c>
      <c r="H62" s="528">
        <f t="shared" si="2"/>
        <v>55.06639175257731</v>
      </c>
      <c r="I62" s="528">
        <f t="shared" si="3"/>
        <v>0</v>
      </c>
      <c r="J62" s="528">
        <f t="shared" si="4"/>
        <v>20.716082474226802</v>
      </c>
      <c r="K62" s="528">
        <f t="shared" si="5"/>
        <v>0</v>
      </c>
      <c r="L62" s="528">
        <f t="shared" si="6"/>
        <v>16.943505154639176</v>
      </c>
      <c r="M62" s="528">
        <f t="shared" si="7"/>
        <v>0</v>
      </c>
      <c r="N62" s="528">
        <f t="shared" si="8"/>
        <v>14.097525773195875</v>
      </c>
      <c r="O62" s="528">
        <f t="shared" si="9"/>
        <v>0</v>
      </c>
      <c r="P62" s="788"/>
    </row>
    <row r="63" spans="1:16" s="413" customFormat="1" ht="13.5" thickBot="1">
      <c r="A63" s="1182"/>
      <c r="B63" s="916"/>
      <c r="C63" s="419" t="s">
        <v>455</v>
      </c>
      <c r="D63" s="420" t="s">
        <v>3506</v>
      </c>
      <c r="E63" s="693">
        <v>1101.5257731958764</v>
      </c>
      <c r="F63" s="924">
        <f t="shared" si="0"/>
        <v>660.91546391752581</v>
      </c>
      <c r="G63" s="528">
        <f t="shared" si="1"/>
        <v>0</v>
      </c>
      <c r="H63" s="528">
        <f t="shared" si="2"/>
        <v>54.988166597938147</v>
      </c>
      <c r="I63" s="528">
        <f t="shared" si="3"/>
        <v>0</v>
      </c>
      <c r="J63" s="528">
        <f t="shared" si="4"/>
        <v>20.686654020618558</v>
      </c>
      <c r="K63" s="528">
        <f t="shared" si="5"/>
        <v>0</v>
      </c>
      <c r="L63" s="528">
        <f t="shared" si="6"/>
        <v>16.919435876288663</v>
      </c>
      <c r="M63" s="528">
        <f t="shared" si="7"/>
        <v>0</v>
      </c>
      <c r="N63" s="528">
        <f t="shared" si="8"/>
        <v>14.0774993814433</v>
      </c>
      <c r="O63" s="528">
        <f t="shared" si="9"/>
        <v>0</v>
      </c>
      <c r="P63" s="788"/>
    </row>
    <row r="64" spans="1:16" s="413" customFormat="1" ht="26.25" thickBot="1">
      <c r="A64" s="1182"/>
      <c r="B64" s="916"/>
      <c r="C64" s="808" t="s">
        <v>3495</v>
      </c>
      <c r="D64" s="420" t="s">
        <v>3633</v>
      </c>
      <c r="E64" s="693">
        <v>2020.340206185567</v>
      </c>
      <c r="F64" s="442">
        <f t="shared" si="0"/>
        <v>1212.2041237113401</v>
      </c>
      <c r="G64" s="786">
        <f t="shared" si="1"/>
        <v>0</v>
      </c>
      <c r="H64" s="787">
        <f t="shared" si="2"/>
        <v>100.8553830927835</v>
      </c>
      <c r="I64" s="787">
        <f t="shared" si="3"/>
        <v>0</v>
      </c>
      <c r="J64" s="787">
        <f t="shared" si="4"/>
        <v>37.941989072164951</v>
      </c>
      <c r="K64" s="787">
        <f t="shared" si="5"/>
        <v>0</v>
      </c>
      <c r="L64" s="787">
        <f t="shared" si="6"/>
        <v>31.032425567010307</v>
      </c>
      <c r="M64" s="787">
        <f t="shared" si="7"/>
        <v>0</v>
      </c>
      <c r="N64" s="787">
        <f t="shared" si="8"/>
        <v>25.819947835051543</v>
      </c>
      <c r="O64" s="787">
        <f t="shared" si="9"/>
        <v>0</v>
      </c>
      <c r="P64" s="788"/>
    </row>
    <row r="65" spans="1:16" s="413" customFormat="1" ht="26.25" thickBot="1">
      <c r="A65" s="1182"/>
      <c r="B65" s="916"/>
      <c r="C65" s="808" t="s">
        <v>3496</v>
      </c>
      <c r="D65" s="795" t="s">
        <v>3634</v>
      </c>
      <c r="E65" s="693">
        <v>3510.0309278350514</v>
      </c>
      <c r="F65" s="442">
        <f t="shared" si="0"/>
        <v>2106.0185567010308</v>
      </c>
      <c r="G65" s="786">
        <f t="shared" si="1"/>
        <v>0</v>
      </c>
      <c r="H65" s="787">
        <f t="shared" si="2"/>
        <v>175.22074391752577</v>
      </c>
      <c r="I65" s="787">
        <f t="shared" si="3"/>
        <v>0</v>
      </c>
      <c r="J65" s="787">
        <f t="shared" si="4"/>
        <v>65.918380824742272</v>
      </c>
      <c r="K65" s="787">
        <f t="shared" si="5"/>
        <v>0</v>
      </c>
      <c r="L65" s="787">
        <f t="shared" si="6"/>
        <v>53.914075051546391</v>
      </c>
      <c r="M65" s="787">
        <f t="shared" si="7"/>
        <v>0</v>
      </c>
      <c r="N65" s="787">
        <f t="shared" si="8"/>
        <v>44.858195257731957</v>
      </c>
      <c r="O65" s="787">
        <f t="shared" si="9"/>
        <v>0</v>
      </c>
      <c r="P65" s="788"/>
    </row>
    <row r="66" spans="1:16" s="413" customFormat="1" ht="26.25" thickBot="1">
      <c r="A66" s="1182"/>
      <c r="B66" s="916"/>
      <c r="C66" s="808" t="s">
        <v>3497</v>
      </c>
      <c r="D66" s="420" t="s">
        <v>3635</v>
      </c>
      <c r="E66" s="693">
        <v>3432.7113402061855</v>
      </c>
      <c r="F66" s="442">
        <f t="shared" si="0"/>
        <v>2059.6268041237113</v>
      </c>
      <c r="G66" s="786">
        <f t="shared" si="1"/>
        <v>0</v>
      </c>
      <c r="H66" s="787">
        <f t="shared" si="2"/>
        <v>171.36095010309276</v>
      </c>
      <c r="I66" s="787">
        <f t="shared" si="3"/>
        <v>0</v>
      </c>
      <c r="J66" s="787">
        <f t="shared" si="4"/>
        <v>64.466318969072162</v>
      </c>
      <c r="K66" s="787">
        <f t="shared" si="5"/>
        <v>0</v>
      </c>
      <c r="L66" s="787">
        <f t="shared" si="6"/>
        <v>52.726446185567013</v>
      </c>
      <c r="M66" s="787">
        <f t="shared" si="7"/>
        <v>0</v>
      </c>
      <c r="N66" s="787">
        <f t="shared" si="8"/>
        <v>43.870050927835052</v>
      </c>
      <c r="O66" s="787">
        <f t="shared" si="9"/>
        <v>0</v>
      </c>
      <c r="P66" s="788"/>
    </row>
    <row r="67" spans="1:16" s="413" customFormat="1" ht="26.25" thickBot="1">
      <c r="A67" s="1182"/>
      <c r="B67" s="916"/>
      <c r="C67" s="875" t="s">
        <v>3498</v>
      </c>
      <c r="D67" s="876" t="s">
        <v>3636</v>
      </c>
      <c r="E67" s="693">
        <v>4958.4845360824738</v>
      </c>
      <c r="F67" s="923">
        <f t="shared" si="0"/>
        <v>2975.0907216494843</v>
      </c>
      <c r="G67" s="787">
        <f t="shared" si="1"/>
        <v>0</v>
      </c>
      <c r="H67" s="787">
        <f t="shared" si="2"/>
        <v>247.52754804123708</v>
      </c>
      <c r="I67" s="787">
        <f t="shared" si="3"/>
        <v>0</v>
      </c>
      <c r="J67" s="787">
        <f t="shared" si="4"/>
        <v>93.120339587628862</v>
      </c>
      <c r="K67" s="787">
        <f t="shared" si="5"/>
        <v>0</v>
      </c>
      <c r="L67" s="787">
        <f t="shared" si="6"/>
        <v>76.162322474226798</v>
      </c>
      <c r="M67" s="787">
        <f t="shared" si="7"/>
        <v>0</v>
      </c>
      <c r="N67" s="787">
        <f t="shared" si="8"/>
        <v>63.36943237113401</v>
      </c>
      <c r="O67" s="787">
        <f t="shared" si="9"/>
        <v>0</v>
      </c>
      <c r="P67" s="788"/>
    </row>
    <row r="68" spans="1:16" s="413" customFormat="1" ht="13.5" thickBot="1">
      <c r="A68" s="1182"/>
      <c r="B68" s="916"/>
      <c r="C68" s="785" t="s">
        <v>3574</v>
      </c>
      <c r="D68" s="420" t="s">
        <v>3589</v>
      </c>
      <c r="E68" s="693">
        <v>308.2474226804124</v>
      </c>
      <c r="F68" s="923">
        <f t="shared" si="0"/>
        <v>184.94845360824743</v>
      </c>
      <c r="G68" s="787">
        <f t="shared" si="1"/>
        <v>0</v>
      </c>
      <c r="H68" s="787">
        <f t="shared" si="2"/>
        <v>15.387711340206186</v>
      </c>
      <c r="I68" s="787">
        <f t="shared" si="3"/>
        <v>0</v>
      </c>
      <c r="J68" s="787">
        <f t="shared" si="4"/>
        <v>5.788886597938145</v>
      </c>
      <c r="K68" s="787">
        <f t="shared" si="5"/>
        <v>0</v>
      </c>
      <c r="L68" s="787">
        <f t="shared" si="6"/>
        <v>4.7346804123711346</v>
      </c>
      <c r="M68" s="787">
        <f t="shared" si="7"/>
        <v>0</v>
      </c>
      <c r="N68" s="787">
        <f t="shared" si="8"/>
        <v>3.9394020618556702</v>
      </c>
      <c r="O68" s="787">
        <f t="shared" si="9"/>
        <v>0</v>
      </c>
      <c r="P68" s="788"/>
    </row>
    <row r="69" spans="1:16" s="413" customFormat="1" ht="13.5" thickBot="1">
      <c r="A69" s="1182"/>
      <c r="B69" s="916"/>
      <c r="C69" s="419" t="s">
        <v>476</v>
      </c>
      <c r="D69" s="420" t="s">
        <v>3514</v>
      </c>
      <c r="E69" s="693">
        <v>515.46391752577324</v>
      </c>
      <c r="F69" s="923">
        <f t="shared" si="0"/>
        <v>309.27835051546396</v>
      </c>
      <c r="G69" s="787">
        <f t="shared" si="1"/>
        <v>0</v>
      </c>
      <c r="H69" s="787">
        <f t="shared" si="2"/>
        <v>25.731958762886599</v>
      </c>
      <c r="I69" s="787">
        <f t="shared" si="3"/>
        <v>0</v>
      </c>
      <c r="J69" s="787">
        <f t="shared" si="4"/>
        <v>9.6804123711340218</v>
      </c>
      <c r="K69" s="787">
        <f t="shared" si="5"/>
        <v>0</v>
      </c>
      <c r="L69" s="787">
        <f t="shared" si="6"/>
        <v>7.9175257731958775</v>
      </c>
      <c r="M69" s="787">
        <f t="shared" si="7"/>
        <v>0</v>
      </c>
      <c r="N69" s="787">
        <f t="shared" si="8"/>
        <v>6.587628865979382</v>
      </c>
      <c r="O69" s="787">
        <f t="shared" si="9"/>
        <v>0</v>
      </c>
      <c r="P69" s="788"/>
    </row>
    <row r="70" spans="1:16" s="413" customFormat="1" ht="13.5" thickBot="1">
      <c r="A70" s="1182"/>
      <c r="B70" s="916"/>
      <c r="C70" s="419" t="s">
        <v>3488</v>
      </c>
      <c r="D70" s="420" t="s">
        <v>3585</v>
      </c>
      <c r="E70" s="693">
        <v>88.659793814432987</v>
      </c>
      <c r="F70" s="923">
        <f t="shared" si="0"/>
        <v>53.19587628865979</v>
      </c>
      <c r="G70" s="787">
        <f t="shared" si="1"/>
        <v>0</v>
      </c>
      <c r="H70" s="787">
        <f t="shared" si="2"/>
        <v>4.4258969072164946</v>
      </c>
      <c r="I70" s="787">
        <f t="shared" si="3"/>
        <v>0</v>
      </c>
      <c r="J70" s="787">
        <f t="shared" si="4"/>
        <v>1.6650309278350515</v>
      </c>
      <c r="K70" s="787">
        <f t="shared" si="5"/>
        <v>0</v>
      </c>
      <c r="L70" s="787">
        <f t="shared" si="6"/>
        <v>1.3618144329896906</v>
      </c>
      <c r="M70" s="787">
        <f t="shared" si="7"/>
        <v>0</v>
      </c>
      <c r="N70" s="787">
        <f t="shared" si="8"/>
        <v>1.1330721649484534</v>
      </c>
      <c r="O70" s="787">
        <f t="shared" si="9"/>
        <v>0</v>
      </c>
      <c r="P70" s="788"/>
    </row>
    <row r="71" spans="1:16" s="413" customFormat="1" ht="13.5" thickBot="1">
      <c r="A71" s="1182"/>
      <c r="B71" s="916"/>
      <c r="C71" s="419" t="s">
        <v>692</v>
      </c>
      <c r="D71" s="420" t="s">
        <v>3510</v>
      </c>
      <c r="E71" s="693">
        <v>126.80412371134021</v>
      </c>
      <c r="F71" s="442">
        <f t="shared" si="0"/>
        <v>76.082474226804123</v>
      </c>
      <c r="G71" s="786">
        <f t="shared" si="1"/>
        <v>0</v>
      </c>
      <c r="H71" s="787">
        <f t="shared" si="2"/>
        <v>6.3300618556701025</v>
      </c>
      <c r="I71" s="787">
        <f t="shared" si="3"/>
        <v>0</v>
      </c>
      <c r="J71" s="787">
        <f t="shared" si="4"/>
        <v>2.3813814432989693</v>
      </c>
      <c r="K71" s="787">
        <f t="shared" si="5"/>
        <v>0</v>
      </c>
      <c r="L71" s="787">
        <f t="shared" si="6"/>
        <v>1.9477113402061856</v>
      </c>
      <c r="M71" s="787">
        <f t="shared" si="7"/>
        <v>0</v>
      </c>
      <c r="N71" s="787">
        <f t="shared" si="8"/>
        <v>1.6205567010309279</v>
      </c>
      <c r="O71" s="787">
        <f t="shared" si="9"/>
        <v>0</v>
      </c>
      <c r="P71" s="788"/>
    </row>
    <row r="72" spans="1:16" s="413" customFormat="1" ht="13.5" thickBot="1">
      <c r="A72" s="1182"/>
      <c r="B72" s="916"/>
      <c r="C72" s="871" t="s">
        <v>693</v>
      </c>
      <c r="D72" s="420" t="s">
        <v>674</v>
      </c>
      <c r="E72" s="693">
        <v>129.89690721649484</v>
      </c>
      <c r="F72" s="442">
        <f t="shared" si="0"/>
        <v>77.9381443298969</v>
      </c>
      <c r="G72" s="786">
        <f t="shared" si="1"/>
        <v>0</v>
      </c>
      <c r="H72" s="787">
        <f t="shared" si="2"/>
        <v>6.4844536082474216</v>
      </c>
      <c r="I72" s="787">
        <f t="shared" si="3"/>
        <v>0</v>
      </c>
      <c r="J72" s="787">
        <f t="shared" si="4"/>
        <v>2.4394639175257731</v>
      </c>
      <c r="K72" s="787">
        <f t="shared" si="5"/>
        <v>0</v>
      </c>
      <c r="L72" s="787">
        <f t="shared" si="6"/>
        <v>1.9952164948453608</v>
      </c>
      <c r="M72" s="787">
        <f t="shared" si="7"/>
        <v>0</v>
      </c>
      <c r="N72" s="787">
        <f t="shared" si="8"/>
        <v>1.6600824742268039</v>
      </c>
      <c r="O72" s="787">
        <f t="shared" si="9"/>
        <v>0</v>
      </c>
      <c r="P72" s="788"/>
    </row>
    <row r="73" spans="1:16" s="413" customFormat="1" ht="26.25" thickBot="1">
      <c r="A73" s="1182"/>
      <c r="B73" s="916"/>
      <c r="C73" s="419" t="s">
        <v>438</v>
      </c>
      <c r="D73" s="420" t="s">
        <v>594</v>
      </c>
      <c r="E73" s="693">
        <v>1134.020618556701</v>
      </c>
      <c r="F73" s="442">
        <f t="shared" si="0"/>
        <v>680.41237113402065</v>
      </c>
      <c r="G73" s="786">
        <f t="shared" si="1"/>
        <v>0</v>
      </c>
      <c r="H73" s="787">
        <f t="shared" si="2"/>
        <v>56.610309278350513</v>
      </c>
      <c r="I73" s="787">
        <f t="shared" si="3"/>
        <v>0</v>
      </c>
      <c r="J73" s="787">
        <f t="shared" si="4"/>
        <v>21.296907216494848</v>
      </c>
      <c r="K73" s="787">
        <f t="shared" si="5"/>
        <v>0</v>
      </c>
      <c r="L73" s="787">
        <f t="shared" si="6"/>
        <v>17.41855670103093</v>
      </c>
      <c r="M73" s="787">
        <f t="shared" si="7"/>
        <v>0</v>
      </c>
      <c r="N73" s="787">
        <f t="shared" si="8"/>
        <v>14.492783505154639</v>
      </c>
      <c r="O73" s="787">
        <f t="shared" si="9"/>
        <v>0</v>
      </c>
      <c r="P73" s="788"/>
    </row>
    <row r="74" spans="1:16" s="413" customFormat="1" ht="13.5" thickBot="1">
      <c r="A74" s="1182"/>
      <c r="B74" s="916"/>
      <c r="C74" s="419" t="s">
        <v>439</v>
      </c>
      <c r="D74" s="420" t="s">
        <v>595</v>
      </c>
      <c r="E74" s="693">
        <v>809.2783505154639</v>
      </c>
      <c r="F74" s="442">
        <f t="shared" si="0"/>
        <v>485.56701030927832</v>
      </c>
      <c r="G74" s="786">
        <f t="shared" si="1"/>
        <v>0</v>
      </c>
      <c r="H74" s="787">
        <f t="shared" si="2"/>
        <v>40.399175257731955</v>
      </c>
      <c r="I74" s="787">
        <f t="shared" si="3"/>
        <v>0</v>
      </c>
      <c r="J74" s="787">
        <f t="shared" si="4"/>
        <v>15.198247422680412</v>
      </c>
      <c r="K74" s="787">
        <f t="shared" si="5"/>
        <v>0</v>
      </c>
      <c r="L74" s="787">
        <f t="shared" si="6"/>
        <v>12.430515463917526</v>
      </c>
      <c r="M74" s="787">
        <f t="shared" si="7"/>
        <v>0</v>
      </c>
      <c r="N74" s="787">
        <f t="shared" si="8"/>
        <v>10.342577319587628</v>
      </c>
      <c r="O74" s="787">
        <f t="shared" si="9"/>
        <v>0</v>
      </c>
      <c r="P74" s="788"/>
    </row>
    <row r="75" spans="1:16" s="413" customFormat="1" ht="13.5" thickBot="1">
      <c r="A75" s="1182"/>
      <c r="B75" s="916"/>
      <c r="C75" s="785" t="s">
        <v>440</v>
      </c>
      <c r="D75" s="420" t="s">
        <v>418</v>
      </c>
      <c r="E75" s="693">
        <v>688.45360824742261</v>
      </c>
      <c r="F75" s="442">
        <f t="shared" si="0"/>
        <v>413.07216494845358</v>
      </c>
      <c r="G75" s="786">
        <f t="shared" si="1"/>
        <v>0</v>
      </c>
      <c r="H75" s="787">
        <f t="shared" si="2"/>
        <v>34.367604123711338</v>
      </c>
      <c r="I75" s="787">
        <f t="shared" si="3"/>
        <v>0</v>
      </c>
      <c r="J75" s="787">
        <f t="shared" si="4"/>
        <v>12.929158762886598</v>
      </c>
      <c r="K75" s="787">
        <f t="shared" si="5"/>
        <v>0</v>
      </c>
      <c r="L75" s="787">
        <f t="shared" si="6"/>
        <v>10.574647422680412</v>
      </c>
      <c r="M75" s="787">
        <f t="shared" si="7"/>
        <v>0</v>
      </c>
      <c r="N75" s="787">
        <f t="shared" si="8"/>
        <v>8.7984371134020609</v>
      </c>
      <c r="O75" s="787">
        <f t="shared" si="9"/>
        <v>0</v>
      </c>
      <c r="P75" s="788"/>
    </row>
    <row r="76" spans="1:16" s="413" customFormat="1" ht="13.5" thickBot="1">
      <c r="A76" s="1182"/>
      <c r="B76" s="916"/>
      <c r="C76" s="785" t="s">
        <v>441</v>
      </c>
      <c r="D76" s="420" t="s">
        <v>596</v>
      </c>
      <c r="E76" s="693">
        <v>846.39175257731961</v>
      </c>
      <c r="F76" s="442">
        <f t="shared" si="0"/>
        <v>507.83505154639175</v>
      </c>
      <c r="G76" s="786">
        <f t="shared" si="1"/>
        <v>0</v>
      </c>
      <c r="H76" s="787">
        <f t="shared" si="2"/>
        <v>42.251876288659794</v>
      </c>
      <c r="I76" s="787">
        <f t="shared" si="3"/>
        <v>0</v>
      </c>
      <c r="J76" s="787">
        <f t="shared" si="4"/>
        <v>15.895237113402063</v>
      </c>
      <c r="K76" s="787">
        <f t="shared" si="5"/>
        <v>0</v>
      </c>
      <c r="L76" s="787">
        <f t="shared" si="6"/>
        <v>13.000577319587629</v>
      </c>
      <c r="M76" s="787">
        <f t="shared" si="7"/>
        <v>0</v>
      </c>
      <c r="N76" s="787">
        <f t="shared" si="8"/>
        <v>10.816886597938144</v>
      </c>
      <c r="O76" s="787">
        <f t="shared" si="9"/>
        <v>0</v>
      </c>
      <c r="P76" s="788"/>
    </row>
    <row r="77" spans="1:16" s="413" customFormat="1" ht="13.5" thickBot="1">
      <c r="A77" s="1182"/>
      <c r="B77" s="916"/>
      <c r="C77" s="871" t="s">
        <v>442</v>
      </c>
      <c r="D77" s="420" t="s">
        <v>597</v>
      </c>
      <c r="E77" s="693">
        <v>711.34020618556701</v>
      </c>
      <c r="F77" s="442">
        <f t="shared" si="0"/>
        <v>426.8041237113402</v>
      </c>
      <c r="G77" s="786">
        <f t="shared" si="1"/>
        <v>0</v>
      </c>
      <c r="H77" s="787">
        <f t="shared" si="2"/>
        <v>35.510103092783503</v>
      </c>
      <c r="I77" s="787">
        <f t="shared" si="3"/>
        <v>0</v>
      </c>
      <c r="J77" s="787">
        <f t="shared" si="4"/>
        <v>13.358969072164948</v>
      </c>
      <c r="K77" s="787">
        <f t="shared" si="5"/>
        <v>0</v>
      </c>
      <c r="L77" s="787">
        <f t="shared" si="6"/>
        <v>10.926185567010309</v>
      </c>
      <c r="M77" s="787">
        <f t="shared" si="7"/>
        <v>0</v>
      </c>
      <c r="N77" s="787">
        <f t="shared" si="8"/>
        <v>9.0909278350515468</v>
      </c>
      <c r="O77" s="787">
        <f t="shared" si="9"/>
        <v>0</v>
      </c>
      <c r="P77" s="788"/>
    </row>
    <row r="78" spans="1:16" s="413" customFormat="1" ht="13.5" thickBot="1">
      <c r="A78" s="1182"/>
      <c r="B78" s="916"/>
      <c r="C78" s="871" t="s">
        <v>443</v>
      </c>
      <c r="D78" s="420" t="s">
        <v>598</v>
      </c>
      <c r="E78" s="693">
        <v>196.90721649484536</v>
      </c>
      <c r="F78" s="442">
        <f t="shared" si="0"/>
        <v>118.14432989690721</v>
      </c>
      <c r="G78" s="786">
        <f t="shared" si="1"/>
        <v>0</v>
      </c>
      <c r="H78" s="787">
        <f t="shared" si="2"/>
        <v>9.82960824742268</v>
      </c>
      <c r="I78" s="787">
        <f t="shared" si="3"/>
        <v>0</v>
      </c>
      <c r="J78" s="787">
        <f t="shared" si="4"/>
        <v>3.697917525773196</v>
      </c>
      <c r="K78" s="787">
        <f t="shared" si="5"/>
        <v>0</v>
      </c>
      <c r="L78" s="787">
        <f t="shared" si="6"/>
        <v>3.0244948453608247</v>
      </c>
      <c r="M78" s="787">
        <f t="shared" si="7"/>
        <v>0</v>
      </c>
      <c r="N78" s="787">
        <f t="shared" si="8"/>
        <v>2.5164742268041236</v>
      </c>
      <c r="O78" s="787">
        <f t="shared" si="9"/>
        <v>0</v>
      </c>
      <c r="P78" s="788"/>
    </row>
    <row r="79" spans="1:16" s="413" customFormat="1" ht="13.5" thickBot="1">
      <c r="A79" s="1182"/>
      <c r="B79" s="916"/>
      <c r="C79" s="785" t="s">
        <v>444</v>
      </c>
      <c r="D79" s="810" t="s">
        <v>680</v>
      </c>
      <c r="E79" s="693">
        <v>688.45360824742261</v>
      </c>
      <c r="F79" s="442">
        <f t="shared" si="0"/>
        <v>413.07216494845358</v>
      </c>
      <c r="G79" s="786">
        <f t="shared" si="1"/>
        <v>0</v>
      </c>
      <c r="H79" s="787">
        <f t="shared" si="2"/>
        <v>34.367604123711338</v>
      </c>
      <c r="I79" s="787">
        <f t="shared" si="3"/>
        <v>0</v>
      </c>
      <c r="J79" s="787">
        <f t="shared" si="4"/>
        <v>12.929158762886598</v>
      </c>
      <c r="K79" s="787">
        <f t="shared" si="5"/>
        <v>0</v>
      </c>
      <c r="L79" s="787">
        <f t="shared" si="6"/>
        <v>10.574647422680412</v>
      </c>
      <c r="M79" s="787">
        <f t="shared" si="7"/>
        <v>0</v>
      </c>
      <c r="N79" s="787">
        <f t="shared" si="8"/>
        <v>8.7984371134020609</v>
      </c>
      <c r="O79" s="787">
        <f t="shared" si="9"/>
        <v>0</v>
      </c>
      <c r="P79" s="788"/>
    </row>
    <row r="80" spans="1:16" s="413" customFormat="1" ht="13.5" thickBot="1">
      <c r="A80" s="1182"/>
      <c r="B80" s="916"/>
      <c r="C80" s="809" t="s">
        <v>116</v>
      </c>
      <c r="D80" s="810" t="s">
        <v>117</v>
      </c>
      <c r="E80" s="693">
        <v>257.73195876288662</v>
      </c>
      <c r="F80" s="442">
        <f t="shared" si="0"/>
        <v>154.63917525773198</v>
      </c>
      <c r="G80" s="786">
        <f t="shared" si="1"/>
        <v>0</v>
      </c>
      <c r="H80" s="787">
        <f t="shared" si="2"/>
        <v>12.865979381443299</v>
      </c>
      <c r="I80" s="787">
        <f t="shared" si="3"/>
        <v>0</v>
      </c>
      <c r="J80" s="787">
        <f t="shared" si="4"/>
        <v>4.8402061855670109</v>
      </c>
      <c r="K80" s="787">
        <f t="shared" si="5"/>
        <v>0</v>
      </c>
      <c r="L80" s="787">
        <f t="shared" si="6"/>
        <v>3.9587628865979387</v>
      </c>
      <c r="M80" s="787">
        <f t="shared" si="7"/>
        <v>0</v>
      </c>
      <c r="N80" s="787">
        <f t="shared" si="8"/>
        <v>3.293814432989691</v>
      </c>
      <c r="O80" s="787">
        <f t="shared" si="9"/>
        <v>0</v>
      </c>
      <c r="P80" s="788"/>
    </row>
    <row r="81" spans="1:16" s="413" customFormat="1" ht="27.6" customHeight="1" thickBot="1">
      <c r="A81" s="1182"/>
      <c r="B81" s="916"/>
      <c r="C81" s="811" t="s">
        <v>3487</v>
      </c>
      <c r="D81" s="812" t="s">
        <v>3507</v>
      </c>
      <c r="E81" s="877">
        <v>407.21649484536084</v>
      </c>
      <c r="F81" s="442">
        <f t="shared" si="0"/>
        <v>244.32989690721649</v>
      </c>
      <c r="G81" s="786">
        <f t="shared" si="1"/>
        <v>0</v>
      </c>
      <c r="H81" s="787">
        <f t="shared" si="2"/>
        <v>20.328247422680413</v>
      </c>
      <c r="I81" s="787">
        <f t="shared" si="3"/>
        <v>0</v>
      </c>
      <c r="J81" s="787">
        <f t="shared" si="4"/>
        <v>7.647525773195877</v>
      </c>
      <c r="K81" s="787">
        <f t="shared" si="5"/>
        <v>0</v>
      </c>
      <c r="L81" s="787">
        <f t="shared" si="6"/>
        <v>6.254845360824743</v>
      </c>
      <c r="M81" s="787">
        <f t="shared" si="7"/>
        <v>0</v>
      </c>
      <c r="N81" s="787">
        <f t="shared" si="8"/>
        <v>5.204226804123711</v>
      </c>
      <c r="O81" s="787">
        <f t="shared" si="9"/>
        <v>0</v>
      </c>
      <c r="P81" s="788"/>
    </row>
    <row r="82" spans="1:16" s="413" customFormat="1" ht="13.5" thickBot="1">
      <c r="A82" s="1182"/>
      <c r="B82" s="916"/>
      <c r="C82" s="419" t="s">
        <v>3503</v>
      </c>
      <c r="D82" s="420" t="s">
        <v>3528</v>
      </c>
      <c r="E82" s="693">
        <v>3442.2680412371137</v>
      </c>
      <c r="F82" s="442">
        <f t="shared" si="0"/>
        <v>2065.3608247422681</v>
      </c>
      <c r="G82" s="786">
        <f t="shared" si="1"/>
        <v>0</v>
      </c>
      <c r="H82" s="787">
        <f t="shared" si="2"/>
        <v>171.8380206185567</v>
      </c>
      <c r="I82" s="787">
        <f t="shared" si="3"/>
        <v>0</v>
      </c>
      <c r="J82" s="787">
        <f t="shared" si="4"/>
        <v>64.645793814432992</v>
      </c>
      <c r="K82" s="787">
        <f t="shared" si="5"/>
        <v>0</v>
      </c>
      <c r="L82" s="787">
        <f t="shared" si="6"/>
        <v>52.873237113402062</v>
      </c>
      <c r="M82" s="787">
        <f t="shared" si="7"/>
        <v>0</v>
      </c>
      <c r="N82" s="787">
        <f t="shared" si="8"/>
        <v>43.99218556701031</v>
      </c>
      <c r="O82" s="787">
        <f t="shared" si="9"/>
        <v>0</v>
      </c>
      <c r="P82" s="788"/>
    </row>
    <row r="83" spans="1:16" s="413" customFormat="1" ht="13.5" thickBot="1">
      <c r="A83" s="1182"/>
      <c r="B83" s="916"/>
      <c r="C83" s="419" t="s">
        <v>694</v>
      </c>
      <c r="D83" s="420" t="s">
        <v>3527</v>
      </c>
      <c r="E83" s="693">
        <v>1835.8762886597938</v>
      </c>
      <c r="F83" s="442">
        <f t="shared" si="0"/>
        <v>1101.5257731958761</v>
      </c>
      <c r="G83" s="786">
        <f t="shared" si="1"/>
        <v>0</v>
      </c>
      <c r="H83" s="787">
        <f t="shared" si="2"/>
        <v>91.646944329896883</v>
      </c>
      <c r="I83" s="787">
        <f t="shared" si="3"/>
        <v>0</v>
      </c>
      <c r="J83" s="787">
        <f t="shared" si="4"/>
        <v>34.477756701030927</v>
      </c>
      <c r="K83" s="787">
        <f t="shared" si="5"/>
        <v>0</v>
      </c>
      <c r="L83" s="787">
        <f t="shared" si="6"/>
        <v>28.199059793814431</v>
      </c>
      <c r="M83" s="787">
        <f t="shared" si="7"/>
        <v>0</v>
      </c>
      <c r="N83" s="787">
        <f t="shared" si="8"/>
        <v>23.462498969072161</v>
      </c>
      <c r="O83" s="787">
        <f t="shared" si="9"/>
        <v>0</v>
      </c>
      <c r="P83" s="788"/>
    </row>
    <row r="84" spans="1:16" s="413" customFormat="1" ht="13.5" thickBot="1">
      <c r="A84" s="1182"/>
      <c r="B84" s="916"/>
      <c r="C84" s="419" t="s">
        <v>454</v>
      </c>
      <c r="D84" s="420" t="s">
        <v>3526</v>
      </c>
      <c r="E84" s="693">
        <v>872.1649484536083</v>
      </c>
      <c r="F84" s="442">
        <f t="shared" si="0"/>
        <v>523.29896907216494</v>
      </c>
      <c r="G84" s="786">
        <f t="shared" si="1"/>
        <v>0</v>
      </c>
      <c r="H84" s="787">
        <f t="shared" si="2"/>
        <v>43.538474226804119</v>
      </c>
      <c r="I84" s="787">
        <f t="shared" si="3"/>
        <v>0</v>
      </c>
      <c r="J84" s="787">
        <f t="shared" si="4"/>
        <v>16.379257731958763</v>
      </c>
      <c r="K84" s="787">
        <f t="shared" si="5"/>
        <v>0</v>
      </c>
      <c r="L84" s="787">
        <f t="shared" si="6"/>
        <v>13.396453608247423</v>
      </c>
      <c r="M84" s="787">
        <f t="shared" si="7"/>
        <v>0</v>
      </c>
      <c r="N84" s="787">
        <f t="shared" si="8"/>
        <v>11.146268041237112</v>
      </c>
      <c r="O84" s="787">
        <f t="shared" si="9"/>
        <v>0</v>
      </c>
      <c r="P84" s="788"/>
    </row>
    <row r="85" spans="1:16" s="413" customFormat="1" ht="13.5" thickBot="1">
      <c r="A85" s="1182"/>
      <c r="B85" s="916"/>
      <c r="C85" s="785" t="s">
        <v>70</v>
      </c>
      <c r="D85" s="420" t="s">
        <v>682</v>
      </c>
      <c r="E85" s="693">
        <v>61.855670103092784</v>
      </c>
      <c r="F85" s="442">
        <f t="shared" si="0"/>
        <v>37.113402061855666</v>
      </c>
      <c r="G85" s="786">
        <f t="shared" si="1"/>
        <v>0</v>
      </c>
      <c r="H85" s="787">
        <f t="shared" si="2"/>
        <v>3.0878350515463913</v>
      </c>
      <c r="I85" s="787">
        <f t="shared" si="3"/>
        <v>0</v>
      </c>
      <c r="J85" s="787">
        <f t="shared" si="4"/>
        <v>1.1616494845360823</v>
      </c>
      <c r="K85" s="787">
        <f t="shared" si="5"/>
        <v>0</v>
      </c>
      <c r="L85" s="787">
        <f t="shared" si="6"/>
        <v>0.95010309278350513</v>
      </c>
      <c r="M85" s="787">
        <f t="shared" si="7"/>
        <v>0</v>
      </c>
      <c r="N85" s="787">
        <f t="shared" si="8"/>
        <v>0.7905154639175257</v>
      </c>
      <c r="O85" s="787">
        <f t="shared" si="9"/>
        <v>0</v>
      </c>
      <c r="P85" s="788"/>
    </row>
    <row r="86" spans="1:16" s="413" customFormat="1" ht="13.5" thickBot="1">
      <c r="A86" s="1182"/>
      <c r="B86" s="916"/>
      <c r="C86" s="419" t="s">
        <v>456</v>
      </c>
      <c r="D86" s="420" t="s">
        <v>683</v>
      </c>
      <c r="E86" s="693">
        <v>123.71134020618557</v>
      </c>
      <c r="F86" s="442">
        <f t="shared" si="0"/>
        <v>74.226804123711332</v>
      </c>
      <c r="G86" s="527">
        <f t="shared" si="1"/>
        <v>0</v>
      </c>
      <c r="H86" s="787">
        <f t="shared" si="2"/>
        <v>6.1756701030927825</v>
      </c>
      <c r="I86" s="528">
        <f t="shared" si="3"/>
        <v>0</v>
      </c>
      <c r="J86" s="787">
        <f t="shared" si="4"/>
        <v>2.3232989690721646</v>
      </c>
      <c r="K86" s="528">
        <f t="shared" si="5"/>
        <v>0</v>
      </c>
      <c r="L86" s="787">
        <f t="shared" si="6"/>
        <v>1.9002061855670103</v>
      </c>
      <c r="M86" s="528">
        <f t="shared" si="7"/>
        <v>0</v>
      </c>
      <c r="N86" s="787">
        <f t="shared" si="8"/>
        <v>1.5810309278350514</v>
      </c>
      <c r="O86" s="528">
        <f t="shared" si="9"/>
        <v>0</v>
      </c>
      <c r="P86" s="788"/>
    </row>
    <row r="87" spans="1:16" s="413" customFormat="1" ht="13.5" thickBot="1">
      <c r="A87" s="1182"/>
      <c r="B87" s="916"/>
      <c r="C87" s="419" t="s">
        <v>3501</v>
      </c>
      <c r="D87" s="420" t="s">
        <v>3572</v>
      </c>
      <c r="E87" s="693">
        <v>114.43298969072166</v>
      </c>
      <c r="F87" s="442">
        <f t="shared" si="0"/>
        <v>68.659793814432987</v>
      </c>
      <c r="G87" s="786">
        <f t="shared" si="1"/>
        <v>0</v>
      </c>
      <c r="H87" s="787">
        <f t="shared" si="2"/>
        <v>5.7124948453608244</v>
      </c>
      <c r="I87" s="787">
        <f t="shared" si="3"/>
        <v>0</v>
      </c>
      <c r="J87" s="787">
        <f t="shared" si="4"/>
        <v>2.1490515463917528</v>
      </c>
      <c r="K87" s="787">
        <f t="shared" si="5"/>
        <v>0</v>
      </c>
      <c r="L87" s="787">
        <f t="shared" si="6"/>
        <v>1.7576907216494846</v>
      </c>
      <c r="M87" s="787">
        <f t="shared" si="7"/>
        <v>0</v>
      </c>
      <c r="N87" s="787">
        <f t="shared" si="8"/>
        <v>1.4624536082474227</v>
      </c>
      <c r="O87" s="787">
        <f t="shared" si="9"/>
        <v>0</v>
      </c>
      <c r="P87" s="788"/>
    </row>
    <row r="88" spans="1:16" s="413" customFormat="1" ht="13.5" thickBot="1">
      <c r="A88" s="1182"/>
      <c r="B88" s="916"/>
      <c r="C88" s="419" t="s">
        <v>695</v>
      </c>
      <c r="D88" s="420" t="s">
        <v>3531</v>
      </c>
      <c r="E88" s="693">
        <v>941.23711340206194</v>
      </c>
      <c r="F88" s="442">
        <f t="shared" si="0"/>
        <v>564.74226804123714</v>
      </c>
      <c r="G88" s="786">
        <f t="shared" si="1"/>
        <v>0</v>
      </c>
      <c r="H88" s="787">
        <f t="shared" si="2"/>
        <v>46.986556701030928</v>
      </c>
      <c r="I88" s="787">
        <f t="shared" si="3"/>
        <v>0</v>
      </c>
      <c r="J88" s="787">
        <f t="shared" si="4"/>
        <v>17.676432989690724</v>
      </c>
      <c r="K88" s="787">
        <f t="shared" si="5"/>
        <v>0</v>
      </c>
      <c r="L88" s="787">
        <f t="shared" si="6"/>
        <v>14.457402061855671</v>
      </c>
      <c r="M88" s="787">
        <f t="shared" si="7"/>
        <v>0</v>
      </c>
      <c r="N88" s="787">
        <f t="shared" si="8"/>
        <v>12.02901030927835</v>
      </c>
      <c r="O88" s="787">
        <f t="shared" si="9"/>
        <v>0</v>
      </c>
      <c r="P88" s="788"/>
    </row>
    <row r="89" spans="1:16" s="413" customFormat="1" ht="13.5" thickBot="1">
      <c r="A89" s="1182"/>
      <c r="B89" s="916"/>
      <c r="C89" s="785" t="s">
        <v>696</v>
      </c>
      <c r="D89" s="878" t="s">
        <v>3532</v>
      </c>
      <c r="E89" s="693">
        <v>1227.8350515463917</v>
      </c>
      <c r="F89" s="442">
        <f t="shared" si="0"/>
        <v>736.70103092783495</v>
      </c>
      <c r="G89" s="786">
        <f t="shared" si="1"/>
        <v>0</v>
      </c>
      <c r="H89" s="787">
        <f t="shared" si="2"/>
        <v>61.293525773195867</v>
      </c>
      <c r="I89" s="787">
        <f t="shared" si="3"/>
        <v>0</v>
      </c>
      <c r="J89" s="787">
        <f t="shared" si="4"/>
        <v>23.058742268041236</v>
      </c>
      <c r="K89" s="787">
        <f t="shared" si="5"/>
        <v>0</v>
      </c>
      <c r="L89" s="787">
        <f t="shared" si="6"/>
        <v>18.859546391752577</v>
      </c>
      <c r="M89" s="787">
        <f t="shared" si="7"/>
        <v>0</v>
      </c>
      <c r="N89" s="787">
        <f t="shared" si="8"/>
        <v>15.691731958762883</v>
      </c>
      <c r="O89" s="787">
        <f t="shared" si="9"/>
        <v>0</v>
      </c>
      <c r="P89" s="788"/>
    </row>
    <row r="90" spans="1:16" s="413" customFormat="1" ht="13.5" thickBot="1">
      <c r="A90" s="1182"/>
      <c r="B90" s="916"/>
      <c r="C90" s="785" t="s">
        <v>697</v>
      </c>
      <c r="D90" s="420" t="s">
        <v>3529</v>
      </c>
      <c r="E90" s="693">
        <v>1445.3608247422681</v>
      </c>
      <c r="F90" s="442">
        <f t="shared" si="0"/>
        <v>867.21649484536078</v>
      </c>
      <c r="G90" s="786">
        <f t="shared" si="1"/>
        <v>0</v>
      </c>
      <c r="H90" s="787">
        <f t="shared" si="2"/>
        <v>72.15241237113402</v>
      </c>
      <c r="I90" s="787">
        <f t="shared" si="3"/>
        <v>0</v>
      </c>
      <c r="J90" s="787">
        <f t="shared" si="4"/>
        <v>27.143876288659794</v>
      </c>
      <c r="K90" s="787">
        <f t="shared" si="5"/>
        <v>0</v>
      </c>
      <c r="L90" s="787">
        <f t="shared" si="6"/>
        <v>22.200742268041235</v>
      </c>
      <c r="M90" s="787">
        <f t="shared" si="7"/>
        <v>0</v>
      </c>
      <c r="N90" s="787">
        <f t="shared" si="8"/>
        <v>18.471711340206184</v>
      </c>
      <c r="O90" s="787">
        <f t="shared" si="9"/>
        <v>0</v>
      </c>
      <c r="P90" s="788"/>
    </row>
    <row r="91" spans="1:16" s="413" customFormat="1" ht="13.5" thickBot="1">
      <c r="A91" s="1182"/>
      <c r="B91" s="916"/>
      <c r="C91" s="785" t="s">
        <v>3504</v>
      </c>
      <c r="D91" s="420" t="s">
        <v>3530</v>
      </c>
      <c r="E91" s="693">
        <v>1720.6185567010309</v>
      </c>
      <c r="F91" s="442">
        <f t="shared" si="0"/>
        <v>1032.3711340206185</v>
      </c>
      <c r="G91" s="786">
        <f t="shared" si="1"/>
        <v>0</v>
      </c>
      <c r="H91" s="787">
        <f t="shared" si="2"/>
        <v>85.893278350515445</v>
      </c>
      <c r="I91" s="787">
        <f t="shared" si="3"/>
        <v>0</v>
      </c>
      <c r="J91" s="787">
        <f t="shared" si="4"/>
        <v>32.313216494845356</v>
      </c>
      <c r="K91" s="787">
        <f t="shared" si="5"/>
        <v>0</v>
      </c>
      <c r="L91" s="787">
        <f t="shared" si="6"/>
        <v>26.428701030927833</v>
      </c>
      <c r="M91" s="787">
        <f t="shared" si="7"/>
        <v>0</v>
      </c>
      <c r="N91" s="787">
        <f t="shared" si="8"/>
        <v>21.989505154639172</v>
      </c>
      <c r="O91" s="787">
        <f t="shared" si="9"/>
        <v>0</v>
      </c>
      <c r="P91" s="788"/>
    </row>
    <row r="92" spans="1:16" s="413" customFormat="1" ht="13.5" thickBot="1">
      <c r="A92" s="1182"/>
      <c r="B92" s="916"/>
      <c r="C92" s="871" t="s">
        <v>3494</v>
      </c>
      <c r="D92" s="420" t="s">
        <v>3517</v>
      </c>
      <c r="E92" s="693">
        <v>1144.3298969072166</v>
      </c>
      <c r="F92" s="442">
        <f t="shared" si="0"/>
        <v>686.59793814432999</v>
      </c>
      <c r="G92" s="786">
        <f t="shared" si="1"/>
        <v>0</v>
      </c>
      <c r="H92" s="787">
        <f t="shared" si="2"/>
        <v>57.124948453608255</v>
      </c>
      <c r="I92" s="787">
        <f t="shared" si="3"/>
        <v>0</v>
      </c>
      <c r="J92" s="787">
        <f t="shared" si="4"/>
        <v>21.490515463917529</v>
      </c>
      <c r="K92" s="787">
        <f t="shared" si="5"/>
        <v>0</v>
      </c>
      <c r="L92" s="787">
        <f t="shared" si="6"/>
        <v>17.576907216494849</v>
      </c>
      <c r="M92" s="787">
        <f t="shared" si="7"/>
        <v>0</v>
      </c>
      <c r="N92" s="787">
        <f t="shared" si="8"/>
        <v>14.624536082474229</v>
      </c>
      <c r="O92" s="787">
        <f t="shared" si="9"/>
        <v>0</v>
      </c>
      <c r="P92" s="788"/>
    </row>
    <row r="93" spans="1:16" s="413" customFormat="1" ht="13.5" thickBot="1">
      <c r="A93" s="1182"/>
      <c r="B93" s="916"/>
      <c r="C93" s="871" t="s">
        <v>3499</v>
      </c>
      <c r="D93" s="420" t="s">
        <v>3522</v>
      </c>
      <c r="E93" s="693">
        <v>604.12371134020623</v>
      </c>
      <c r="F93" s="442">
        <f t="shared" si="0"/>
        <v>362.4742268041237</v>
      </c>
      <c r="G93" s="786">
        <f t="shared" si="1"/>
        <v>0</v>
      </c>
      <c r="H93" s="787">
        <f t="shared" si="2"/>
        <v>30.157855670103089</v>
      </c>
      <c r="I93" s="787">
        <f t="shared" si="3"/>
        <v>0</v>
      </c>
      <c r="J93" s="787">
        <f t="shared" si="4"/>
        <v>11.345443298969073</v>
      </c>
      <c r="K93" s="787">
        <f t="shared" si="5"/>
        <v>0</v>
      </c>
      <c r="L93" s="787">
        <f t="shared" si="6"/>
        <v>9.2793402061855677</v>
      </c>
      <c r="M93" s="787">
        <f t="shared" si="7"/>
        <v>0</v>
      </c>
      <c r="N93" s="787">
        <f t="shared" si="8"/>
        <v>7.7207010309278346</v>
      </c>
      <c r="O93" s="787">
        <f t="shared" si="9"/>
        <v>0</v>
      </c>
      <c r="P93" s="788"/>
    </row>
    <row r="94" spans="1:16" s="413" customFormat="1" ht="13.5" thickBot="1">
      <c r="A94" s="1182"/>
      <c r="B94" s="916"/>
      <c r="C94" s="871" t="s">
        <v>3500</v>
      </c>
      <c r="D94" s="420" t="s">
        <v>3590</v>
      </c>
      <c r="E94" s="693">
        <v>876.28865979381442</v>
      </c>
      <c r="F94" s="442">
        <f t="shared" si="0"/>
        <v>525.77319587628858</v>
      </c>
      <c r="G94" s="786">
        <f t="shared" si="1"/>
        <v>0</v>
      </c>
      <c r="H94" s="787">
        <f t="shared" si="2"/>
        <v>43.74432989690721</v>
      </c>
      <c r="I94" s="787">
        <f t="shared" si="3"/>
        <v>0</v>
      </c>
      <c r="J94" s="787">
        <f t="shared" si="4"/>
        <v>16.456701030927832</v>
      </c>
      <c r="K94" s="787">
        <f t="shared" si="5"/>
        <v>0</v>
      </c>
      <c r="L94" s="787">
        <f t="shared" si="6"/>
        <v>13.459793814432988</v>
      </c>
      <c r="M94" s="787">
        <f t="shared" si="7"/>
        <v>0</v>
      </c>
      <c r="N94" s="787">
        <f t="shared" si="8"/>
        <v>11.198969072164946</v>
      </c>
      <c r="O94" s="787">
        <f t="shared" si="9"/>
        <v>0</v>
      </c>
      <c r="P94" s="788"/>
    </row>
    <row r="95" spans="1:16" s="413" customFormat="1" ht="13.5" thickBot="1">
      <c r="A95" s="1182"/>
      <c r="B95" s="916"/>
      <c r="C95" s="419" t="s">
        <v>3576</v>
      </c>
      <c r="D95" s="420" t="s">
        <v>3571</v>
      </c>
      <c r="E95" s="693">
        <v>216.21649484536081</v>
      </c>
      <c r="F95" s="442">
        <f t="shared" si="0"/>
        <v>129.72989690721647</v>
      </c>
      <c r="G95" s="786">
        <f t="shared" si="1"/>
        <v>0</v>
      </c>
      <c r="H95" s="787">
        <f t="shared" si="2"/>
        <v>10.793527422680411</v>
      </c>
      <c r="I95" s="787">
        <f t="shared" si="3"/>
        <v>0</v>
      </c>
      <c r="J95" s="787">
        <f t="shared" si="4"/>
        <v>4.0605457731958756</v>
      </c>
      <c r="K95" s="787">
        <f t="shared" si="5"/>
        <v>0</v>
      </c>
      <c r="L95" s="787">
        <f t="shared" si="6"/>
        <v>3.3210853608247417</v>
      </c>
      <c r="M95" s="787">
        <f t="shared" si="7"/>
        <v>0</v>
      </c>
      <c r="N95" s="787">
        <f t="shared" si="8"/>
        <v>2.7632468041237108</v>
      </c>
      <c r="O95" s="787">
        <f t="shared" si="9"/>
        <v>0</v>
      </c>
      <c r="P95" s="788"/>
    </row>
    <row r="96" spans="1:16" s="413" customFormat="1" ht="13.5" thickBot="1">
      <c r="A96" s="1182"/>
      <c r="B96" s="916"/>
      <c r="C96" s="419" t="s">
        <v>698</v>
      </c>
      <c r="D96" s="420" t="s">
        <v>3565</v>
      </c>
      <c r="E96" s="693">
        <v>1262.8865979381444</v>
      </c>
      <c r="F96" s="442">
        <f t="shared" si="0"/>
        <v>757.73195876288662</v>
      </c>
      <c r="G96" s="786">
        <f t="shared" si="1"/>
        <v>0</v>
      </c>
      <c r="H96" s="787">
        <f t="shared" si="2"/>
        <v>63.043298969072161</v>
      </c>
      <c r="I96" s="787">
        <f t="shared" si="3"/>
        <v>0</v>
      </c>
      <c r="J96" s="787">
        <f t="shared" si="4"/>
        <v>23.717010309278351</v>
      </c>
      <c r="K96" s="787">
        <f t="shared" si="5"/>
        <v>0</v>
      </c>
      <c r="L96" s="787">
        <f t="shared" si="6"/>
        <v>19.397938144329899</v>
      </c>
      <c r="M96" s="787">
        <f t="shared" si="7"/>
        <v>0</v>
      </c>
      <c r="N96" s="787">
        <f t="shared" si="8"/>
        <v>16.139690721649483</v>
      </c>
      <c r="O96" s="787">
        <f t="shared" si="9"/>
        <v>0</v>
      </c>
      <c r="P96" s="788"/>
    </row>
    <row r="97" spans="1:16" s="413" customFormat="1" ht="13.5" thickBot="1">
      <c r="A97" s="1182"/>
      <c r="B97" s="916"/>
      <c r="C97" s="419" t="s">
        <v>493</v>
      </c>
      <c r="D97" s="420" t="s">
        <v>52</v>
      </c>
      <c r="E97" s="693">
        <v>49.175257731958766</v>
      </c>
      <c r="F97" s="59">
        <f t="shared" si="0"/>
        <v>29.505154639175259</v>
      </c>
      <c r="G97" s="527">
        <f t="shared" si="1"/>
        <v>0</v>
      </c>
      <c r="H97" s="528">
        <f t="shared" si="2"/>
        <v>2.4548288659793815</v>
      </c>
      <c r="I97" s="528">
        <f t="shared" si="3"/>
        <v>0</v>
      </c>
      <c r="J97" s="528">
        <f t="shared" si="4"/>
        <v>0.92351134020618564</v>
      </c>
      <c r="K97" s="528">
        <f t="shared" si="5"/>
        <v>0</v>
      </c>
      <c r="L97" s="528">
        <f t="shared" si="6"/>
        <v>0.75533195876288672</v>
      </c>
      <c r="M97" s="528">
        <f t="shared" si="7"/>
        <v>0</v>
      </c>
      <c r="N97" s="528">
        <f t="shared" si="8"/>
        <v>0.62845979381443307</v>
      </c>
      <c r="O97" s="528">
        <f t="shared" si="9"/>
        <v>0</v>
      </c>
      <c r="P97" s="788"/>
    </row>
    <row r="98" spans="1:16" s="413" customFormat="1" ht="13.5" thickBot="1">
      <c r="A98" s="1182"/>
      <c r="B98" s="916"/>
      <c r="C98" s="419" t="s">
        <v>478</v>
      </c>
      <c r="D98" s="420" t="s">
        <v>3560</v>
      </c>
      <c r="E98" s="693">
        <v>27.319587628865982</v>
      </c>
      <c r="F98" s="59">
        <f t="shared" si="0"/>
        <v>16.39175257731959</v>
      </c>
      <c r="G98" s="527">
        <f t="shared" si="1"/>
        <v>0</v>
      </c>
      <c r="H98" s="528">
        <f t="shared" si="2"/>
        <v>1.3637938144329897</v>
      </c>
      <c r="I98" s="528">
        <f t="shared" si="3"/>
        <v>0</v>
      </c>
      <c r="J98" s="528">
        <f t="shared" si="4"/>
        <v>0.51306185567010321</v>
      </c>
      <c r="K98" s="528">
        <f t="shared" si="5"/>
        <v>0</v>
      </c>
      <c r="L98" s="528">
        <f t="shared" si="6"/>
        <v>0.41962886597938154</v>
      </c>
      <c r="M98" s="528">
        <f t="shared" si="7"/>
        <v>0</v>
      </c>
      <c r="N98" s="528">
        <f t="shared" si="8"/>
        <v>0.34914432989690725</v>
      </c>
      <c r="O98" s="528">
        <f t="shared" si="9"/>
        <v>0</v>
      </c>
      <c r="P98" s="788"/>
    </row>
    <row r="99" spans="1:16" s="413" customFormat="1" ht="13.5" thickBot="1">
      <c r="A99" s="1182"/>
      <c r="B99" s="916"/>
      <c r="C99" s="419" t="s">
        <v>33</v>
      </c>
      <c r="D99" s="420" t="s">
        <v>3509</v>
      </c>
      <c r="E99" s="693">
        <v>30.927835051546392</v>
      </c>
      <c r="F99" s="442">
        <f t="shared" si="0"/>
        <v>18.556701030927833</v>
      </c>
      <c r="G99" s="786">
        <f t="shared" si="1"/>
        <v>0</v>
      </c>
      <c r="H99" s="787">
        <f t="shared" si="2"/>
        <v>1.5439175257731956</v>
      </c>
      <c r="I99" s="787">
        <f t="shared" si="3"/>
        <v>0</v>
      </c>
      <c r="J99" s="787">
        <f t="shared" si="4"/>
        <v>0.58082474226804115</v>
      </c>
      <c r="K99" s="787">
        <f t="shared" si="5"/>
        <v>0</v>
      </c>
      <c r="L99" s="787">
        <f t="shared" si="6"/>
        <v>0.47505154639175257</v>
      </c>
      <c r="M99" s="787">
        <f t="shared" si="7"/>
        <v>0</v>
      </c>
      <c r="N99" s="787">
        <f t="shared" si="8"/>
        <v>0.39525773195876285</v>
      </c>
      <c r="O99" s="787">
        <f t="shared" si="9"/>
        <v>0</v>
      </c>
      <c r="P99" s="788"/>
    </row>
    <row r="100" spans="1:16" s="413" customFormat="1" ht="13.5" thickBot="1">
      <c r="A100" s="1182"/>
      <c r="B100" s="916"/>
      <c r="C100" s="785" t="s">
        <v>700</v>
      </c>
      <c r="D100" s="878" t="s">
        <v>3566</v>
      </c>
      <c r="E100" s="693">
        <v>268.04123711340208</v>
      </c>
      <c r="F100" s="442">
        <f t="shared" si="0"/>
        <v>160.82474226804123</v>
      </c>
      <c r="G100" s="786">
        <f t="shared" si="1"/>
        <v>0</v>
      </c>
      <c r="H100" s="787">
        <f t="shared" si="2"/>
        <v>13.38061855670103</v>
      </c>
      <c r="I100" s="787">
        <f t="shared" si="3"/>
        <v>0</v>
      </c>
      <c r="J100" s="787">
        <f t="shared" si="4"/>
        <v>5.0338144329896908</v>
      </c>
      <c r="K100" s="787">
        <f t="shared" si="5"/>
        <v>0</v>
      </c>
      <c r="L100" s="787">
        <f t="shared" si="6"/>
        <v>4.1171134020618556</v>
      </c>
      <c r="M100" s="787">
        <f t="shared" si="7"/>
        <v>0</v>
      </c>
      <c r="N100" s="787">
        <f t="shared" si="8"/>
        <v>3.4255670103092783</v>
      </c>
      <c r="O100" s="787">
        <f t="shared" si="9"/>
        <v>0</v>
      </c>
      <c r="P100" s="788"/>
    </row>
    <row r="101" spans="1:16" s="413" customFormat="1" ht="13.5" thickBot="1">
      <c r="A101" s="1182"/>
      <c r="B101" s="916"/>
      <c r="C101" s="871" t="s">
        <v>453</v>
      </c>
      <c r="D101" s="420" t="s">
        <v>3562</v>
      </c>
      <c r="E101" s="693">
        <v>115.4639175257732</v>
      </c>
      <c r="F101" s="442">
        <f t="shared" si="0"/>
        <v>69.278350515463913</v>
      </c>
      <c r="G101" s="786">
        <f t="shared" si="1"/>
        <v>0</v>
      </c>
      <c r="H101" s="787">
        <f t="shared" si="2"/>
        <v>5.7639587628865971</v>
      </c>
      <c r="I101" s="787">
        <f t="shared" si="3"/>
        <v>0</v>
      </c>
      <c r="J101" s="787">
        <f t="shared" si="4"/>
        <v>2.1684123711340204</v>
      </c>
      <c r="K101" s="787">
        <f t="shared" si="5"/>
        <v>0</v>
      </c>
      <c r="L101" s="787">
        <f t="shared" si="6"/>
        <v>1.7735257731958762</v>
      </c>
      <c r="M101" s="787">
        <f t="shared" si="7"/>
        <v>0</v>
      </c>
      <c r="N101" s="787">
        <f t="shared" si="8"/>
        <v>1.4756288659793813</v>
      </c>
      <c r="O101" s="787">
        <f t="shared" si="9"/>
        <v>0</v>
      </c>
      <c r="P101" s="788"/>
    </row>
    <row r="102" spans="1:16" s="437" customFormat="1" ht="13.5" thickBot="1">
      <c r="A102" s="1183"/>
      <c r="B102" s="916"/>
      <c r="C102" s="419" t="s">
        <v>3493</v>
      </c>
      <c r="D102" s="420" t="s">
        <v>3516</v>
      </c>
      <c r="E102" s="693">
        <v>5164.9484536082473</v>
      </c>
      <c r="F102" s="442">
        <f t="shared" si="0"/>
        <v>3098.9690721649481</v>
      </c>
      <c r="G102" s="786">
        <f t="shared" si="1"/>
        <v>0</v>
      </c>
      <c r="H102" s="787">
        <f t="shared" si="2"/>
        <v>257.83422680412366</v>
      </c>
      <c r="I102" s="787">
        <f t="shared" si="3"/>
        <v>0</v>
      </c>
      <c r="J102" s="787">
        <f t="shared" si="4"/>
        <v>96.997731958762884</v>
      </c>
      <c r="K102" s="787">
        <f t="shared" si="5"/>
        <v>0</v>
      </c>
      <c r="L102" s="787">
        <f t="shared" si="6"/>
        <v>79.333608247422674</v>
      </c>
      <c r="M102" s="787">
        <f t="shared" si="7"/>
        <v>0</v>
      </c>
      <c r="N102" s="787">
        <f t="shared" si="8"/>
        <v>66.008041237113389</v>
      </c>
      <c r="O102" s="787">
        <f t="shared" si="9"/>
        <v>0</v>
      </c>
      <c r="P102" s="788"/>
    </row>
    <row r="103" spans="1:16" s="437" customFormat="1" ht="15">
      <c r="C103" s="918"/>
      <c r="D103" s="1059" t="s">
        <v>183</v>
      </c>
      <c r="E103" s="1124"/>
      <c r="F103" s="1060"/>
      <c r="G103" s="450">
        <f t="array" ref="G103">SUM(G51:G102)+G39:G51:G102+G43:G51:G102+G47</f>
        <v>0</v>
      </c>
      <c r="H103" s="451" t="s">
        <v>184</v>
      </c>
      <c r="I103" s="450">
        <f t="array" ref="I103">SUM(I51:I102)+I39:I51:I102+I43:I51:I102+I47</f>
        <v>0</v>
      </c>
      <c r="J103" s="451" t="s">
        <v>185</v>
      </c>
      <c r="K103" s="450">
        <f t="array" ref="K103">SUM(K51:K102)+K39:K51:K102+K43:K51:K102+K47</f>
        <v>0</v>
      </c>
      <c r="L103" s="451" t="s">
        <v>186</v>
      </c>
      <c r="M103" s="450">
        <f t="array" ref="M103">SUM(M51:M102)+M39:M51:M102+M43:M51:M102+M47</f>
        <v>0</v>
      </c>
      <c r="N103" s="451" t="s">
        <v>187</v>
      </c>
      <c r="O103" s="450">
        <f t="array" ref="O103">SUM(O51:O102)+O39:O51:O102+O43:O51:O102+O47</f>
        <v>0</v>
      </c>
    </row>
    <row r="104" spans="1:16" s="437" customFormat="1" ht="14.25">
      <c r="C104" s="919"/>
      <c r="F104" s="626"/>
    </row>
    <row r="118" spans="3:3">
      <c r="C118" s="920"/>
    </row>
  </sheetData>
  <mergeCells count="55">
    <mergeCell ref="A50:O50"/>
    <mergeCell ref="A51:A102"/>
    <mergeCell ref="D103:F103"/>
    <mergeCell ref="O43:O45"/>
    <mergeCell ref="A47:A49"/>
    <mergeCell ref="B47:B49"/>
    <mergeCell ref="G47:G49"/>
    <mergeCell ref="I47:I49"/>
    <mergeCell ref="K47:K49"/>
    <mergeCell ref="M47:M49"/>
    <mergeCell ref="O47:O49"/>
    <mergeCell ref="A43:A45"/>
    <mergeCell ref="B43:B45"/>
    <mergeCell ref="G43:G45"/>
    <mergeCell ref="I43:I45"/>
    <mergeCell ref="K43:K45"/>
    <mergeCell ref="M43:M45"/>
    <mergeCell ref="I33:K35"/>
    <mergeCell ref="F37:G37"/>
    <mergeCell ref="H37:O37"/>
    <mergeCell ref="A39:A41"/>
    <mergeCell ref="B39:B41"/>
    <mergeCell ref="G39:G41"/>
    <mergeCell ref="I39:I41"/>
    <mergeCell ref="K39:K41"/>
    <mergeCell ref="M39:M41"/>
    <mergeCell ref="O39:O41"/>
    <mergeCell ref="A30:C30"/>
    <mergeCell ref="E30:H30"/>
    <mergeCell ref="I30:J30"/>
    <mergeCell ref="K30:M30"/>
    <mergeCell ref="N30:O30"/>
    <mergeCell ref="A31:C31"/>
    <mergeCell ref="E31:H31"/>
    <mergeCell ref="I31:J31"/>
    <mergeCell ref="K31:M31"/>
    <mergeCell ref="N31:O31"/>
    <mergeCell ref="A28:C28"/>
    <mergeCell ref="E28:H28"/>
    <mergeCell ref="I28:J28"/>
    <mergeCell ref="K28:M28"/>
    <mergeCell ref="N28:O28"/>
    <mergeCell ref="A29:C29"/>
    <mergeCell ref="E29:H29"/>
    <mergeCell ref="I29:J29"/>
    <mergeCell ref="K29:M29"/>
    <mergeCell ref="N29:O29"/>
    <mergeCell ref="A27:D27"/>
    <mergeCell ref="E27:J27"/>
    <mergeCell ref="K27:O27"/>
    <mergeCell ref="A4:O4"/>
    <mergeCell ref="A5:O5"/>
    <mergeCell ref="H8:J8"/>
    <mergeCell ref="D23:D24"/>
    <mergeCell ref="A26:O26"/>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indexed="62"/>
  </sheetPr>
  <dimension ref="A1:O122"/>
  <sheetViews>
    <sheetView topLeftCell="A21" zoomScaleNormal="100" workbookViewId="0">
      <selection activeCell="D38" sqref="D38"/>
    </sheetView>
  </sheetViews>
  <sheetFormatPr defaultColWidth="8.85546875" defaultRowHeight="12.75"/>
  <cols>
    <col min="1" max="1" width="14.42578125" style="104" customWidth="1"/>
    <col min="2" max="2" width="9.42578125" style="104" customWidth="1"/>
    <col min="3" max="3" width="19.42578125" style="349" customWidth="1"/>
    <col min="4" max="4" width="37.42578125" style="104" customWidth="1"/>
    <col min="5" max="5" width="17.42578125" style="104" customWidth="1"/>
    <col min="6" max="6" width="19" style="165" customWidth="1"/>
    <col min="7" max="7" width="15.42578125" style="104" customWidth="1"/>
    <col min="8" max="8" width="28.28515625" style="104" bestFit="1" customWidth="1"/>
    <col min="9" max="9" width="20.140625" style="104" customWidth="1"/>
    <col min="10" max="10" width="25" style="104" bestFit="1" customWidth="1"/>
    <col min="11" max="11" width="19" style="104" customWidth="1"/>
    <col min="12" max="12" width="25" style="104" bestFit="1" customWidth="1"/>
    <col min="13" max="13" width="17" style="104" customWidth="1"/>
    <col min="14" max="14" width="25" style="104" bestFit="1" customWidth="1"/>
    <col min="15" max="15" width="18.85546875" style="104" customWidth="1"/>
    <col min="16" max="16384" width="8.85546875" style="104"/>
  </cols>
  <sheetData>
    <row r="1" spans="1:15" ht="13.5" thickBot="1">
      <c r="B1" s="107"/>
      <c r="C1" s="318"/>
      <c r="D1" s="106"/>
      <c r="E1" s="106"/>
      <c r="F1" s="107"/>
      <c r="G1" s="107"/>
      <c r="H1" s="107"/>
      <c r="I1" s="107"/>
      <c r="J1" s="107"/>
      <c r="K1" s="106"/>
      <c r="L1" s="107"/>
    </row>
    <row r="2" spans="1:15" ht="9" customHeight="1">
      <c r="A2" s="108"/>
      <c r="B2" s="112"/>
      <c r="C2" s="319"/>
      <c r="D2" s="110"/>
      <c r="E2" s="110"/>
      <c r="F2" s="111"/>
      <c r="G2" s="112"/>
      <c r="H2" s="111"/>
      <c r="I2" s="112"/>
      <c r="J2" s="112"/>
      <c r="K2" s="112"/>
      <c r="L2" s="112"/>
      <c r="M2" s="108"/>
      <c r="N2" s="108"/>
      <c r="O2" s="108"/>
    </row>
    <row r="3" spans="1:15" ht="10.5" customHeight="1">
      <c r="B3" s="113"/>
      <c r="C3" s="318"/>
      <c r="D3" s="106"/>
      <c r="E3" s="106"/>
      <c r="F3" s="107"/>
      <c r="G3" s="113"/>
      <c r="H3" s="107"/>
      <c r="I3" s="113"/>
      <c r="J3" s="113"/>
      <c r="K3" s="113"/>
      <c r="L3" s="113"/>
    </row>
    <row r="4" spans="1:15" ht="36" customHeight="1">
      <c r="A4" s="981" t="s">
        <v>4484</v>
      </c>
      <c r="B4" s="979"/>
      <c r="C4" s="979"/>
      <c r="D4" s="979"/>
      <c r="E4" s="979"/>
      <c r="F4" s="979"/>
      <c r="G4" s="979"/>
      <c r="H4" s="979"/>
      <c r="I4" s="979"/>
      <c r="J4" s="979"/>
      <c r="K4" s="979"/>
      <c r="L4" s="979"/>
      <c r="M4" s="979"/>
      <c r="N4" s="979"/>
      <c r="O4" s="979"/>
    </row>
    <row r="5" spans="1:15" s="114" customFormat="1" ht="41.25" customHeight="1">
      <c r="A5" s="982" t="s">
        <v>3592</v>
      </c>
      <c r="B5" s="983"/>
      <c r="C5" s="983"/>
      <c r="D5" s="983"/>
      <c r="E5" s="983"/>
      <c r="F5" s="983"/>
      <c r="G5" s="983"/>
      <c r="H5" s="983"/>
      <c r="I5" s="983"/>
      <c r="J5" s="983"/>
      <c r="K5" s="983"/>
      <c r="L5" s="983"/>
      <c r="M5" s="983"/>
      <c r="N5" s="983"/>
      <c r="O5" s="983"/>
    </row>
    <row r="6" spans="1:15" ht="12" customHeight="1" thickBot="1">
      <c r="A6" s="115"/>
      <c r="B6" s="115"/>
      <c r="C6" s="115"/>
      <c r="D6" s="115"/>
      <c r="E6" s="115"/>
      <c r="F6" s="115"/>
      <c r="G6" s="115"/>
      <c r="H6" s="115"/>
      <c r="I6" s="115"/>
      <c r="J6" s="115"/>
      <c r="K6" s="115"/>
      <c r="L6" s="115"/>
      <c r="M6" s="115"/>
      <c r="N6" s="115"/>
      <c r="O6" s="115"/>
    </row>
    <row r="8" spans="1:15" s="113" customFormat="1" ht="14.25">
      <c r="C8" s="124"/>
      <c r="F8" s="249"/>
      <c r="G8" s="249"/>
      <c r="H8" s="980" t="s">
        <v>3</v>
      </c>
      <c r="I8" s="980"/>
      <c r="J8" s="980"/>
      <c r="K8" s="173"/>
    </row>
    <row r="9" spans="1:15" s="113" customFormat="1" ht="14.25">
      <c r="C9" s="124"/>
      <c r="H9" s="122" t="s">
        <v>4</v>
      </c>
      <c r="I9" s="196" t="s">
        <v>133</v>
      </c>
    </row>
    <row r="10" spans="1:15" s="113" customFormat="1">
      <c r="B10" s="124"/>
      <c r="C10" s="124"/>
      <c r="G10" s="124"/>
      <c r="H10" s="123" t="s">
        <v>5</v>
      </c>
      <c r="I10" s="250" t="s">
        <v>3579</v>
      </c>
      <c r="J10" s="124"/>
      <c r="K10" s="131"/>
      <c r="L10" s="124"/>
    </row>
    <row r="11" spans="1:15" s="113" customFormat="1" ht="12.75" customHeight="1">
      <c r="B11" s="127"/>
      <c r="C11" s="124"/>
      <c r="F11" s="249"/>
      <c r="G11" s="127"/>
      <c r="H11" s="126" t="s">
        <v>8</v>
      </c>
      <c r="I11" s="495">
        <v>300000</v>
      </c>
      <c r="J11" s="127"/>
      <c r="L11" s="127"/>
    </row>
    <row r="12" spans="1:15" s="113" customFormat="1">
      <c r="B12" s="124"/>
      <c r="C12" s="124"/>
      <c r="F12" s="249"/>
      <c r="G12" s="124"/>
      <c r="H12" s="123" t="s">
        <v>9</v>
      </c>
      <c r="I12" s="496" t="s">
        <v>3628</v>
      </c>
      <c r="J12" s="124"/>
      <c r="L12" s="124"/>
    </row>
    <row r="13" spans="1:15" s="113" customFormat="1">
      <c r="C13" s="320"/>
      <c r="F13" s="249"/>
      <c r="H13" s="123" t="s">
        <v>10</v>
      </c>
      <c r="I13" s="196" t="s">
        <v>255</v>
      </c>
    </row>
    <row r="14" spans="1:15" s="113" customFormat="1">
      <c r="C14" s="124"/>
      <c r="F14" s="249"/>
      <c r="H14" s="123" t="s">
        <v>11</v>
      </c>
      <c r="I14" s="196" t="s">
        <v>3629</v>
      </c>
    </row>
    <row r="15" spans="1:15" s="113" customFormat="1">
      <c r="C15" s="124"/>
      <c r="F15" s="253"/>
      <c r="H15" s="123" t="s">
        <v>12</v>
      </c>
      <c r="I15" s="196" t="s">
        <v>3626</v>
      </c>
    </row>
    <row r="16" spans="1:15" s="113" customFormat="1">
      <c r="C16" s="124"/>
      <c r="F16" s="249"/>
      <c r="H16" s="123" t="s">
        <v>13</v>
      </c>
      <c r="I16" s="196" t="s">
        <v>14</v>
      </c>
    </row>
    <row r="17" spans="1:15" s="113" customFormat="1">
      <c r="C17" s="124"/>
      <c r="F17" s="249"/>
      <c r="H17" s="123"/>
      <c r="I17" s="196" t="s">
        <v>36</v>
      </c>
    </row>
    <row r="18" spans="1:15" s="113" customFormat="1">
      <c r="C18" s="124"/>
      <c r="H18" s="123"/>
      <c r="I18" s="196" t="s">
        <v>37</v>
      </c>
    </row>
    <row r="19" spans="1:15" s="113" customFormat="1">
      <c r="C19" s="124"/>
      <c r="F19" s="249"/>
      <c r="H19" s="123" t="s">
        <v>15</v>
      </c>
      <c r="I19" s="196" t="s">
        <v>38</v>
      </c>
    </row>
    <row r="20" spans="1:15" s="113" customFormat="1">
      <c r="C20" s="124"/>
      <c r="F20" s="249"/>
      <c r="H20" s="123" t="s">
        <v>16</v>
      </c>
      <c r="I20" s="196" t="s">
        <v>39</v>
      </c>
    </row>
    <row r="21" spans="1:15" s="113" customFormat="1">
      <c r="B21" s="124"/>
      <c r="C21" s="124"/>
      <c r="F21" s="249"/>
      <c r="G21" s="124"/>
      <c r="H21" s="123" t="s">
        <v>18</v>
      </c>
      <c r="I21" s="250" t="s">
        <v>111</v>
      </c>
      <c r="J21" s="124"/>
      <c r="L21" s="124"/>
    </row>
    <row r="22" spans="1:15" s="113" customFormat="1" ht="12" customHeight="1">
      <c r="C22" s="124"/>
      <c r="F22" s="249"/>
      <c r="H22" s="123" t="s">
        <v>19</v>
      </c>
      <c r="I22" s="196" t="s">
        <v>3581</v>
      </c>
    </row>
    <row r="23" spans="1:15" s="113" customFormat="1" ht="15.75" customHeight="1">
      <c r="C23" s="124"/>
      <c r="D23" s="1071"/>
      <c r="E23" s="136"/>
      <c r="F23" s="135"/>
      <c r="H23" s="123" t="s">
        <v>20</v>
      </c>
      <c r="I23" s="196" t="s">
        <v>3630</v>
      </c>
      <c r="K23" s="321"/>
    </row>
    <row r="24" spans="1:15" s="113" customFormat="1" ht="12.75" customHeight="1">
      <c r="C24" s="124"/>
      <c r="D24" s="1071"/>
      <c r="E24" s="136"/>
      <c r="F24" s="135"/>
      <c r="H24" s="123" t="s">
        <v>21</v>
      </c>
      <c r="I24" s="196" t="s">
        <v>3631</v>
      </c>
    </row>
    <row r="25" spans="1:15" s="113" customFormat="1" ht="12.75" customHeight="1">
      <c r="C25" s="124"/>
      <c r="D25" s="136"/>
      <c r="E25" s="136"/>
      <c r="F25" s="135"/>
      <c r="H25" s="123" t="s">
        <v>22</v>
      </c>
      <c r="I25" s="196" t="s">
        <v>3632</v>
      </c>
    </row>
    <row r="26" spans="1:15" s="113" customFormat="1" ht="15" thickBot="1">
      <c r="A26" s="1072" t="s">
        <v>23</v>
      </c>
      <c r="B26" s="1178"/>
      <c r="C26" s="1178"/>
      <c r="D26" s="1178"/>
      <c r="E26" s="1178"/>
      <c r="F26" s="1178"/>
      <c r="G26" s="1178"/>
      <c r="H26" s="1178"/>
      <c r="I26" s="1178"/>
      <c r="J26" s="1178"/>
      <c r="K26" s="1178"/>
      <c r="L26" s="1178"/>
      <c r="M26" s="1178"/>
      <c r="N26" s="1178"/>
      <c r="O26" s="1178"/>
    </row>
    <row r="27" spans="1:15" s="113" customFormat="1" ht="14.25">
      <c r="A27" s="1065" t="s">
        <v>135</v>
      </c>
      <c r="B27" s="1066"/>
      <c r="C27" s="1066"/>
      <c r="D27" s="1067"/>
      <c r="E27" s="1068" t="s">
        <v>136</v>
      </c>
      <c r="F27" s="1179"/>
      <c r="G27" s="1179"/>
      <c r="H27" s="1179"/>
      <c r="I27" s="1179"/>
      <c r="J27" s="1180"/>
      <c r="K27" s="1065" t="s">
        <v>137</v>
      </c>
      <c r="L27" s="1066"/>
      <c r="M27" s="1066"/>
      <c r="N27" s="1066"/>
      <c r="O27" s="1067"/>
    </row>
    <row r="28" spans="1:15" s="113" customFormat="1" ht="12.75" customHeight="1">
      <c r="A28" s="994" t="s">
        <v>160</v>
      </c>
      <c r="B28" s="1073"/>
      <c r="C28" s="1073"/>
      <c r="D28" s="322" t="s">
        <v>161</v>
      </c>
      <c r="E28" s="994" t="s">
        <v>160</v>
      </c>
      <c r="F28" s="1073"/>
      <c r="G28" s="1073"/>
      <c r="H28" s="1073"/>
      <c r="I28" s="1078" t="s">
        <v>162</v>
      </c>
      <c r="J28" s="1173"/>
      <c r="K28" s="994" t="s">
        <v>160</v>
      </c>
      <c r="L28" s="1073"/>
      <c r="M28" s="1073"/>
      <c r="N28" s="1079" t="s">
        <v>162</v>
      </c>
      <c r="O28" s="1080"/>
    </row>
    <row r="29" spans="1:15" s="113" customFormat="1" ht="12.75" customHeight="1">
      <c r="A29" s="994" t="s">
        <v>43</v>
      </c>
      <c r="B29" s="1073"/>
      <c r="C29" s="1073"/>
      <c r="D29" s="323">
        <v>0</v>
      </c>
      <c r="E29" s="994" t="s">
        <v>43</v>
      </c>
      <c r="F29" s="1073"/>
      <c r="G29" s="1073"/>
      <c r="H29" s="1073"/>
      <c r="I29" s="1074">
        <v>1320</v>
      </c>
      <c r="J29" s="1174"/>
      <c r="K29" s="994" t="s">
        <v>43</v>
      </c>
      <c r="L29" s="1073"/>
      <c r="M29" s="1073"/>
      <c r="N29" s="1076">
        <v>1920</v>
      </c>
      <c r="O29" s="1077"/>
    </row>
    <row r="30" spans="1:15" s="113" customFormat="1" ht="12.75" customHeight="1">
      <c r="A30" s="994" t="s">
        <v>164</v>
      </c>
      <c r="B30" s="1073"/>
      <c r="C30" s="1073"/>
      <c r="D30" s="322" t="s">
        <v>165</v>
      </c>
      <c r="E30" s="994" t="s">
        <v>164</v>
      </c>
      <c r="F30" s="1073"/>
      <c r="G30" s="1073"/>
      <c r="H30" s="1073"/>
      <c r="I30" s="1078" t="s">
        <v>138</v>
      </c>
      <c r="J30" s="1173"/>
      <c r="K30" s="994" t="s">
        <v>164</v>
      </c>
      <c r="L30" s="1073"/>
      <c r="M30" s="1073"/>
      <c r="N30" s="1079" t="s">
        <v>139</v>
      </c>
      <c r="O30" s="1080"/>
    </row>
    <row r="31" spans="1:15" s="113" customFormat="1" ht="12.75" customHeight="1" thickBot="1">
      <c r="A31" s="1012" t="s">
        <v>46</v>
      </c>
      <c r="B31" s="1081"/>
      <c r="C31" s="1081"/>
      <c r="D31" s="324" t="s">
        <v>3552</v>
      </c>
      <c r="E31" s="1012" t="s">
        <v>47</v>
      </c>
      <c r="F31" s="1081"/>
      <c r="G31" s="1081"/>
      <c r="H31" s="1081"/>
      <c r="I31" s="1082" t="s">
        <v>3553</v>
      </c>
      <c r="J31" s="1171"/>
      <c r="K31" s="1012" t="s">
        <v>166</v>
      </c>
      <c r="L31" s="1081"/>
      <c r="M31" s="1081"/>
      <c r="N31" s="1084" t="s">
        <v>3553</v>
      </c>
      <c r="O31" s="1085"/>
    </row>
    <row r="32" spans="1:15" s="113" customFormat="1" ht="12.75" customHeight="1">
      <c r="A32" s="130"/>
      <c r="B32" s="104"/>
      <c r="C32" s="104"/>
      <c r="E32" s="130"/>
      <c r="F32" s="104"/>
      <c r="I32" s="130"/>
      <c r="J32" s="104"/>
      <c r="M32" s="325"/>
    </row>
    <row r="33" spans="1:15" s="113" customFormat="1" ht="12.75" customHeight="1">
      <c r="C33" s="326"/>
      <c r="D33" s="136"/>
      <c r="E33" s="136"/>
      <c r="F33" s="135"/>
      <c r="G33" s="135"/>
      <c r="H33" s="135"/>
      <c r="I33" s="1222"/>
      <c r="J33" s="1222"/>
      <c r="K33" s="1222"/>
    </row>
    <row r="34" spans="1:15" s="113" customFormat="1" ht="12.75" customHeight="1">
      <c r="C34" s="124"/>
      <c r="D34" s="136"/>
      <c r="E34" s="136"/>
      <c r="F34" s="135"/>
      <c r="G34" s="135"/>
      <c r="H34" s="135"/>
      <c r="I34" s="1222"/>
      <c r="J34" s="1222"/>
      <c r="K34" s="1222"/>
    </row>
    <row r="35" spans="1:15" s="113" customFormat="1" ht="12.75" customHeight="1">
      <c r="C35" s="124"/>
      <c r="D35" s="136"/>
      <c r="E35" s="136"/>
      <c r="F35" s="135"/>
      <c r="G35" s="135"/>
      <c r="H35" s="135"/>
      <c r="I35" s="1222"/>
      <c r="J35" s="1222"/>
      <c r="K35" s="1222"/>
    </row>
    <row r="36" spans="1:15" s="113" customFormat="1" ht="13.5" customHeight="1" thickBot="1">
      <c r="B36" s="150"/>
      <c r="C36" s="124"/>
      <c r="D36" s="136"/>
      <c r="E36" s="136"/>
      <c r="F36" s="135"/>
      <c r="G36" s="150"/>
      <c r="I36" s="150"/>
      <c r="J36" s="150"/>
      <c r="K36" s="150"/>
      <c r="L36" s="150"/>
    </row>
    <row r="37" spans="1:15" s="113" customFormat="1" ht="15.75" customHeight="1" thickBot="1">
      <c r="C37" s="124"/>
      <c r="F37" s="1007" t="s">
        <v>167</v>
      </c>
      <c r="G37" s="1008"/>
      <c r="H37" s="1009" t="s">
        <v>168</v>
      </c>
      <c r="I37" s="1010"/>
      <c r="J37" s="1089"/>
      <c r="K37" s="1002"/>
      <c r="L37" s="1002"/>
      <c r="M37" s="1002"/>
      <c r="N37" s="1002"/>
      <c r="O37" s="1003"/>
    </row>
    <row r="38" spans="1:15" s="151" customFormat="1" ht="62.25" customHeight="1" thickBot="1">
      <c r="A38" s="82" t="s">
        <v>122</v>
      </c>
      <c r="B38" s="82" t="s">
        <v>169</v>
      </c>
      <c r="C38" s="327" t="s">
        <v>170</v>
      </c>
      <c r="D38" s="83" t="s">
        <v>171</v>
      </c>
      <c r="E38" s="83" t="s">
        <v>172</v>
      </c>
      <c r="F38" s="83" t="s">
        <v>173</v>
      </c>
      <c r="G38" s="82" t="s">
        <v>174</v>
      </c>
      <c r="H38" s="83" t="s">
        <v>175</v>
      </c>
      <c r="I38" s="82" t="s">
        <v>174</v>
      </c>
      <c r="J38" s="83" t="s">
        <v>176</v>
      </c>
      <c r="K38" s="82" t="s">
        <v>174</v>
      </c>
      <c r="L38" s="83" t="s">
        <v>177</v>
      </c>
      <c r="M38" s="82" t="s">
        <v>174</v>
      </c>
      <c r="N38" s="83" t="s">
        <v>178</v>
      </c>
      <c r="O38" s="82" t="s">
        <v>174</v>
      </c>
    </row>
    <row r="39" spans="1:15" s="332" customFormat="1" ht="27.75" thickBot="1">
      <c r="A39" s="1092">
        <v>17</v>
      </c>
      <c r="B39" s="1223"/>
      <c r="C39" s="328" t="s">
        <v>4485</v>
      </c>
      <c r="D39" s="329" t="s">
        <v>4486</v>
      </c>
      <c r="E39" s="973">
        <v>36850</v>
      </c>
      <c r="F39" s="330">
        <f>SUM(E39:E40)*(1-81%)</f>
        <v>7050.7099999999982</v>
      </c>
      <c r="G39" s="1224">
        <f>F39*B39</f>
        <v>0</v>
      </c>
      <c r="H39" s="331">
        <f>F39*0.0832</f>
        <v>586.61907199999985</v>
      </c>
      <c r="I39" s="1224">
        <f>H39*B39</f>
        <v>0</v>
      </c>
      <c r="J39" s="331">
        <f>F39*0.0313</f>
        <v>220.68722299999996</v>
      </c>
      <c r="K39" s="1224">
        <f>J39*B39</f>
        <v>0</v>
      </c>
      <c r="L39" s="89">
        <f>F39*0.0256</f>
        <v>180.49817599999997</v>
      </c>
      <c r="M39" s="1169">
        <f>L39*B39</f>
        <v>0</v>
      </c>
      <c r="N39" s="89">
        <f>F39*0.0213</f>
        <v>150.18012299999995</v>
      </c>
      <c r="O39" s="1169">
        <f>N39*B39</f>
        <v>0</v>
      </c>
    </row>
    <row r="40" spans="1:15" s="151" customFormat="1" ht="13.5" thickBot="1">
      <c r="A40" s="1097"/>
      <c r="B40" s="1156"/>
      <c r="C40" s="333" t="s">
        <v>179</v>
      </c>
      <c r="D40" s="334" t="s">
        <v>104</v>
      </c>
      <c r="E40" s="974">
        <v>259</v>
      </c>
      <c r="F40" s="35" t="s">
        <v>162</v>
      </c>
      <c r="G40" s="1225"/>
      <c r="H40" s="35" t="s">
        <v>162</v>
      </c>
      <c r="I40" s="1225"/>
      <c r="J40" s="35" t="s">
        <v>162</v>
      </c>
      <c r="K40" s="1225"/>
      <c r="L40" s="36" t="s">
        <v>162</v>
      </c>
      <c r="M40" s="1091"/>
      <c r="N40" s="36" t="s">
        <v>162</v>
      </c>
      <c r="O40" s="1091"/>
    </row>
    <row r="41" spans="1:15" s="151" customFormat="1" ht="13.5" thickBot="1">
      <c r="A41" s="336"/>
      <c r="B41" s="96"/>
      <c r="C41" s="96"/>
      <c r="D41" s="97"/>
      <c r="E41" s="975"/>
      <c r="F41" s="337"/>
      <c r="G41" s="37"/>
      <c r="H41" s="38"/>
      <c r="I41" s="37"/>
      <c r="J41" s="38"/>
      <c r="K41" s="39"/>
      <c r="L41" s="40"/>
      <c r="M41" s="41"/>
      <c r="N41" s="40"/>
      <c r="O41" s="42"/>
    </row>
    <row r="42" spans="1:15" s="332" customFormat="1" ht="27.75" thickBot="1">
      <c r="A42" s="1092" t="s">
        <v>141</v>
      </c>
      <c r="B42" s="1223"/>
      <c r="C42" s="328" t="s">
        <v>4485</v>
      </c>
      <c r="D42" s="329" t="s">
        <v>4486</v>
      </c>
      <c r="E42" s="973">
        <v>36850</v>
      </c>
      <c r="F42" s="330">
        <f>SUM(E42:E43)*(1-81%)</f>
        <v>7050.7099999999982</v>
      </c>
      <c r="G42" s="1224">
        <f>F42*B42</f>
        <v>0</v>
      </c>
      <c r="H42" s="331">
        <f>F42*0.0832+I29/12</f>
        <v>696.61907199999985</v>
      </c>
      <c r="I42" s="1224">
        <f>H42*B42</f>
        <v>0</v>
      </c>
      <c r="J42" s="331">
        <f>F42*0.0313+I29/12</f>
        <v>330.68722299999996</v>
      </c>
      <c r="K42" s="1224">
        <f>J42*B42</f>
        <v>0</v>
      </c>
      <c r="L42" s="89">
        <f>F42*0.0256+I29/12</f>
        <v>290.49817599999994</v>
      </c>
      <c r="M42" s="1169">
        <f>L42*B42</f>
        <v>0</v>
      </c>
      <c r="N42" s="89">
        <f>F42*0.0213+I29/12</f>
        <v>260.18012299999998</v>
      </c>
      <c r="O42" s="1169">
        <f>N42*B42</f>
        <v>0</v>
      </c>
    </row>
    <row r="43" spans="1:15" s="151" customFormat="1" ht="13.5" thickBot="1">
      <c r="A43" s="1097"/>
      <c r="B43" s="1156"/>
      <c r="C43" s="333" t="s">
        <v>179</v>
      </c>
      <c r="D43" s="334" t="s">
        <v>104</v>
      </c>
      <c r="E43" s="974">
        <v>259</v>
      </c>
      <c r="F43" s="35" t="s">
        <v>162</v>
      </c>
      <c r="G43" s="1225"/>
      <c r="H43" s="35" t="s">
        <v>162</v>
      </c>
      <c r="I43" s="1225"/>
      <c r="J43" s="35" t="s">
        <v>162</v>
      </c>
      <c r="K43" s="1225"/>
      <c r="L43" s="36" t="s">
        <v>162</v>
      </c>
      <c r="M43" s="1091"/>
      <c r="N43" s="36" t="s">
        <v>162</v>
      </c>
      <c r="O43" s="1091"/>
    </row>
    <row r="44" spans="1:15" s="151" customFormat="1" ht="13.5" thickBot="1">
      <c r="A44" s="336"/>
      <c r="B44" s="96"/>
      <c r="C44" s="96"/>
      <c r="D44" s="97"/>
      <c r="E44" s="975"/>
      <c r="F44" s="337"/>
      <c r="G44" s="37"/>
      <c r="H44" s="38"/>
      <c r="I44" s="37"/>
      <c r="J44" s="38"/>
      <c r="K44" s="39"/>
      <c r="L44" s="40"/>
      <c r="M44" s="41"/>
      <c r="N44" s="40"/>
      <c r="O44" s="42"/>
    </row>
    <row r="45" spans="1:15" s="332" customFormat="1" ht="27.75" thickBot="1">
      <c r="A45" s="1092" t="s">
        <v>142</v>
      </c>
      <c r="B45" s="1223"/>
      <c r="C45" s="328" t="s">
        <v>4485</v>
      </c>
      <c r="D45" s="329" t="s">
        <v>4486</v>
      </c>
      <c r="E45" s="973">
        <v>36850</v>
      </c>
      <c r="F45" s="330">
        <f>SUM(E45:E46)*(1-81%)</f>
        <v>7050.7099999999982</v>
      </c>
      <c r="G45" s="1224">
        <f>F45*B45</f>
        <v>0</v>
      </c>
      <c r="H45" s="331">
        <f>F45*0.0832+N29/12</f>
        <v>746.61907199999985</v>
      </c>
      <c r="I45" s="1224">
        <f>H45*B45</f>
        <v>0</v>
      </c>
      <c r="J45" s="331">
        <f>F45*0.0313+N29/12</f>
        <v>380.68722299999996</v>
      </c>
      <c r="K45" s="1224">
        <f>J45*B45</f>
        <v>0</v>
      </c>
      <c r="L45" s="89">
        <f>F45*0.0256+N29/12</f>
        <v>340.49817599999994</v>
      </c>
      <c r="M45" s="1169">
        <f>L45*B45</f>
        <v>0</v>
      </c>
      <c r="N45" s="89">
        <f>F45*0.0213+N29/12</f>
        <v>310.18012299999998</v>
      </c>
      <c r="O45" s="1169">
        <f>N45*B45</f>
        <v>0</v>
      </c>
    </row>
    <row r="46" spans="1:15" s="151" customFormat="1" ht="13.5" thickBot="1">
      <c r="A46" s="1097"/>
      <c r="B46" s="1156"/>
      <c r="C46" s="333" t="s">
        <v>179</v>
      </c>
      <c r="D46" s="334" t="s">
        <v>104</v>
      </c>
      <c r="E46" s="335">
        <v>259</v>
      </c>
      <c r="F46" s="35" t="s">
        <v>162</v>
      </c>
      <c r="G46" s="1225"/>
      <c r="H46" s="35" t="s">
        <v>162</v>
      </c>
      <c r="I46" s="1225"/>
      <c r="J46" s="35" t="s">
        <v>162</v>
      </c>
      <c r="K46" s="1225"/>
      <c r="L46" s="12" t="s">
        <v>162</v>
      </c>
      <c r="M46" s="1090"/>
      <c r="N46" s="12" t="s">
        <v>162</v>
      </c>
      <c r="O46" s="1090"/>
    </row>
    <row r="47" spans="1:15" s="156" customFormat="1" ht="13.5" customHeight="1" thickBot="1">
      <c r="A47" s="1226" t="s">
        <v>182</v>
      </c>
      <c r="B47" s="1002"/>
      <c r="C47" s="1002"/>
      <c r="D47" s="1002"/>
      <c r="E47" s="1002"/>
      <c r="F47" s="1149"/>
      <c r="G47" s="1149"/>
      <c r="H47" s="1149"/>
      <c r="I47" s="1149"/>
      <c r="J47" s="1149"/>
      <c r="K47" s="1149"/>
      <c r="L47" s="1149"/>
      <c r="M47" s="1149"/>
      <c r="N47" s="1149"/>
      <c r="O47" s="1150"/>
    </row>
    <row r="48" spans="1:15" s="151" customFormat="1" ht="13.5" thickBot="1">
      <c r="A48" s="1004"/>
      <c r="B48" s="338"/>
      <c r="C48" s="339" t="s">
        <v>209</v>
      </c>
      <c r="D48" s="340" t="s">
        <v>66</v>
      </c>
      <c r="E48" s="341">
        <v>975.85567010309285</v>
      </c>
      <c r="F48" s="487">
        <f t="shared" ref="F48:F79" si="0">E48*(1-40%)</f>
        <v>585.51340206185569</v>
      </c>
      <c r="G48" s="344">
        <f t="shared" ref="G48:G79" si="1">F48*B48</f>
        <v>0</v>
      </c>
      <c r="H48" s="344">
        <f t="shared" ref="H48:H79" si="2">F48*0.0832</f>
        <v>48.714715051546392</v>
      </c>
      <c r="I48" s="344">
        <f t="shared" ref="I48:I79" si="3">H48*B48</f>
        <v>0</v>
      </c>
      <c r="J48" s="344">
        <f t="shared" ref="J48:J79" si="4">F48*0.0313</f>
        <v>18.326569484536083</v>
      </c>
      <c r="K48" s="344">
        <f t="shared" ref="K48:K79" si="5">J48*B48</f>
        <v>0</v>
      </c>
      <c r="L48" s="344">
        <f t="shared" ref="L48:L79" si="6">F48*0.0256</f>
        <v>14.989143092783506</v>
      </c>
      <c r="M48" s="344">
        <f t="shared" ref="M48:M79" si="7">L48*B48</f>
        <v>0</v>
      </c>
      <c r="N48" s="344">
        <f t="shared" ref="N48:N79" si="8">F48*0.0213</f>
        <v>12.471435463917526</v>
      </c>
      <c r="O48" s="344">
        <f t="shared" ref="O48:O79" si="9">N48*B48</f>
        <v>0</v>
      </c>
    </row>
    <row r="49" spans="1:15" s="151" customFormat="1" ht="13.5" thickBot="1">
      <c r="A49" s="1156"/>
      <c r="B49" s="342"/>
      <c r="C49" s="339" t="s">
        <v>486</v>
      </c>
      <c r="D49" s="340" t="s">
        <v>671</v>
      </c>
      <c r="E49" s="341">
        <v>134.01030927835052</v>
      </c>
      <c r="F49" s="343">
        <f t="shared" si="0"/>
        <v>80.406185567010311</v>
      </c>
      <c r="G49" s="345">
        <f t="shared" si="1"/>
        <v>0</v>
      </c>
      <c r="H49" s="344">
        <f t="shared" si="2"/>
        <v>6.6897946391752576</v>
      </c>
      <c r="I49" s="344">
        <f t="shared" si="3"/>
        <v>0</v>
      </c>
      <c r="J49" s="344">
        <f t="shared" si="4"/>
        <v>2.5167136082474229</v>
      </c>
      <c r="K49" s="344">
        <f t="shared" si="5"/>
        <v>0</v>
      </c>
      <c r="L49" s="344">
        <f t="shared" si="6"/>
        <v>2.0583983505154642</v>
      </c>
      <c r="M49" s="344">
        <f t="shared" si="7"/>
        <v>0</v>
      </c>
      <c r="N49" s="344">
        <f t="shared" si="8"/>
        <v>1.7126517525773195</v>
      </c>
      <c r="O49" s="344">
        <f t="shared" si="9"/>
        <v>0</v>
      </c>
    </row>
    <row r="50" spans="1:15" s="151" customFormat="1" ht="13.5" thickBot="1">
      <c r="A50" s="1156"/>
      <c r="B50" s="342"/>
      <c r="C50" s="339" t="s">
        <v>3491</v>
      </c>
      <c r="D50" s="340" t="s">
        <v>3568</v>
      </c>
      <c r="E50" s="341">
        <v>411.34020618556701</v>
      </c>
      <c r="F50" s="343">
        <f t="shared" si="0"/>
        <v>246.8041237113402</v>
      </c>
      <c r="G50" s="345">
        <f t="shared" si="1"/>
        <v>0</v>
      </c>
      <c r="H50" s="344">
        <f t="shared" si="2"/>
        <v>20.534103092783504</v>
      </c>
      <c r="I50" s="344">
        <f t="shared" si="3"/>
        <v>0</v>
      </c>
      <c r="J50" s="344">
        <f t="shared" si="4"/>
        <v>7.7249690721649484</v>
      </c>
      <c r="K50" s="344">
        <f t="shared" si="5"/>
        <v>0</v>
      </c>
      <c r="L50" s="344">
        <f t="shared" si="6"/>
        <v>6.3181855670103095</v>
      </c>
      <c r="M50" s="344">
        <f t="shared" si="7"/>
        <v>0</v>
      </c>
      <c r="N50" s="344">
        <f t="shared" si="8"/>
        <v>5.2569278350515463</v>
      </c>
      <c r="O50" s="344">
        <f t="shared" si="9"/>
        <v>0</v>
      </c>
    </row>
    <row r="51" spans="1:15" s="151" customFormat="1" ht="13.5" thickBot="1">
      <c r="A51" s="1156"/>
      <c r="B51" s="342"/>
      <c r="C51" s="339" t="s">
        <v>3577</v>
      </c>
      <c r="D51" s="340" t="s">
        <v>720</v>
      </c>
      <c r="E51" s="341">
        <v>257.73195876288662</v>
      </c>
      <c r="F51" s="343">
        <f t="shared" si="0"/>
        <v>154.63917525773198</v>
      </c>
      <c r="G51" s="345">
        <f t="shared" si="1"/>
        <v>0</v>
      </c>
      <c r="H51" s="344">
        <f t="shared" si="2"/>
        <v>12.865979381443299</v>
      </c>
      <c r="I51" s="344">
        <f t="shared" si="3"/>
        <v>0</v>
      </c>
      <c r="J51" s="344">
        <f t="shared" si="4"/>
        <v>4.8402061855670109</v>
      </c>
      <c r="K51" s="344">
        <f t="shared" si="5"/>
        <v>0</v>
      </c>
      <c r="L51" s="344">
        <f t="shared" si="6"/>
        <v>3.9587628865979387</v>
      </c>
      <c r="M51" s="344">
        <f t="shared" si="7"/>
        <v>0</v>
      </c>
      <c r="N51" s="344">
        <f t="shared" si="8"/>
        <v>3.293814432989691</v>
      </c>
      <c r="O51" s="344">
        <f t="shared" si="9"/>
        <v>0</v>
      </c>
    </row>
    <row r="52" spans="1:15" s="151" customFormat="1" ht="13.5" thickBot="1">
      <c r="A52" s="1156"/>
      <c r="B52" s="342"/>
      <c r="C52" s="339" t="s">
        <v>3578</v>
      </c>
      <c r="D52" s="340" t="s">
        <v>3573</v>
      </c>
      <c r="E52" s="341">
        <v>412.37113402061857</v>
      </c>
      <c r="F52" s="343">
        <f t="shared" si="0"/>
        <v>247.42268041237114</v>
      </c>
      <c r="G52" s="345">
        <f t="shared" si="1"/>
        <v>0</v>
      </c>
      <c r="H52" s="344">
        <f t="shared" si="2"/>
        <v>20.585567010309276</v>
      </c>
      <c r="I52" s="344">
        <f t="shared" si="3"/>
        <v>0</v>
      </c>
      <c r="J52" s="344">
        <f t="shared" si="4"/>
        <v>7.7443298969072165</v>
      </c>
      <c r="K52" s="344">
        <f t="shared" si="5"/>
        <v>0</v>
      </c>
      <c r="L52" s="344">
        <f t="shared" si="6"/>
        <v>6.3340206185567016</v>
      </c>
      <c r="M52" s="344">
        <f t="shared" si="7"/>
        <v>0</v>
      </c>
      <c r="N52" s="344">
        <f t="shared" si="8"/>
        <v>5.2701030927835051</v>
      </c>
      <c r="O52" s="344">
        <f t="shared" si="9"/>
        <v>0</v>
      </c>
    </row>
    <row r="53" spans="1:15" s="151" customFormat="1" ht="13.5" thickBot="1">
      <c r="A53" s="1156"/>
      <c r="B53" s="342"/>
      <c r="C53" s="339" t="s">
        <v>690</v>
      </c>
      <c r="D53" s="340" t="s">
        <v>721</v>
      </c>
      <c r="E53" s="341">
        <v>514.43298969072168</v>
      </c>
      <c r="F53" s="343">
        <f t="shared" si="0"/>
        <v>308.65979381443299</v>
      </c>
      <c r="G53" s="345">
        <f t="shared" si="1"/>
        <v>0</v>
      </c>
      <c r="H53" s="344">
        <f t="shared" si="2"/>
        <v>25.680494845360823</v>
      </c>
      <c r="I53" s="344">
        <f t="shared" si="3"/>
        <v>0</v>
      </c>
      <c r="J53" s="344">
        <f t="shared" si="4"/>
        <v>9.6610515463917537</v>
      </c>
      <c r="K53" s="344">
        <f t="shared" si="5"/>
        <v>0</v>
      </c>
      <c r="L53" s="344">
        <f t="shared" si="6"/>
        <v>7.9016907216494845</v>
      </c>
      <c r="M53" s="344">
        <f t="shared" si="7"/>
        <v>0</v>
      </c>
      <c r="N53" s="344">
        <f t="shared" si="8"/>
        <v>6.5744536082474223</v>
      </c>
      <c r="O53" s="344">
        <f t="shared" si="9"/>
        <v>0</v>
      </c>
    </row>
    <row r="54" spans="1:15" s="151" customFormat="1" ht="26.25" thickBot="1">
      <c r="A54" s="1156"/>
      <c r="B54" s="342"/>
      <c r="C54" s="339" t="s">
        <v>484</v>
      </c>
      <c r="D54" s="340" t="s">
        <v>409</v>
      </c>
      <c r="E54" s="341">
        <v>206.18556701030928</v>
      </c>
      <c r="F54" s="343">
        <f t="shared" si="0"/>
        <v>123.71134020618557</v>
      </c>
      <c r="G54" s="345">
        <f t="shared" si="1"/>
        <v>0</v>
      </c>
      <c r="H54" s="344">
        <f t="shared" si="2"/>
        <v>10.292783505154638</v>
      </c>
      <c r="I54" s="344">
        <f t="shared" si="3"/>
        <v>0</v>
      </c>
      <c r="J54" s="344">
        <f t="shared" si="4"/>
        <v>3.8721649484536083</v>
      </c>
      <c r="K54" s="344">
        <f t="shared" si="5"/>
        <v>0</v>
      </c>
      <c r="L54" s="344">
        <f t="shared" si="6"/>
        <v>3.1670103092783508</v>
      </c>
      <c r="M54" s="344">
        <f t="shared" si="7"/>
        <v>0</v>
      </c>
      <c r="N54" s="344">
        <f t="shared" si="8"/>
        <v>2.6350515463917525</v>
      </c>
      <c r="O54" s="344">
        <f t="shared" si="9"/>
        <v>0</v>
      </c>
    </row>
    <row r="55" spans="1:15" s="151" customFormat="1" ht="26.25" thickBot="1">
      <c r="A55" s="1156"/>
      <c r="B55" s="342"/>
      <c r="C55" s="339" t="s">
        <v>485</v>
      </c>
      <c r="D55" s="340" t="s">
        <v>3511</v>
      </c>
      <c r="E55" s="341">
        <v>287.62886597938143</v>
      </c>
      <c r="F55" s="343">
        <f t="shared" si="0"/>
        <v>172.57731958762886</v>
      </c>
      <c r="G55" s="345">
        <f t="shared" si="1"/>
        <v>0</v>
      </c>
      <c r="H55" s="344">
        <f t="shared" si="2"/>
        <v>14.358432989690721</v>
      </c>
      <c r="I55" s="344">
        <f t="shared" si="3"/>
        <v>0</v>
      </c>
      <c r="J55" s="344">
        <f t="shared" si="4"/>
        <v>5.4016701030927834</v>
      </c>
      <c r="K55" s="344">
        <f t="shared" si="5"/>
        <v>0</v>
      </c>
      <c r="L55" s="344">
        <f t="shared" si="6"/>
        <v>4.417979381443299</v>
      </c>
      <c r="M55" s="344">
        <f t="shared" si="7"/>
        <v>0</v>
      </c>
      <c r="N55" s="344">
        <f t="shared" si="8"/>
        <v>3.6758969072164946</v>
      </c>
      <c r="O55" s="344">
        <f t="shared" si="9"/>
        <v>0</v>
      </c>
    </row>
    <row r="56" spans="1:15" s="151" customFormat="1" ht="13.5" thickBot="1">
      <c r="A56" s="1156"/>
      <c r="B56" s="342"/>
      <c r="C56" s="339" t="s">
        <v>3489</v>
      </c>
      <c r="D56" s="340" t="s">
        <v>3564</v>
      </c>
      <c r="E56" s="341">
        <v>875.25773195876286</v>
      </c>
      <c r="F56" s="343">
        <f t="shared" si="0"/>
        <v>525.15463917525767</v>
      </c>
      <c r="G56" s="345">
        <f t="shared" si="1"/>
        <v>0</v>
      </c>
      <c r="H56" s="344">
        <f t="shared" si="2"/>
        <v>43.692865979381438</v>
      </c>
      <c r="I56" s="344">
        <f t="shared" si="3"/>
        <v>0</v>
      </c>
      <c r="J56" s="344">
        <f t="shared" si="4"/>
        <v>16.437340206185567</v>
      </c>
      <c r="K56" s="344">
        <f t="shared" si="5"/>
        <v>0</v>
      </c>
      <c r="L56" s="344">
        <f t="shared" si="6"/>
        <v>13.443958762886597</v>
      </c>
      <c r="M56" s="344">
        <f t="shared" si="7"/>
        <v>0</v>
      </c>
      <c r="N56" s="344">
        <f t="shared" si="8"/>
        <v>11.185793814432989</v>
      </c>
      <c r="O56" s="344">
        <f t="shared" si="9"/>
        <v>0</v>
      </c>
    </row>
    <row r="57" spans="1:15" s="151" customFormat="1" ht="39" thickBot="1">
      <c r="A57" s="1156"/>
      <c r="B57" s="342"/>
      <c r="C57" s="339" t="s">
        <v>3600</v>
      </c>
      <c r="D57" s="340" t="s">
        <v>3595</v>
      </c>
      <c r="E57" s="341">
        <v>462.88659793814435</v>
      </c>
      <c r="F57" s="343">
        <f t="shared" si="0"/>
        <v>277.73195876288662</v>
      </c>
      <c r="G57" s="345">
        <f t="shared" si="1"/>
        <v>0</v>
      </c>
      <c r="H57" s="344">
        <f t="shared" si="2"/>
        <v>23.107298969072165</v>
      </c>
      <c r="I57" s="344">
        <f t="shared" si="3"/>
        <v>0</v>
      </c>
      <c r="J57" s="344">
        <f t="shared" si="4"/>
        <v>8.6930103092783515</v>
      </c>
      <c r="K57" s="344">
        <f t="shared" si="5"/>
        <v>0</v>
      </c>
      <c r="L57" s="344">
        <f t="shared" si="6"/>
        <v>7.1099381443298979</v>
      </c>
      <c r="M57" s="344">
        <f t="shared" si="7"/>
        <v>0</v>
      </c>
      <c r="N57" s="344">
        <f t="shared" si="8"/>
        <v>5.9156907216494847</v>
      </c>
      <c r="O57" s="344">
        <f t="shared" si="9"/>
        <v>0</v>
      </c>
    </row>
    <row r="58" spans="1:15" s="151" customFormat="1" ht="13.5" thickBot="1">
      <c r="A58" s="1156"/>
      <c r="B58" s="342"/>
      <c r="C58" s="339" t="s">
        <v>3490</v>
      </c>
      <c r="D58" s="340" t="s">
        <v>723</v>
      </c>
      <c r="E58" s="341">
        <v>229.48453608247422</v>
      </c>
      <c r="F58" s="343">
        <f t="shared" si="0"/>
        <v>137.69072164948452</v>
      </c>
      <c r="G58" s="345">
        <f t="shared" si="1"/>
        <v>0</v>
      </c>
      <c r="H58" s="344">
        <f t="shared" si="2"/>
        <v>11.45586804123711</v>
      </c>
      <c r="I58" s="344">
        <f t="shared" si="3"/>
        <v>0</v>
      </c>
      <c r="J58" s="344">
        <f t="shared" si="4"/>
        <v>4.3097195876288659</v>
      </c>
      <c r="K58" s="344">
        <f t="shared" si="5"/>
        <v>0</v>
      </c>
      <c r="L58" s="344">
        <f t="shared" si="6"/>
        <v>3.5248824742268039</v>
      </c>
      <c r="M58" s="344">
        <f t="shared" si="7"/>
        <v>0</v>
      </c>
      <c r="N58" s="344">
        <f t="shared" si="8"/>
        <v>2.9328123711340202</v>
      </c>
      <c r="O58" s="344">
        <f t="shared" si="9"/>
        <v>0</v>
      </c>
    </row>
    <row r="59" spans="1:15" s="151" customFormat="1" ht="26.25" thickBot="1">
      <c r="A59" s="1156"/>
      <c r="B59" s="342"/>
      <c r="C59" s="339" t="s">
        <v>490</v>
      </c>
      <c r="D59" s="340" t="s">
        <v>3505</v>
      </c>
      <c r="E59" s="341">
        <v>1103.0927835051546</v>
      </c>
      <c r="F59" s="44">
        <f t="shared" si="0"/>
        <v>661.85567010309273</v>
      </c>
      <c r="G59" s="46">
        <f t="shared" si="1"/>
        <v>0</v>
      </c>
      <c r="H59" s="45">
        <f t="shared" si="2"/>
        <v>55.06639175257731</v>
      </c>
      <c r="I59" s="45">
        <f t="shared" si="3"/>
        <v>0</v>
      </c>
      <c r="J59" s="45">
        <f t="shared" si="4"/>
        <v>20.716082474226802</v>
      </c>
      <c r="K59" s="45">
        <f t="shared" si="5"/>
        <v>0</v>
      </c>
      <c r="L59" s="45">
        <f t="shared" si="6"/>
        <v>16.943505154639176</v>
      </c>
      <c r="M59" s="45">
        <f t="shared" si="7"/>
        <v>0</v>
      </c>
      <c r="N59" s="45">
        <f t="shared" si="8"/>
        <v>14.097525773195875</v>
      </c>
      <c r="O59" s="45">
        <f t="shared" si="9"/>
        <v>0</v>
      </c>
    </row>
    <row r="60" spans="1:15" s="151" customFormat="1" ht="26.25" thickBot="1">
      <c r="A60" s="1156"/>
      <c r="B60" s="342"/>
      <c r="C60" s="339" t="s">
        <v>455</v>
      </c>
      <c r="D60" s="340" t="s">
        <v>3506</v>
      </c>
      <c r="E60" s="341">
        <v>1101.5257731958764</v>
      </c>
      <c r="F60" s="44">
        <f t="shared" si="0"/>
        <v>660.91546391752581</v>
      </c>
      <c r="G60" s="46">
        <f t="shared" si="1"/>
        <v>0</v>
      </c>
      <c r="H60" s="45">
        <f t="shared" si="2"/>
        <v>54.988166597938147</v>
      </c>
      <c r="I60" s="45">
        <f t="shared" si="3"/>
        <v>0</v>
      </c>
      <c r="J60" s="45">
        <f t="shared" si="4"/>
        <v>20.686654020618558</v>
      </c>
      <c r="K60" s="45">
        <f t="shared" si="5"/>
        <v>0</v>
      </c>
      <c r="L60" s="45">
        <f t="shared" si="6"/>
        <v>16.919435876288663</v>
      </c>
      <c r="M60" s="45">
        <f t="shared" si="7"/>
        <v>0</v>
      </c>
      <c r="N60" s="45">
        <f t="shared" si="8"/>
        <v>14.0774993814433</v>
      </c>
      <c r="O60" s="45">
        <f t="shared" si="9"/>
        <v>0</v>
      </c>
    </row>
    <row r="61" spans="1:15" s="151" customFormat="1" ht="26.25" thickBot="1">
      <c r="A61" s="1156"/>
      <c r="B61" s="342"/>
      <c r="C61" s="699" t="s">
        <v>3637</v>
      </c>
      <c r="D61" s="340" t="s">
        <v>3641</v>
      </c>
      <c r="E61" s="341">
        <v>2108.2474226804125</v>
      </c>
      <c r="F61" s="343">
        <f t="shared" si="0"/>
        <v>1264.9484536082475</v>
      </c>
      <c r="G61" s="345">
        <f t="shared" si="1"/>
        <v>0</v>
      </c>
      <c r="H61" s="344">
        <f t="shared" si="2"/>
        <v>105.24371134020619</v>
      </c>
      <c r="I61" s="344">
        <f t="shared" si="3"/>
        <v>0</v>
      </c>
      <c r="J61" s="344">
        <f t="shared" si="4"/>
        <v>39.592886597938147</v>
      </c>
      <c r="K61" s="344">
        <f t="shared" si="5"/>
        <v>0</v>
      </c>
      <c r="L61" s="344">
        <f t="shared" si="6"/>
        <v>32.382680412371137</v>
      </c>
      <c r="M61" s="344">
        <f t="shared" si="7"/>
        <v>0</v>
      </c>
      <c r="N61" s="344">
        <f t="shared" si="8"/>
        <v>26.943402061855672</v>
      </c>
      <c r="O61" s="344">
        <f t="shared" si="9"/>
        <v>0</v>
      </c>
    </row>
    <row r="62" spans="1:15" s="151" customFormat="1" ht="26.25" thickBot="1">
      <c r="A62" s="1156"/>
      <c r="B62" s="342"/>
      <c r="C62" s="699" t="s">
        <v>3638</v>
      </c>
      <c r="D62" s="340" t="s">
        <v>3642</v>
      </c>
      <c r="E62" s="341">
        <v>3597.9381443298971</v>
      </c>
      <c r="F62" s="343">
        <f t="shared" si="0"/>
        <v>2158.7628865979382</v>
      </c>
      <c r="G62" s="345">
        <f t="shared" si="1"/>
        <v>0</v>
      </c>
      <c r="H62" s="344">
        <f t="shared" si="2"/>
        <v>179.60907216494846</v>
      </c>
      <c r="I62" s="344">
        <f t="shared" si="3"/>
        <v>0</v>
      </c>
      <c r="J62" s="344">
        <f t="shared" si="4"/>
        <v>67.569278350515475</v>
      </c>
      <c r="K62" s="344">
        <f t="shared" si="5"/>
        <v>0</v>
      </c>
      <c r="L62" s="344">
        <f t="shared" si="6"/>
        <v>55.264329896907221</v>
      </c>
      <c r="M62" s="344">
        <f t="shared" si="7"/>
        <v>0</v>
      </c>
      <c r="N62" s="344">
        <f t="shared" si="8"/>
        <v>45.981649484536085</v>
      </c>
      <c r="O62" s="344">
        <f t="shared" si="9"/>
        <v>0</v>
      </c>
    </row>
    <row r="63" spans="1:15" s="151" customFormat="1" ht="26.25" thickBot="1">
      <c r="A63" s="1156"/>
      <c r="B63" s="342"/>
      <c r="C63" s="699" t="s">
        <v>3639</v>
      </c>
      <c r="D63" s="340" t="s">
        <v>3643</v>
      </c>
      <c r="E63" s="341">
        <v>3520.6185567010311</v>
      </c>
      <c r="F63" s="343">
        <f t="shared" si="0"/>
        <v>2112.3711340206187</v>
      </c>
      <c r="G63" s="345">
        <f t="shared" si="1"/>
        <v>0</v>
      </c>
      <c r="H63" s="344">
        <f t="shared" si="2"/>
        <v>175.74927835051545</v>
      </c>
      <c r="I63" s="344">
        <f t="shared" si="3"/>
        <v>0</v>
      </c>
      <c r="J63" s="344">
        <f t="shared" si="4"/>
        <v>66.117216494845366</v>
      </c>
      <c r="K63" s="344">
        <f t="shared" si="5"/>
        <v>0</v>
      </c>
      <c r="L63" s="344">
        <f t="shared" si="6"/>
        <v>54.076701030927843</v>
      </c>
      <c r="M63" s="344">
        <f t="shared" si="7"/>
        <v>0</v>
      </c>
      <c r="N63" s="344">
        <f t="shared" si="8"/>
        <v>44.993505154639173</v>
      </c>
      <c r="O63" s="344">
        <f t="shared" si="9"/>
        <v>0</v>
      </c>
    </row>
    <row r="64" spans="1:15" s="151" customFormat="1" ht="39" thickBot="1">
      <c r="A64" s="1156"/>
      <c r="B64" s="342"/>
      <c r="C64" s="699" t="s">
        <v>3640</v>
      </c>
      <c r="D64" s="340" t="s">
        <v>3644</v>
      </c>
      <c r="E64" s="341">
        <v>5046.3917525773195</v>
      </c>
      <c r="F64" s="343">
        <f t="shared" si="0"/>
        <v>3027.8350515463917</v>
      </c>
      <c r="G64" s="345">
        <f t="shared" si="1"/>
        <v>0</v>
      </c>
      <c r="H64" s="344">
        <f t="shared" si="2"/>
        <v>251.91587628865977</v>
      </c>
      <c r="I64" s="344">
        <f t="shared" si="3"/>
        <v>0</v>
      </c>
      <c r="J64" s="344">
        <f t="shared" si="4"/>
        <v>94.771237113402066</v>
      </c>
      <c r="K64" s="344">
        <f t="shared" si="5"/>
        <v>0</v>
      </c>
      <c r="L64" s="344">
        <f t="shared" si="6"/>
        <v>77.512577319587635</v>
      </c>
      <c r="M64" s="344">
        <f t="shared" si="7"/>
        <v>0</v>
      </c>
      <c r="N64" s="344">
        <f t="shared" si="8"/>
        <v>64.492886597938138</v>
      </c>
      <c r="O64" s="344">
        <f t="shared" si="9"/>
        <v>0</v>
      </c>
    </row>
    <row r="65" spans="1:15" s="151" customFormat="1" ht="13.5" thickBot="1">
      <c r="A65" s="1156"/>
      <c r="B65" s="342"/>
      <c r="C65" s="339" t="s">
        <v>3574</v>
      </c>
      <c r="D65" s="340" t="s">
        <v>3589</v>
      </c>
      <c r="E65" s="341">
        <v>308.2474226804124</v>
      </c>
      <c r="F65" s="343">
        <f t="shared" si="0"/>
        <v>184.94845360824743</v>
      </c>
      <c r="G65" s="345">
        <f t="shared" si="1"/>
        <v>0</v>
      </c>
      <c r="H65" s="344">
        <f t="shared" si="2"/>
        <v>15.387711340206186</v>
      </c>
      <c r="I65" s="344">
        <f t="shared" si="3"/>
        <v>0</v>
      </c>
      <c r="J65" s="344">
        <f t="shared" si="4"/>
        <v>5.788886597938145</v>
      </c>
      <c r="K65" s="344">
        <f t="shared" si="5"/>
        <v>0</v>
      </c>
      <c r="L65" s="344">
        <f t="shared" si="6"/>
        <v>4.7346804123711346</v>
      </c>
      <c r="M65" s="344">
        <f t="shared" si="7"/>
        <v>0</v>
      </c>
      <c r="N65" s="344">
        <f t="shared" si="8"/>
        <v>3.9394020618556702</v>
      </c>
      <c r="O65" s="344">
        <f t="shared" si="9"/>
        <v>0</v>
      </c>
    </row>
    <row r="66" spans="1:15" s="151" customFormat="1" ht="13.5" thickBot="1">
      <c r="A66" s="1156"/>
      <c r="B66" s="342"/>
      <c r="C66" s="339" t="s">
        <v>476</v>
      </c>
      <c r="D66" s="340" t="s">
        <v>3514</v>
      </c>
      <c r="E66" s="341">
        <v>515.46391752577324</v>
      </c>
      <c r="F66" s="343">
        <f t="shared" si="0"/>
        <v>309.27835051546396</v>
      </c>
      <c r="G66" s="345">
        <f t="shared" si="1"/>
        <v>0</v>
      </c>
      <c r="H66" s="344">
        <f t="shared" si="2"/>
        <v>25.731958762886599</v>
      </c>
      <c r="I66" s="344">
        <f t="shared" si="3"/>
        <v>0</v>
      </c>
      <c r="J66" s="344">
        <f t="shared" si="4"/>
        <v>9.6804123711340218</v>
      </c>
      <c r="K66" s="344">
        <f t="shared" si="5"/>
        <v>0</v>
      </c>
      <c r="L66" s="344">
        <f t="shared" si="6"/>
        <v>7.9175257731958775</v>
      </c>
      <c r="M66" s="344">
        <f t="shared" si="7"/>
        <v>0</v>
      </c>
      <c r="N66" s="344">
        <f t="shared" si="8"/>
        <v>6.587628865979382</v>
      </c>
      <c r="O66" s="344">
        <f t="shared" si="9"/>
        <v>0</v>
      </c>
    </row>
    <row r="67" spans="1:15" s="151" customFormat="1" ht="13.5" thickBot="1">
      <c r="A67" s="1156"/>
      <c r="B67" s="342"/>
      <c r="C67" s="339" t="s">
        <v>3488</v>
      </c>
      <c r="D67" s="340" t="s">
        <v>3561</v>
      </c>
      <c r="E67" s="341">
        <v>88.659793814432987</v>
      </c>
      <c r="F67" s="343">
        <f t="shared" si="0"/>
        <v>53.19587628865979</v>
      </c>
      <c r="G67" s="345">
        <f t="shared" si="1"/>
        <v>0</v>
      </c>
      <c r="H67" s="344">
        <f t="shared" si="2"/>
        <v>4.4258969072164946</v>
      </c>
      <c r="I67" s="344">
        <f t="shared" si="3"/>
        <v>0</v>
      </c>
      <c r="J67" s="344">
        <f t="shared" si="4"/>
        <v>1.6650309278350515</v>
      </c>
      <c r="K67" s="344">
        <f t="shared" si="5"/>
        <v>0</v>
      </c>
      <c r="L67" s="344">
        <f t="shared" si="6"/>
        <v>1.3618144329896906</v>
      </c>
      <c r="M67" s="344">
        <f t="shared" si="7"/>
        <v>0</v>
      </c>
      <c r="N67" s="344">
        <f t="shared" si="8"/>
        <v>1.1330721649484534</v>
      </c>
      <c r="O67" s="344">
        <f t="shared" si="9"/>
        <v>0</v>
      </c>
    </row>
    <row r="68" spans="1:15" s="151" customFormat="1" ht="13.5" thickBot="1">
      <c r="A68" s="1156"/>
      <c r="B68" s="342"/>
      <c r="C68" s="339" t="s">
        <v>692</v>
      </c>
      <c r="D68" s="340" t="s">
        <v>3510</v>
      </c>
      <c r="E68" s="341">
        <v>126.80412371134021</v>
      </c>
      <c r="F68" s="343">
        <f t="shared" si="0"/>
        <v>76.082474226804123</v>
      </c>
      <c r="G68" s="345">
        <f t="shared" si="1"/>
        <v>0</v>
      </c>
      <c r="H68" s="344">
        <f t="shared" si="2"/>
        <v>6.3300618556701025</v>
      </c>
      <c r="I68" s="344">
        <f t="shared" si="3"/>
        <v>0</v>
      </c>
      <c r="J68" s="344">
        <f t="shared" si="4"/>
        <v>2.3813814432989693</v>
      </c>
      <c r="K68" s="344">
        <f t="shared" si="5"/>
        <v>0</v>
      </c>
      <c r="L68" s="344">
        <f t="shared" si="6"/>
        <v>1.9477113402061856</v>
      </c>
      <c r="M68" s="344">
        <f t="shared" si="7"/>
        <v>0</v>
      </c>
      <c r="N68" s="344">
        <f t="shared" si="8"/>
        <v>1.6205567010309279</v>
      </c>
      <c r="O68" s="344">
        <f t="shared" si="9"/>
        <v>0</v>
      </c>
    </row>
    <row r="69" spans="1:15" s="151" customFormat="1" ht="13.5" thickBot="1">
      <c r="A69" s="1156"/>
      <c r="B69" s="342"/>
      <c r="C69" s="339" t="s">
        <v>693</v>
      </c>
      <c r="D69" s="340" t="s">
        <v>674</v>
      </c>
      <c r="E69" s="341">
        <v>129.89690721649484</v>
      </c>
      <c r="F69" s="343">
        <f t="shared" si="0"/>
        <v>77.9381443298969</v>
      </c>
      <c r="G69" s="345">
        <f t="shared" si="1"/>
        <v>0</v>
      </c>
      <c r="H69" s="344">
        <f t="shared" si="2"/>
        <v>6.4844536082474216</v>
      </c>
      <c r="I69" s="344">
        <f t="shared" si="3"/>
        <v>0</v>
      </c>
      <c r="J69" s="344">
        <f t="shared" si="4"/>
        <v>2.4394639175257731</v>
      </c>
      <c r="K69" s="344">
        <f t="shared" si="5"/>
        <v>0</v>
      </c>
      <c r="L69" s="344">
        <f t="shared" si="6"/>
        <v>1.9952164948453608</v>
      </c>
      <c r="M69" s="344">
        <f t="shared" si="7"/>
        <v>0</v>
      </c>
      <c r="N69" s="344">
        <f t="shared" si="8"/>
        <v>1.6600824742268039</v>
      </c>
      <c r="O69" s="344">
        <f t="shared" si="9"/>
        <v>0</v>
      </c>
    </row>
    <row r="70" spans="1:15" s="151" customFormat="1" ht="26.25" thickBot="1">
      <c r="A70" s="1156"/>
      <c r="B70" s="342"/>
      <c r="C70" s="339" t="s">
        <v>438</v>
      </c>
      <c r="D70" s="340" t="s">
        <v>594</v>
      </c>
      <c r="E70" s="341">
        <v>1134.020618556701</v>
      </c>
      <c r="F70" s="343">
        <f t="shared" si="0"/>
        <v>680.41237113402065</v>
      </c>
      <c r="G70" s="345">
        <f t="shared" si="1"/>
        <v>0</v>
      </c>
      <c r="H70" s="344">
        <f t="shared" si="2"/>
        <v>56.610309278350513</v>
      </c>
      <c r="I70" s="344">
        <f t="shared" si="3"/>
        <v>0</v>
      </c>
      <c r="J70" s="344">
        <f t="shared" si="4"/>
        <v>21.296907216494848</v>
      </c>
      <c r="K70" s="344">
        <f t="shared" si="5"/>
        <v>0</v>
      </c>
      <c r="L70" s="344">
        <f t="shared" si="6"/>
        <v>17.41855670103093</v>
      </c>
      <c r="M70" s="344">
        <f t="shared" si="7"/>
        <v>0</v>
      </c>
      <c r="N70" s="344">
        <f t="shared" si="8"/>
        <v>14.492783505154639</v>
      </c>
      <c r="O70" s="344">
        <f t="shared" si="9"/>
        <v>0</v>
      </c>
    </row>
    <row r="71" spans="1:15" s="151" customFormat="1" ht="26.25" thickBot="1">
      <c r="A71" s="1156"/>
      <c r="B71" s="342"/>
      <c r="C71" s="339" t="s">
        <v>439</v>
      </c>
      <c r="D71" s="340" t="s">
        <v>595</v>
      </c>
      <c r="E71" s="341">
        <v>809.2783505154639</v>
      </c>
      <c r="F71" s="343">
        <f t="shared" si="0"/>
        <v>485.56701030927832</v>
      </c>
      <c r="G71" s="345">
        <f t="shared" si="1"/>
        <v>0</v>
      </c>
      <c r="H71" s="344">
        <f t="shared" si="2"/>
        <v>40.399175257731955</v>
      </c>
      <c r="I71" s="344">
        <f t="shared" si="3"/>
        <v>0</v>
      </c>
      <c r="J71" s="344">
        <f t="shared" si="4"/>
        <v>15.198247422680412</v>
      </c>
      <c r="K71" s="344">
        <f t="shared" si="5"/>
        <v>0</v>
      </c>
      <c r="L71" s="344">
        <f t="shared" si="6"/>
        <v>12.430515463917526</v>
      </c>
      <c r="M71" s="344">
        <f t="shared" si="7"/>
        <v>0</v>
      </c>
      <c r="N71" s="344">
        <f t="shared" si="8"/>
        <v>10.342577319587628</v>
      </c>
      <c r="O71" s="344">
        <f t="shared" si="9"/>
        <v>0</v>
      </c>
    </row>
    <row r="72" spans="1:15" s="151" customFormat="1" ht="26.25" thickBot="1">
      <c r="A72" s="1156"/>
      <c r="B72" s="342"/>
      <c r="C72" s="339" t="s">
        <v>440</v>
      </c>
      <c r="D72" s="340" t="s">
        <v>418</v>
      </c>
      <c r="E72" s="341">
        <v>688.45360824742261</v>
      </c>
      <c r="F72" s="343">
        <f t="shared" si="0"/>
        <v>413.07216494845358</v>
      </c>
      <c r="G72" s="345">
        <f t="shared" si="1"/>
        <v>0</v>
      </c>
      <c r="H72" s="344">
        <f t="shared" si="2"/>
        <v>34.367604123711338</v>
      </c>
      <c r="I72" s="344">
        <f t="shared" si="3"/>
        <v>0</v>
      </c>
      <c r="J72" s="344">
        <f t="shared" si="4"/>
        <v>12.929158762886598</v>
      </c>
      <c r="K72" s="344">
        <f t="shared" si="5"/>
        <v>0</v>
      </c>
      <c r="L72" s="344">
        <f t="shared" si="6"/>
        <v>10.574647422680412</v>
      </c>
      <c r="M72" s="344">
        <f t="shared" si="7"/>
        <v>0</v>
      </c>
      <c r="N72" s="344">
        <f t="shared" si="8"/>
        <v>8.7984371134020609</v>
      </c>
      <c r="O72" s="344">
        <f t="shared" si="9"/>
        <v>0</v>
      </c>
    </row>
    <row r="73" spans="1:15" s="151" customFormat="1" ht="13.5" thickBot="1">
      <c r="A73" s="1156"/>
      <c r="B73" s="342"/>
      <c r="C73" s="339" t="s">
        <v>441</v>
      </c>
      <c r="D73" s="340" t="s">
        <v>596</v>
      </c>
      <c r="E73" s="341">
        <v>846.39175257731961</v>
      </c>
      <c r="F73" s="343">
        <f t="shared" si="0"/>
        <v>507.83505154639175</v>
      </c>
      <c r="G73" s="345">
        <f t="shared" si="1"/>
        <v>0</v>
      </c>
      <c r="H73" s="344">
        <f t="shared" si="2"/>
        <v>42.251876288659794</v>
      </c>
      <c r="I73" s="344">
        <f t="shared" si="3"/>
        <v>0</v>
      </c>
      <c r="J73" s="344">
        <f t="shared" si="4"/>
        <v>15.895237113402063</v>
      </c>
      <c r="K73" s="344">
        <f t="shared" si="5"/>
        <v>0</v>
      </c>
      <c r="L73" s="344">
        <f t="shared" si="6"/>
        <v>13.000577319587629</v>
      </c>
      <c r="M73" s="344">
        <f t="shared" si="7"/>
        <v>0</v>
      </c>
      <c r="N73" s="344">
        <f t="shared" si="8"/>
        <v>10.816886597938144</v>
      </c>
      <c r="O73" s="344">
        <f t="shared" si="9"/>
        <v>0</v>
      </c>
    </row>
    <row r="74" spans="1:15" s="151" customFormat="1" ht="13.5" thickBot="1">
      <c r="A74" s="1156"/>
      <c r="B74" s="342"/>
      <c r="C74" s="339" t="s">
        <v>442</v>
      </c>
      <c r="D74" s="340" t="s">
        <v>597</v>
      </c>
      <c r="E74" s="341">
        <v>711.34020618556701</v>
      </c>
      <c r="F74" s="343">
        <f t="shared" si="0"/>
        <v>426.8041237113402</v>
      </c>
      <c r="G74" s="345">
        <f t="shared" si="1"/>
        <v>0</v>
      </c>
      <c r="H74" s="344">
        <f t="shared" si="2"/>
        <v>35.510103092783503</v>
      </c>
      <c r="I74" s="344">
        <f t="shared" si="3"/>
        <v>0</v>
      </c>
      <c r="J74" s="344">
        <f t="shared" si="4"/>
        <v>13.358969072164948</v>
      </c>
      <c r="K74" s="344">
        <f t="shared" si="5"/>
        <v>0</v>
      </c>
      <c r="L74" s="344">
        <f t="shared" si="6"/>
        <v>10.926185567010309</v>
      </c>
      <c r="M74" s="344">
        <f t="shared" si="7"/>
        <v>0</v>
      </c>
      <c r="N74" s="344">
        <f t="shared" si="8"/>
        <v>9.0909278350515468</v>
      </c>
      <c r="O74" s="344">
        <f t="shared" si="9"/>
        <v>0</v>
      </c>
    </row>
    <row r="75" spans="1:15" s="151" customFormat="1" ht="13.5" thickBot="1">
      <c r="A75" s="1156"/>
      <c r="B75" s="342"/>
      <c r="C75" s="339" t="s">
        <v>443</v>
      </c>
      <c r="D75" s="340" t="s">
        <v>598</v>
      </c>
      <c r="E75" s="341">
        <v>196.90721649484536</v>
      </c>
      <c r="F75" s="343">
        <f t="shared" si="0"/>
        <v>118.14432989690721</v>
      </c>
      <c r="G75" s="345">
        <f t="shared" si="1"/>
        <v>0</v>
      </c>
      <c r="H75" s="344">
        <f t="shared" si="2"/>
        <v>9.82960824742268</v>
      </c>
      <c r="I75" s="344">
        <f t="shared" si="3"/>
        <v>0</v>
      </c>
      <c r="J75" s="344">
        <f t="shared" si="4"/>
        <v>3.697917525773196</v>
      </c>
      <c r="K75" s="344">
        <f t="shared" si="5"/>
        <v>0</v>
      </c>
      <c r="L75" s="344">
        <f t="shared" si="6"/>
        <v>3.0244948453608247</v>
      </c>
      <c r="M75" s="344">
        <f t="shared" si="7"/>
        <v>0</v>
      </c>
      <c r="N75" s="344">
        <f t="shared" si="8"/>
        <v>2.5164742268041236</v>
      </c>
      <c r="O75" s="344">
        <f t="shared" si="9"/>
        <v>0</v>
      </c>
    </row>
    <row r="76" spans="1:15" s="151" customFormat="1" ht="26.25" thickBot="1">
      <c r="A76" s="1156"/>
      <c r="B76" s="342"/>
      <c r="C76" s="339" t="s">
        <v>444</v>
      </c>
      <c r="D76" s="340" t="s">
        <v>680</v>
      </c>
      <c r="E76" s="341">
        <v>688.45360824742261</v>
      </c>
      <c r="F76" s="343">
        <f t="shared" si="0"/>
        <v>413.07216494845358</v>
      </c>
      <c r="G76" s="46">
        <f t="shared" si="1"/>
        <v>0</v>
      </c>
      <c r="H76" s="344">
        <f t="shared" si="2"/>
        <v>34.367604123711338</v>
      </c>
      <c r="I76" s="45">
        <f t="shared" si="3"/>
        <v>0</v>
      </c>
      <c r="J76" s="344">
        <f t="shared" si="4"/>
        <v>12.929158762886598</v>
      </c>
      <c r="K76" s="45">
        <f t="shared" si="5"/>
        <v>0</v>
      </c>
      <c r="L76" s="344">
        <f t="shared" si="6"/>
        <v>10.574647422680412</v>
      </c>
      <c r="M76" s="45">
        <f t="shared" si="7"/>
        <v>0</v>
      </c>
      <c r="N76" s="344">
        <f t="shared" si="8"/>
        <v>8.7984371134020609</v>
      </c>
      <c r="O76" s="45">
        <f t="shared" si="9"/>
        <v>0</v>
      </c>
    </row>
    <row r="77" spans="1:15" s="151" customFormat="1" ht="26.25" thickBot="1">
      <c r="A77" s="1156"/>
      <c r="B77" s="342"/>
      <c r="C77" s="339" t="s">
        <v>116</v>
      </c>
      <c r="D77" s="340" t="s">
        <v>117</v>
      </c>
      <c r="E77" s="341">
        <v>257.73195876288662</v>
      </c>
      <c r="F77" s="343">
        <f t="shared" si="0"/>
        <v>154.63917525773198</v>
      </c>
      <c r="G77" s="345">
        <f t="shared" si="1"/>
        <v>0</v>
      </c>
      <c r="H77" s="344">
        <f t="shared" si="2"/>
        <v>12.865979381443299</v>
      </c>
      <c r="I77" s="344">
        <f t="shared" si="3"/>
        <v>0</v>
      </c>
      <c r="J77" s="344">
        <f t="shared" si="4"/>
        <v>4.8402061855670109</v>
      </c>
      <c r="K77" s="344">
        <f t="shared" si="5"/>
        <v>0</v>
      </c>
      <c r="L77" s="344">
        <f t="shared" si="6"/>
        <v>3.9587628865979387</v>
      </c>
      <c r="M77" s="344">
        <f t="shared" si="7"/>
        <v>0</v>
      </c>
      <c r="N77" s="344">
        <f t="shared" si="8"/>
        <v>3.293814432989691</v>
      </c>
      <c r="O77" s="344">
        <f t="shared" si="9"/>
        <v>0</v>
      </c>
    </row>
    <row r="78" spans="1:15" s="151" customFormat="1" ht="13.5" thickBot="1">
      <c r="A78" s="1156"/>
      <c r="B78" s="342"/>
      <c r="C78" s="339" t="s">
        <v>3487</v>
      </c>
      <c r="D78" s="340" t="s">
        <v>3507</v>
      </c>
      <c r="E78" s="341">
        <v>407.21649484536084</v>
      </c>
      <c r="F78" s="343">
        <f t="shared" si="0"/>
        <v>244.32989690721649</v>
      </c>
      <c r="G78" s="345">
        <f t="shared" si="1"/>
        <v>0</v>
      </c>
      <c r="H78" s="344">
        <f t="shared" si="2"/>
        <v>20.328247422680413</v>
      </c>
      <c r="I78" s="344">
        <f t="shared" si="3"/>
        <v>0</v>
      </c>
      <c r="J78" s="344">
        <f t="shared" si="4"/>
        <v>7.647525773195877</v>
      </c>
      <c r="K78" s="344">
        <f t="shared" si="5"/>
        <v>0</v>
      </c>
      <c r="L78" s="344">
        <f t="shared" si="6"/>
        <v>6.254845360824743</v>
      </c>
      <c r="M78" s="344">
        <f t="shared" si="7"/>
        <v>0</v>
      </c>
      <c r="N78" s="344">
        <f t="shared" si="8"/>
        <v>5.204226804123711</v>
      </c>
      <c r="O78" s="344">
        <f t="shared" si="9"/>
        <v>0</v>
      </c>
    </row>
    <row r="79" spans="1:15" s="151" customFormat="1" ht="13.5" thickBot="1">
      <c r="A79" s="1156"/>
      <c r="B79" s="342"/>
      <c r="C79" s="339" t="s">
        <v>3599</v>
      </c>
      <c r="D79" s="340" t="s">
        <v>3594</v>
      </c>
      <c r="E79" s="341">
        <v>407.21649484536084</v>
      </c>
      <c r="F79" s="343">
        <f t="shared" si="0"/>
        <v>244.32989690721649</v>
      </c>
      <c r="G79" s="345">
        <f t="shared" si="1"/>
        <v>0</v>
      </c>
      <c r="H79" s="344">
        <f t="shared" si="2"/>
        <v>20.328247422680413</v>
      </c>
      <c r="I79" s="344">
        <f t="shared" si="3"/>
        <v>0</v>
      </c>
      <c r="J79" s="344">
        <f t="shared" si="4"/>
        <v>7.647525773195877</v>
      </c>
      <c r="K79" s="344">
        <f t="shared" si="5"/>
        <v>0</v>
      </c>
      <c r="L79" s="344">
        <f t="shared" si="6"/>
        <v>6.254845360824743</v>
      </c>
      <c r="M79" s="344">
        <f t="shared" si="7"/>
        <v>0</v>
      </c>
      <c r="N79" s="344">
        <f t="shared" si="8"/>
        <v>5.204226804123711</v>
      </c>
      <c r="O79" s="344">
        <f t="shared" si="9"/>
        <v>0</v>
      </c>
    </row>
    <row r="80" spans="1:15" s="151" customFormat="1" ht="13.5" thickBot="1">
      <c r="A80" s="1156"/>
      <c r="B80" s="342"/>
      <c r="C80" s="339" t="s">
        <v>3606</v>
      </c>
      <c r="D80" s="340" t="s">
        <v>564</v>
      </c>
      <c r="E80" s="341">
        <v>3432.9896907216494</v>
      </c>
      <c r="F80" s="343">
        <f t="shared" ref="F80:F96" si="10">E80*(1-40%)</f>
        <v>2059.7938144329896</v>
      </c>
      <c r="G80" s="345">
        <f t="shared" ref="G80:G96" si="11">F80*B80</f>
        <v>0</v>
      </c>
      <c r="H80" s="344">
        <f t="shared" ref="H80:H96" si="12">F80*0.0832</f>
        <v>171.37484536082474</v>
      </c>
      <c r="I80" s="344">
        <f t="shared" ref="I80:I96" si="13">H80*B80</f>
        <v>0</v>
      </c>
      <c r="J80" s="344">
        <f t="shared" ref="J80:J96" si="14">F80*0.0313</f>
        <v>64.471546391752582</v>
      </c>
      <c r="K80" s="344">
        <f t="shared" ref="K80:K96" si="15">J80*B80</f>
        <v>0</v>
      </c>
      <c r="L80" s="344">
        <f t="shared" ref="L80:L96" si="16">F80*0.0256</f>
        <v>52.730721649484536</v>
      </c>
      <c r="M80" s="344">
        <f t="shared" ref="M80:M96" si="17">L80*B80</f>
        <v>0</v>
      </c>
      <c r="N80" s="344">
        <f t="shared" ref="N80:N96" si="18">F80*0.0213</f>
        <v>43.873608247422681</v>
      </c>
      <c r="O80" s="344">
        <f t="shared" ref="O80:O96" si="19">N80*B80</f>
        <v>0</v>
      </c>
    </row>
    <row r="81" spans="1:15" s="151" customFormat="1" ht="13.5" thickBot="1">
      <c r="A81" s="1156"/>
      <c r="B81" s="342"/>
      <c r="C81" s="339" t="s">
        <v>3605</v>
      </c>
      <c r="D81" s="340" t="s">
        <v>565</v>
      </c>
      <c r="E81" s="341">
        <v>1824.7422680412371</v>
      </c>
      <c r="F81" s="343">
        <f>E81*(1-40%)</f>
        <v>1094.8453608247423</v>
      </c>
      <c r="G81" s="345">
        <f t="shared" si="11"/>
        <v>0</v>
      </c>
      <c r="H81" s="344">
        <f t="shared" si="12"/>
        <v>91.091134020618554</v>
      </c>
      <c r="I81" s="344">
        <f t="shared" si="13"/>
        <v>0</v>
      </c>
      <c r="J81" s="344">
        <f t="shared" si="14"/>
        <v>34.268659793814436</v>
      </c>
      <c r="K81" s="344">
        <f t="shared" si="15"/>
        <v>0</v>
      </c>
      <c r="L81" s="344">
        <f t="shared" si="16"/>
        <v>28.028041237113406</v>
      </c>
      <c r="M81" s="344">
        <f t="shared" si="17"/>
        <v>0</v>
      </c>
      <c r="N81" s="344">
        <f t="shared" si="18"/>
        <v>23.32020618556701</v>
      </c>
      <c r="O81" s="344">
        <f t="shared" si="19"/>
        <v>0</v>
      </c>
    </row>
    <row r="82" spans="1:15" s="151" customFormat="1" ht="13.5" thickBot="1">
      <c r="A82" s="1156"/>
      <c r="B82" s="342"/>
      <c r="C82" s="339" t="s">
        <v>454</v>
      </c>
      <c r="D82" s="340" t="s">
        <v>3526</v>
      </c>
      <c r="E82" s="341">
        <v>872.1649484536083</v>
      </c>
      <c r="F82" s="343">
        <f t="shared" si="10"/>
        <v>523.29896907216494</v>
      </c>
      <c r="G82" s="345">
        <f t="shared" si="11"/>
        <v>0</v>
      </c>
      <c r="H82" s="344">
        <f t="shared" si="12"/>
        <v>43.538474226804119</v>
      </c>
      <c r="I82" s="344">
        <f t="shared" si="13"/>
        <v>0</v>
      </c>
      <c r="J82" s="344">
        <f t="shared" si="14"/>
        <v>16.379257731958763</v>
      </c>
      <c r="K82" s="344">
        <f t="shared" si="15"/>
        <v>0</v>
      </c>
      <c r="L82" s="344">
        <f t="shared" si="16"/>
        <v>13.396453608247423</v>
      </c>
      <c r="M82" s="344">
        <f t="shared" si="17"/>
        <v>0</v>
      </c>
      <c r="N82" s="344">
        <f t="shared" si="18"/>
        <v>11.146268041237112</v>
      </c>
      <c r="O82" s="344">
        <f t="shared" si="19"/>
        <v>0</v>
      </c>
    </row>
    <row r="83" spans="1:15" s="151" customFormat="1" ht="26.25" thickBot="1">
      <c r="A83" s="1156"/>
      <c r="B83" s="342"/>
      <c r="C83" s="339" t="s">
        <v>70</v>
      </c>
      <c r="D83" s="340" t="s">
        <v>682</v>
      </c>
      <c r="E83" s="341">
        <v>61.855670103092784</v>
      </c>
      <c r="F83" s="343">
        <f t="shared" si="10"/>
        <v>37.113402061855666</v>
      </c>
      <c r="G83" s="345">
        <f t="shared" si="11"/>
        <v>0</v>
      </c>
      <c r="H83" s="344">
        <f t="shared" si="12"/>
        <v>3.0878350515463913</v>
      </c>
      <c r="I83" s="344">
        <f t="shared" si="13"/>
        <v>0</v>
      </c>
      <c r="J83" s="344">
        <f t="shared" si="14"/>
        <v>1.1616494845360823</v>
      </c>
      <c r="K83" s="344">
        <f t="shared" si="15"/>
        <v>0</v>
      </c>
      <c r="L83" s="344">
        <f t="shared" si="16"/>
        <v>0.95010309278350513</v>
      </c>
      <c r="M83" s="344">
        <f t="shared" si="17"/>
        <v>0</v>
      </c>
      <c r="N83" s="344">
        <f t="shared" si="18"/>
        <v>0.7905154639175257</v>
      </c>
      <c r="O83" s="344">
        <f t="shared" si="19"/>
        <v>0</v>
      </c>
    </row>
    <row r="84" spans="1:15" s="151" customFormat="1" ht="26.25" thickBot="1">
      <c r="A84" s="1156"/>
      <c r="B84" s="342"/>
      <c r="C84" s="339" t="s">
        <v>456</v>
      </c>
      <c r="D84" s="340" t="s">
        <v>683</v>
      </c>
      <c r="E84" s="341">
        <v>123.71134020618557</v>
      </c>
      <c r="F84" s="343">
        <f t="shared" si="10"/>
        <v>74.226804123711332</v>
      </c>
      <c r="G84" s="46">
        <f t="shared" si="11"/>
        <v>0</v>
      </c>
      <c r="H84" s="344">
        <f t="shared" si="12"/>
        <v>6.1756701030927825</v>
      </c>
      <c r="I84" s="45">
        <f t="shared" si="13"/>
        <v>0</v>
      </c>
      <c r="J84" s="344">
        <f t="shared" si="14"/>
        <v>2.3232989690721646</v>
      </c>
      <c r="K84" s="45">
        <f t="shared" si="15"/>
        <v>0</v>
      </c>
      <c r="L84" s="344">
        <f t="shared" si="16"/>
        <v>1.9002061855670103</v>
      </c>
      <c r="M84" s="45">
        <f t="shared" si="17"/>
        <v>0</v>
      </c>
      <c r="N84" s="344">
        <f t="shared" si="18"/>
        <v>1.5810309278350514</v>
      </c>
      <c r="O84" s="45">
        <f t="shared" si="19"/>
        <v>0</v>
      </c>
    </row>
    <row r="85" spans="1:15" s="151" customFormat="1" ht="13.5" thickBot="1">
      <c r="A85" s="1156"/>
      <c r="B85" s="342"/>
      <c r="C85" s="339" t="s">
        <v>3603</v>
      </c>
      <c r="D85" s="340" t="s">
        <v>3597</v>
      </c>
      <c r="E85" s="341">
        <v>304.12371134020617</v>
      </c>
      <c r="F85" s="343">
        <f t="shared" si="10"/>
        <v>182.4742268041237</v>
      </c>
      <c r="G85" s="345">
        <f t="shared" si="11"/>
        <v>0</v>
      </c>
      <c r="H85" s="344">
        <f t="shared" si="12"/>
        <v>15.181855670103092</v>
      </c>
      <c r="I85" s="344">
        <f t="shared" si="13"/>
        <v>0</v>
      </c>
      <c r="J85" s="344">
        <f t="shared" si="14"/>
        <v>5.7114432989690718</v>
      </c>
      <c r="K85" s="344">
        <f t="shared" si="15"/>
        <v>0</v>
      </c>
      <c r="L85" s="344">
        <f t="shared" si="16"/>
        <v>4.6713402061855671</v>
      </c>
      <c r="M85" s="344">
        <f t="shared" si="17"/>
        <v>0</v>
      </c>
      <c r="N85" s="344">
        <f t="shared" si="18"/>
        <v>3.8867010309278349</v>
      </c>
      <c r="O85" s="344">
        <f t="shared" si="19"/>
        <v>0</v>
      </c>
    </row>
    <row r="86" spans="1:15" s="151" customFormat="1" ht="13.5" thickBot="1">
      <c r="A86" s="1156"/>
      <c r="B86" s="342"/>
      <c r="C86" s="339" t="s">
        <v>3494</v>
      </c>
      <c r="D86" s="340" t="s">
        <v>3517</v>
      </c>
      <c r="E86" s="341">
        <v>1144.3298969072166</v>
      </c>
      <c r="F86" s="343">
        <f t="shared" si="10"/>
        <v>686.59793814432999</v>
      </c>
      <c r="G86" s="345">
        <f t="shared" si="11"/>
        <v>0</v>
      </c>
      <c r="H86" s="344">
        <f t="shared" si="12"/>
        <v>57.124948453608255</v>
      </c>
      <c r="I86" s="344">
        <f t="shared" si="13"/>
        <v>0</v>
      </c>
      <c r="J86" s="344">
        <f t="shared" si="14"/>
        <v>21.490515463917529</v>
      </c>
      <c r="K86" s="344">
        <f t="shared" si="15"/>
        <v>0</v>
      </c>
      <c r="L86" s="344">
        <f t="shared" si="16"/>
        <v>17.576907216494849</v>
      </c>
      <c r="M86" s="344">
        <f t="shared" si="17"/>
        <v>0</v>
      </c>
      <c r="N86" s="344">
        <f t="shared" si="18"/>
        <v>14.624536082474229</v>
      </c>
      <c r="O86" s="344">
        <f t="shared" si="19"/>
        <v>0</v>
      </c>
    </row>
    <row r="87" spans="1:15" s="151" customFormat="1" ht="26.25" thickBot="1">
      <c r="A87" s="1156"/>
      <c r="B87" s="342"/>
      <c r="C87" s="339" t="s">
        <v>3601</v>
      </c>
      <c r="D87" s="340" t="s">
        <v>3522</v>
      </c>
      <c r="E87" s="341">
        <v>604.12371134020623</v>
      </c>
      <c r="F87" s="343">
        <f t="shared" si="10"/>
        <v>362.4742268041237</v>
      </c>
      <c r="G87" s="345">
        <f t="shared" si="11"/>
        <v>0</v>
      </c>
      <c r="H87" s="344">
        <f t="shared" si="12"/>
        <v>30.157855670103089</v>
      </c>
      <c r="I87" s="344">
        <f t="shared" si="13"/>
        <v>0</v>
      </c>
      <c r="J87" s="344">
        <f t="shared" si="14"/>
        <v>11.345443298969073</v>
      </c>
      <c r="K87" s="344">
        <f t="shared" si="15"/>
        <v>0</v>
      </c>
      <c r="L87" s="344">
        <f t="shared" si="16"/>
        <v>9.2793402061855677</v>
      </c>
      <c r="M87" s="344">
        <f t="shared" si="17"/>
        <v>0</v>
      </c>
      <c r="N87" s="344">
        <f t="shared" si="18"/>
        <v>7.7207010309278346</v>
      </c>
      <c r="O87" s="344">
        <f t="shared" si="19"/>
        <v>0</v>
      </c>
    </row>
    <row r="88" spans="1:15" s="151" customFormat="1" ht="26.25" thickBot="1">
      <c r="A88" s="1156"/>
      <c r="B88" s="342"/>
      <c r="C88" s="339" t="s">
        <v>3602</v>
      </c>
      <c r="D88" s="340" t="s">
        <v>3596</v>
      </c>
      <c r="E88" s="341">
        <v>876.28865979381442</v>
      </c>
      <c r="F88" s="343">
        <f t="shared" si="10"/>
        <v>525.77319587628858</v>
      </c>
      <c r="G88" s="345">
        <f t="shared" si="11"/>
        <v>0</v>
      </c>
      <c r="H88" s="344">
        <f t="shared" si="12"/>
        <v>43.74432989690721</v>
      </c>
      <c r="I88" s="344">
        <f t="shared" si="13"/>
        <v>0</v>
      </c>
      <c r="J88" s="344">
        <f t="shared" si="14"/>
        <v>16.456701030927832</v>
      </c>
      <c r="K88" s="344">
        <f t="shared" si="15"/>
        <v>0</v>
      </c>
      <c r="L88" s="344">
        <f t="shared" si="16"/>
        <v>13.459793814432988</v>
      </c>
      <c r="M88" s="344">
        <f t="shared" si="17"/>
        <v>0</v>
      </c>
      <c r="N88" s="344">
        <f t="shared" si="18"/>
        <v>11.198969072164946</v>
      </c>
      <c r="O88" s="344">
        <f t="shared" si="19"/>
        <v>0</v>
      </c>
    </row>
    <row r="89" spans="1:15" s="151" customFormat="1" ht="13.5" thickBot="1">
      <c r="A89" s="1156"/>
      <c r="B89" s="342"/>
      <c r="C89" s="339" t="s">
        <v>698</v>
      </c>
      <c r="D89" s="340" t="s">
        <v>3565</v>
      </c>
      <c r="E89" s="341">
        <v>1262.8865979381444</v>
      </c>
      <c r="F89" s="343">
        <f t="shared" si="10"/>
        <v>757.73195876288662</v>
      </c>
      <c r="G89" s="345">
        <f t="shared" si="11"/>
        <v>0</v>
      </c>
      <c r="H89" s="344">
        <f t="shared" si="12"/>
        <v>63.043298969072161</v>
      </c>
      <c r="I89" s="344">
        <f t="shared" si="13"/>
        <v>0</v>
      </c>
      <c r="J89" s="344">
        <f t="shared" si="14"/>
        <v>23.717010309278351</v>
      </c>
      <c r="K89" s="344">
        <f t="shared" si="15"/>
        <v>0</v>
      </c>
      <c r="L89" s="344">
        <f t="shared" si="16"/>
        <v>19.397938144329899</v>
      </c>
      <c r="M89" s="344">
        <f t="shared" si="17"/>
        <v>0</v>
      </c>
      <c r="N89" s="344">
        <f t="shared" si="18"/>
        <v>16.139690721649483</v>
      </c>
      <c r="O89" s="344">
        <f t="shared" si="19"/>
        <v>0</v>
      </c>
    </row>
    <row r="90" spans="1:15" s="151" customFormat="1" ht="13.5" thickBot="1">
      <c r="A90" s="1156"/>
      <c r="B90" s="342"/>
      <c r="C90" s="339" t="s">
        <v>493</v>
      </c>
      <c r="D90" s="340" t="s">
        <v>52</v>
      </c>
      <c r="E90" s="341">
        <v>49.175257731958766</v>
      </c>
      <c r="F90" s="44">
        <f t="shared" si="10"/>
        <v>29.505154639175259</v>
      </c>
      <c r="G90" s="46">
        <f t="shared" si="11"/>
        <v>0</v>
      </c>
      <c r="H90" s="45">
        <f t="shared" si="12"/>
        <v>2.4548288659793815</v>
      </c>
      <c r="I90" s="45">
        <f t="shared" si="13"/>
        <v>0</v>
      </c>
      <c r="J90" s="45">
        <f t="shared" si="14"/>
        <v>0.92351134020618564</v>
      </c>
      <c r="K90" s="45">
        <f t="shared" si="15"/>
        <v>0</v>
      </c>
      <c r="L90" s="45">
        <f t="shared" si="16"/>
        <v>0.75533195876288672</v>
      </c>
      <c r="M90" s="45">
        <f t="shared" si="17"/>
        <v>0</v>
      </c>
      <c r="N90" s="45">
        <f t="shared" si="18"/>
        <v>0.62845979381443307</v>
      </c>
      <c r="O90" s="45">
        <f t="shared" si="19"/>
        <v>0</v>
      </c>
    </row>
    <row r="91" spans="1:15" s="151" customFormat="1" ht="13.5" thickBot="1">
      <c r="A91" s="1156"/>
      <c r="B91" s="342"/>
      <c r="C91" s="339" t="s">
        <v>478</v>
      </c>
      <c r="D91" s="340" t="s">
        <v>3560</v>
      </c>
      <c r="E91" s="341">
        <v>27.319587628865982</v>
      </c>
      <c r="F91" s="44">
        <f t="shared" si="10"/>
        <v>16.39175257731959</v>
      </c>
      <c r="G91" s="46">
        <f t="shared" si="11"/>
        <v>0</v>
      </c>
      <c r="H91" s="45">
        <f t="shared" si="12"/>
        <v>1.3637938144329897</v>
      </c>
      <c r="I91" s="45">
        <f t="shared" si="13"/>
        <v>0</v>
      </c>
      <c r="J91" s="45">
        <f t="shared" si="14"/>
        <v>0.51306185567010321</v>
      </c>
      <c r="K91" s="45">
        <f t="shared" si="15"/>
        <v>0</v>
      </c>
      <c r="L91" s="45">
        <f t="shared" si="16"/>
        <v>0.41962886597938154</v>
      </c>
      <c r="M91" s="45">
        <f t="shared" si="17"/>
        <v>0</v>
      </c>
      <c r="N91" s="45">
        <f t="shared" si="18"/>
        <v>0.34914432989690725</v>
      </c>
      <c r="O91" s="45">
        <f t="shared" si="19"/>
        <v>0</v>
      </c>
    </row>
    <row r="92" spans="1:15" s="151" customFormat="1" ht="13.5" thickBot="1">
      <c r="A92" s="1156"/>
      <c r="B92" s="342"/>
      <c r="C92" s="339" t="s">
        <v>33</v>
      </c>
      <c r="D92" s="340" t="s">
        <v>3563</v>
      </c>
      <c r="E92" s="341">
        <v>30.927835051546392</v>
      </c>
      <c r="F92" s="343">
        <f t="shared" si="10"/>
        <v>18.556701030927833</v>
      </c>
      <c r="G92" s="345">
        <f t="shared" si="11"/>
        <v>0</v>
      </c>
      <c r="H92" s="344">
        <f t="shared" si="12"/>
        <v>1.5439175257731956</v>
      </c>
      <c r="I92" s="344">
        <f t="shared" si="13"/>
        <v>0</v>
      </c>
      <c r="J92" s="344">
        <f t="shared" si="14"/>
        <v>0.58082474226804115</v>
      </c>
      <c r="K92" s="344">
        <f t="shared" si="15"/>
        <v>0</v>
      </c>
      <c r="L92" s="344">
        <f t="shared" si="16"/>
        <v>0.47505154639175257</v>
      </c>
      <c r="M92" s="344">
        <f t="shared" si="17"/>
        <v>0</v>
      </c>
      <c r="N92" s="344">
        <f t="shared" si="18"/>
        <v>0.39525773195876285</v>
      </c>
      <c r="O92" s="344">
        <f t="shared" si="19"/>
        <v>0</v>
      </c>
    </row>
    <row r="93" spans="1:15" s="151" customFormat="1" ht="26.25" thickBot="1">
      <c r="A93" s="1156"/>
      <c r="B93" s="342"/>
      <c r="C93" s="339" t="s">
        <v>700</v>
      </c>
      <c r="D93" s="340" t="s">
        <v>3566</v>
      </c>
      <c r="E93" s="341">
        <v>268.04123711340208</v>
      </c>
      <c r="F93" s="343">
        <f t="shared" si="10"/>
        <v>160.82474226804123</v>
      </c>
      <c r="G93" s="345">
        <f t="shared" si="11"/>
        <v>0</v>
      </c>
      <c r="H93" s="344">
        <f t="shared" si="12"/>
        <v>13.38061855670103</v>
      </c>
      <c r="I93" s="344">
        <f t="shared" si="13"/>
        <v>0</v>
      </c>
      <c r="J93" s="344">
        <f t="shared" si="14"/>
        <v>5.0338144329896908</v>
      </c>
      <c r="K93" s="344">
        <f t="shared" si="15"/>
        <v>0</v>
      </c>
      <c r="L93" s="344">
        <f t="shared" si="16"/>
        <v>4.1171134020618556</v>
      </c>
      <c r="M93" s="344">
        <f t="shared" si="17"/>
        <v>0</v>
      </c>
      <c r="N93" s="344">
        <f t="shared" si="18"/>
        <v>3.4255670103092783</v>
      </c>
      <c r="O93" s="344">
        <f t="shared" si="19"/>
        <v>0</v>
      </c>
    </row>
    <row r="94" spans="1:15" s="151" customFormat="1" ht="13.5" thickBot="1">
      <c r="A94" s="1156"/>
      <c r="B94" s="342"/>
      <c r="C94" s="339" t="s">
        <v>453</v>
      </c>
      <c r="D94" s="340" t="s">
        <v>3562</v>
      </c>
      <c r="E94" s="341">
        <v>115.4639175257732</v>
      </c>
      <c r="F94" s="343">
        <f t="shared" si="10"/>
        <v>69.278350515463913</v>
      </c>
      <c r="G94" s="345">
        <f t="shared" si="11"/>
        <v>0</v>
      </c>
      <c r="H94" s="344">
        <f t="shared" si="12"/>
        <v>5.7639587628865971</v>
      </c>
      <c r="I94" s="344">
        <f t="shared" si="13"/>
        <v>0</v>
      </c>
      <c r="J94" s="344">
        <f t="shared" si="14"/>
        <v>2.1684123711340204</v>
      </c>
      <c r="K94" s="344">
        <f t="shared" si="15"/>
        <v>0</v>
      </c>
      <c r="L94" s="344">
        <f t="shared" si="16"/>
        <v>1.7735257731958762</v>
      </c>
      <c r="M94" s="344">
        <f t="shared" si="17"/>
        <v>0</v>
      </c>
      <c r="N94" s="344">
        <f t="shared" si="18"/>
        <v>1.4756288659793813</v>
      </c>
      <c r="O94" s="344">
        <f t="shared" si="19"/>
        <v>0</v>
      </c>
    </row>
    <row r="95" spans="1:15" s="151" customFormat="1" ht="13.5" thickBot="1">
      <c r="A95" s="1156"/>
      <c r="B95" s="342"/>
      <c r="C95" s="339" t="s">
        <v>3604</v>
      </c>
      <c r="D95" s="340" t="s">
        <v>3598</v>
      </c>
      <c r="E95" s="341">
        <v>2577.319587628866</v>
      </c>
      <c r="F95" s="343">
        <f t="shared" si="10"/>
        <v>1546.3917525773195</v>
      </c>
      <c r="G95" s="345">
        <f t="shared" si="11"/>
        <v>0</v>
      </c>
      <c r="H95" s="344">
        <f t="shared" si="12"/>
        <v>128.65979381443299</v>
      </c>
      <c r="I95" s="344">
        <f t="shared" si="13"/>
        <v>0</v>
      </c>
      <c r="J95" s="344">
        <f t="shared" si="14"/>
        <v>48.402061855670105</v>
      </c>
      <c r="K95" s="344">
        <f t="shared" si="15"/>
        <v>0</v>
      </c>
      <c r="L95" s="344">
        <f t="shared" si="16"/>
        <v>39.587628865979383</v>
      </c>
      <c r="M95" s="344">
        <f t="shared" si="17"/>
        <v>0</v>
      </c>
      <c r="N95" s="344">
        <f t="shared" si="18"/>
        <v>32.938144329896907</v>
      </c>
      <c r="O95" s="344">
        <f t="shared" si="19"/>
        <v>0</v>
      </c>
    </row>
    <row r="96" spans="1:15" s="162" customFormat="1" ht="13.5" thickBot="1">
      <c r="A96" s="1227"/>
      <c r="B96" s="342"/>
      <c r="C96" s="339" t="s">
        <v>3493</v>
      </c>
      <c r="D96" s="340" t="s">
        <v>3516</v>
      </c>
      <c r="E96" s="341">
        <v>5164.9484536082473</v>
      </c>
      <c r="F96" s="343">
        <f t="shared" si="10"/>
        <v>3098.9690721649481</v>
      </c>
      <c r="G96" s="345">
        <f t="shared" si="11"/>
        <v>0</v>
      </c>
      <c r="H96" s="344">
        <f t="shared" si="12"/>
        <v>257.83422680412366</v>
      </c>
      <c r="I96" s="344">
        <f t="shared" si="13"/>
        <v>0</v>
      </c>
      <c r="J96" s="344">
        <f t="shared" si="14"/>
        <v>96.997731958762884</v>
      </c>
      <c r="K96" s="344">
        <f t="shared" si="15"/>
        <v>0</v>
      </c>
      <c r="L96" s="344">
        <f t="shared" si="16"/>
        <v>79.333608247422674</v>
      </c>
      <c r="M96" s="344">
        <f t="shared" si="17"/>
        <v>0</v>
      </c>
      <c r="N96" s="344">
        <f t="shared" si="18"/>
        <v>66.008041237113389</v>
      </c>
      <c r="O96" s="344">
        <f t="shared" si="19"/>
        <v>0</v>
      </c>
    </row>
    <row r="97" spans="3:15" s="162" customFormat="1" ht="15">
      <c r="C97" s="346"/>
      <c r="D97" s="997" t="s">
        <v>183</v>
      </c>
      <c r="E97" s="998"/>
      <c r="F97" s="1228"/>
      <c r="G97" s="347">
        <f t="array" ref="G97">SUM(G48:G96)+G39:G48:G96+G42:G48:G96+G45</f>
        <v>0</v>
      </c>
      <c r="H97" s="143" t="s">
        <v>184</v>
      </c>
      <c r="I97" s="347">
        <f t="array" ref="I97">SUM(I48:I96)+I39:I48:I96+I42:I48:I96+I45</f>
        <v>0</v>
      </c>
      <c r="J97" s="143" t="s">
        <v>185</v>
      </c>
      <c r="K97" s="347">
        <f t="array" ref="K97">SUM(K48:K96)+K39:K48:K96+K42:K48:K96+K45</f>
        <v>0</v>
      </c>
      <c r="L97" s="143" t="s">
        <v>186</v>
      </c>
      <c r="M97" s="347">
        <f t="array" ref="M97">SUM(M48:M96)+M39:M48:M96+M42:M48:M96+M45</f>
        <v>0</v>
      </c>
      <c r="N97" s="143" t="s">
        <v>187</v>
      </c>
      <c r="O97" s="347">
        <f t="array" ref="O97">SUM(O48:O96)+O39:O48:O96+O42:O48:O96+O45</f>
        <v>0</v>
      </c>
    </row>
    <row r="98" spans="3:15" s="162" customFormat="1" ht="14.25">
      <c r="C98" s="348"/>
      <c r="F98" s="172"/>
    </row>
    <row r="112" spans="3:15">
      <c r="C112" s="350"/>
    </row>
    <row r="113" s="104" customFormat="1"/>
    <row r="114" s="104" customFormat="1"/>
    <row r="115" s="104" customFormat="1"/>
    <row r="116" s="104" customFormat="1"/>
    <row r="117" s="104" customFormat="1"/>
    <row r="118" s="104" customFormat="1"/>
    <row r="119" s="104" customFormat="1"/>
    <row r="120" s="104" customFormat="1"/>
    <row r="121" s="104" customFormat="1"/>
    <row r="122" s="104" customFormat="1"/>
  </sheetData>
  <mergeCells count="55">
    <mergeCell ref="A47:O47"/>
    <mergeCell ref="A48:A96"/>
    <mergeCell ref="D97:F97"/>
    <mergeCell ref="O42:O43"/>
    <mergeCell ref="A45:A46"/>
    <mergeCell ref="B45:B46"/>
    <mergeCell ref="G45:G46"/>
    <mergeCell ref="I45:I46"/>
    <mergeCell ref="K45:K46"/>
    <mergeCell ref="M45:M46"/>
    <mergeCell ref="O45:O46"/>
    <mergeCell ref="A42:A43"/>
    <mergeCell ref="B42:B43"/>
    <mergeCell ref="G42:G43"/>
    <mergeCell ref="I42:I43"/>
    <mergeCell ref="K42:K43"/>
    <mergeCell ref="M42:M43"/>
    <mergeCell ref="I33:K35"/>
    <mergeCell ref="F37:G37"/>
    <mergeCell ref="H37:O37"/>
    <mergeCell ref="A39:A40"/>
    <mergeCell ref="B39:B40"/>
    <mergeCell ref="G39:G40"/>
    <mergeCell ref="I39:I40"/>
    <mergeCell ref="K39:K40"/>
    <mergeCell ref="M39:M40"/>
    <mergeCell ref="O39:O40"/>
    <mergeCell ref="A30:C30"/>
    <mergeCell ref="E30:H30"/>
    <mergeCell ref="I30:J30"/>
    <mergeCell ref="K30:M30"/>
    <mergeCell ref="N30:O30"/>
    <mergeCell ref="A31:C31"/>
    <mergeCell ref="E31:H31"/>
    <mergeCell ref="I31:J31"/>
    <mergeCell ref="K31:M31"/>
    <mergeCell ref="N31:O31"/>
    <mergeCell ref="A28:C28"/>
    <mergeCell ref="E28:H28"/>
    <mergeCell ref="I28:J28"/>
    <mergeCell ref="K28:M28"/>
    <mergeCell ref="N28:O28"/>
    <mergeCell ref="A29:C29"/>
    <mergeCell ref="E29:H29"/>
    <mergeCell ref="I29:J29"/>
    <mergeCell ref="K29:M29"/>
    <mergeCell ref="N29:O29"/>
    <mergeCell ref="A27:D27"/>
    <mergeCell ref="E27:J27"/>
    <mergeCell ref="K27:O27"/>
    <mergeCell ref="A4:O4"/>
    <mergeCell ref="A5:O5"/>
    <mergeCell ref="H8:J8"/>
    <mergeCell ref="D23:D24"/>
    <mergeCell ref="A26:O26"/>
  </mergeCells>
  <phoneticPr fontId="109"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62"/>
  </sheetPr>
  <dimension ref="A1:Q63"/>
  <sheetViews>
    <sheetView topLeftCell="A19" zoomScale="80" zoomScaleNormal="80" workbookViewId="0">
      <selection activeCell="F39" sqref="F39"/>
    </sheetView>
  </sheetViews>
  <sheetFormatPr defaultColWidth="8.85546875" defaultRowHeight="12.75"/>
  <cols>
    <col min="1" max="1" width="15.28515625" style="104" customWidth="1"/>
    <col min="2" max="2" width="9.140625" style="104" customWidth="1"/>
    <col min="3" max="3" width="14" style="104" customWidth="1"/>
    <col min="4" max="4" width="33.140625" style="104" customWidth="1"/>
    <col min="5" max="5" width="15.7109375" style="104" customWidth="1"/>
    <col min="6" max="6" width="18.28515625" style="165" customWidth="1"/>
    <col min="7" max="7" width="23.140625" style="165" customWidth="1"/>
    <col min="8" max="8" width="24" style="104" customWidth="1"/>
    <col min="9" max="9" width="20.85546875" style="104" customWidth="1"/>
    <col min="10" max="10" width="23" style="104" customWidth="1"/>
    <col min="11" max="11" width="20.42578125" style="104" customWidth="1"/>
    <col min="12" max="12" width="23.28515625" style="104" customWidth="1"/>
    <col min="13" max="13" width="20.85546875" style="104" customWidth="1"/>
    <col min="14" max="14" width="23.5703125" style="104" customWidth="1"/>
    <col min="15" max="15" width="20.85546875" style="104" customWidth="1"/>
    <col min="16" max="16" width="10" style="104" customWidth="1"/>
    <col min="17" max="16384" width="8.85546875" style="104"/>
  </cols>
  <sheetData>
    <row r="1" spans="1:17" ht="13.5" thickBot="1">
      <c r="B1" s="105"/>
      <c r="C1" s="105"/>
      <c r="D1" s="106"/>
      <c r="E1" s="106"/>
      <c r="F1" s="107"/>
      <c r="G1" s="107"/>
      <c r="H1" s="107"/>
      <c r="I1" s="107"/>
      <c r="J1" s="107"/>
      <c r="K1" s="107"/>
      <c r="L1" s="107"/>
    </row>
    <row r="2" spans="1:17" ht="9" customHeight="1">
      <c r="A2" s="108"/>
      <c r="B2" s="109"/>
      <c r="C2" s="109"/>
      <c r="D2" s="110"/>
      <c r="E2" s="110"/>
      <c r="F2" s="111"/>
      <c r="G2" s="111"/>
      <c r="H2" s="111"/>
      <c r="I2" s="112"/>
      <c r="J2" s="112"/>
      <c r="K2" s="112"/>
      <c r="L2" s="112"/>
      <c r="M2" s="108"/>
      <c r="N2" s="108"/>
      <c r="O2" s="108"/>
    </row>
    <row r="3" spans="1:17" ht="10.5" customHeight="1">
      <c r="B3" s="105"/>
      <c r="C3" s="105"/>
      <c r="D3" s="106"/>
      <c r="E3" s="106"/>
      <c r="F3" s="107"/>
      <c r="G3" s="107"/>
      <c r="H3" s="107"/>
      <c r="I3" s="113"/>
      <c r="J3" s="113"/>
      <c r="K3" s="113"/>
      <c r="L3" s="113"/>
    </row>
    <row r="4" spans="1:17" ht="30">
      <c r="A4" s="981" t="s">
        <v>4066</v>
      </c>
      <c r="B4" s="979"/>
      <c r="C4" s="979"/>
      <c r="D4" s="979"/>
      <c r="E4" s="979"/>
      <c r="F4" s="979"/>
      <c r="G4" s="979"/>
      <c r="H4" s="979"/>
      <c r="I4" s="979"/>
      <c r="J4" s="979"/>
      <c r="K4" s="979"/>
      <c r="L4" s="979"/>
      <c r="M4" s="979"/>
      <c r="N4" s="979"/>
      <c r="O4" s="979"/>
    </row>
    <row r="5" spans="1:17" s="114" customFormat="1" ht="38.25" customHeight="1">
      <c r="A5" s="982" t="s">
        <v>4069</v>
      </c>
      <c r="B5" s="983"/>
      <c r="C5" s="983"/>
      <c r="D5" s="983"/>
      <c r="E5" s="983"/>
      <c r="F5" s="983"/>
      <c r="G5" s="983"/>
      <c r="H5" s="983"/>
      <c r="I5" s="983"/>
      <c r="J5" s="983"/>
      <c r="K5" s="983"/>
      <c r="L5" s="983"/>
      <c r="M5" s="983"/>
      <c r="N5" s="983"/>
      <c r="O5" s="983"/>
    </row>
    <row r="6" spans="1:17" ht="9" customHeight="1" thickBot="1">
      <c r="A6" s="115"/>
      <c r="B6" s="116"/>
      <c r="C6" s="116"/>
      <c r="D6" s="117"/>
      <c r="E6" s="117"/>
      <c r="F6" s="118"/>
      <c r="G6" s="118"/>
      <c r="H6" s="118"/>
      <c r="I6" s="119"/>
      <c r="J6" s="119"/>
      <c r="K6" s="119"/>
      <c r="L6" s="119"/>
      <c r="M6" s="115"/>
      <c r="N6" s="115"/>
      <c r="O6" s="115"/>
    </row>
    <row r="9" spans="1:17" s="113" customFormat="1" ht="14.25">
      <c r="B9" s="120"/>
      <c r="C9" s="120"/>
      <c r="D9" s="121"/>
      <c r="E9" s="121"/>
      <c r="F9" s="121"/>
      <c r="G9" s="121"/>
      <c r="H9" s="121"/>
      <c r="I9" s="121"/>
      <c r="J9" s="121"/>
      <c r="K9" s="121"/>
      <c r="L9" s="121"/>
    </row>
    <row r="10" spans="1:17" s="113" customFormat="1" ht="14.25">
      <c r="F10" s="980" t="s">
        <v>3</v>
      </c>
      <c r="G10" s="980"/>
      <c r="H10" s="980"/>
      <c r="I10" s="980"/>
    </row>
    <row r="11" spans="1:17" s="113" customFormat="1" ht="14.25">
      <c r="G11" s="122" t="s">
        <v>4</v>
      </c>
      <c r="H11" s="113" t="s">
        <v>4006</v>
      </c>
    </row>
    <row r="12" spans="1:17" s="113" customFormat="1">
      <c r="G12" s="123" t="s">
        <v>5</v>
      </c>
      <c r="H12" s="124" t="s">
        <v>668</v>
      </c>
      <c r="I12" s="124"/>
      <c r="K12" s="124"/>
    </row>
    <row r="13" spans="1:17" s="113" customFormat="1" ht="14.25">
      <c r="F13" s="125"/>
      <c r="G13" s="126" t="s">
        <v>6</v>
      </c>
      <c r="H13" s="127" t="s">
        <v>7</v>
      </c>
      <c r="I13" s="127"/>
      <c r="K13" s="127"/>
      <c r="L13" s="128"/>
      <c r="M13" s="104"/>
      <c r="N13" s="104"/>
      <c r="O13" s="104"/>
      <c r="P13" s="104"/>
      <c r="Q13" s="104"/>
    </row>
    <row r="14" spans="1:17" s="113" customFormat="1">
      <c r="F14" s="125"/>
      <c r="G14" s="123" t="s">
        <v>8</v>
      </c>
      <c r="H14" s="129">
        <v>120000</v>
      </c>
      <c r="I14" s="129"/>
      <c r="K14" s="129"/>
      <c r="L14" s="130"/>
      <c r="M14" s="104"/>
      <c r="N14" s="104"/>
      <c r="O14" s="104"/>
      <c r="Q14" s="104"/>
    </row>
    <row r="15" spans="1:17" s="113" customFormat="1">
      <c r="F15" s="125"/>
      <c r="G15" s="123" t="s">
        <v>9</v>
      </c>
      <c r="H15" s="113" t="s">
        <v>4070</v>
      </c>
      <c r="L15" s="130"/>
      <c r="M15" s="104"/>
      <c r="N15" s="104"/>
      <c r="O15" s="104"/>
      <c r="P15" s="131"/>
      <c r="Q15" s="104"/>
    </row>
    <row r="16" spans="1:17" s="113" customFormat="1" ht="14.25">
      <c r="A16" s="128"/>
      <c r="B16" s="104"/>
      <c r="C16" s="104"/>
      <c r="D16" s="104"/>
      <c r="E16" s="104"/>
      <c r="F16" s="104"/>
      <c r="G16" s="123" t="s">
        <v>10</v>
      </c>
      <c r="H16" s="113" t="s">
        <v>128</v>
      </c>
      <c r="L16" s="130"/>
      <c r="M16" s="104"/>
      <c r="N16" s="104"/>
      <c r="O16" s="104"/>
    </row>
    <row r="17" spans="1:15" s="113" customFormat="1">
      <c r="A17" s="130"/>
      <c r="B17" s="104"/>
      <c r="C17" s="104"/>
      <c r="E17" s="104"/>
      <c r="F17" s="104"/>
      <c r="G17" s="123" t="s">
        <v>188</v>
      </c>
      <c r="H17" s="113" t="s">
        <v>4072</v>
      </c>
      <c r="L17" s="130"/>
      <c r="M17" s="104"/>
      <c r="N17" s="104"/>
      <c r="O17" s="104"/>
    </row>
    <row r="18" spans="1:15" s="113" customFormat="1">
      <c r="A18" s="130"/>
      <c r="B18" s="104"/>
      <c r="C18" s="104"/>
      <c r="D18" s="132"/>
      <c r="E18" s="133"/>
      <c r="F18" s="133"/>
      <c r="G18" s="123" t="s">
        <v>13</v>
      </c>
      <c r="H18" s="113" t="s">
        <v>14</v>
      </c>
    </row>
    <row r="19" spans="1:15" s="113" customFormat="1">
      <c r="F19" s="125"/>
      <c r="G19" s="123" t="s">
        <v>15</v>
      </c>
      <c r="H19" s="113" t="s">
        <v>4008</v>
      </c>
    </row>
    <row r="20" spans="1:15" s="113" customFormat="1">
      <c r="F20" s="125"/>
      <c r="G20" s="123" t="s">
        <v>16</v>
      </c>
      <c r="H20" s="113" t="s">
        <v>17</v>
      </c>
    </row>
    <row r="21" spans="1:15" s="113" customFormat="1">
      <c r="F21" s="125"/>
      <c r="G21" s="123" t="s">
        <v>18</v>
      </c>
      <c r="H21" s="124" t="s">
        <v>4073</v>
      </c>
      <c r="I21" s="124"/>
    </row>
    <row r="22" spans="1:15" s="113" customFormat="1" ht="14.25">
      <c r="C22" s="134"/>
      <c r="F22" s="135"/>
      <c r="G22" s="123" t="s">
        <v>19</v>
      </c>
      <c r="H22" s="113" t="s">
        <v>4071</v>
      </c>
      <c r="K22" s="124"/>
    </row>
    <row r="23" spans="1:15" s="113" customFormat="1" ht="15.75" customHeight="1">
      <c r="D23" s="136"/>
      <c r="E23" s="136"/>
      <c r="F23" s="135"/>
      <c r="G23" s="123" t="s">
        <v>20</v>
      </c>
      <c r="H23" s="113" t="s">
        <v>4057</v>
      </c>
    </row>
    <row r="24" spans="1:15" s="113" customFormat="1" ht="12.75" customHeight="1">
      <c r="D24" s="136"/>
      <c r="E24" s="136"/>
      <c r="F24" s="135"/>
      <c r="G24" s="123" t="s">
        <v>21</v>
      </c>
      <c r="H24" s="113" t="s">
        <v>4075</v>
      </c>
    </row>
    <row r="25" spans="1:15" s="113" customFormat="1" ht="12.75" customHeight="1">
      <c r="D25" s="136"/>
      <c r="E25" s="136"/>
      <c r="F25" s="135"/>
      <c r="G25" s="123" t="s">
        <v>22</v>
      </c>
      <c r="H25" s="113" t="s">
        <v>4074</v>
      </c>
    </row>
    <row r="26" spans="1:15" s="113" customFormat="1" ht="12.75" customHeight="1">
      <c r="D26" s="136"/>
      <c r="E26" s="136"/>
      <c r="F26" s="978"/>
      <c r="G26" s="979"/>
    </row>
    <row r="27" spans="1:15" s="113" customFormat="1" ht="14.25">
      <c r="A27" s="990" t="s">
        <v>23</v>
      </c>
      <c r="B27" s="979"/>
      <c r="C27" s="979"/>
      <c r="D27" s="979"/>
      <c r="E27" s="979"/>
      <c r="F27" s="979"/>
      <c r="G27" s="979"/>
      <c r="H27" s="979"/>
      <c r="I27" s="979"/>
      <c r="J27" s="979"/>
      <c r="K27" s="979"/>
      <c r="L27" s="979"/>
      <c r="M27" s="979"/>
      <c r="N27" s="979"/>
      <c r="O27" s="991"/>
    </row>
    <row r="28" spans="1:15" s="113" customFormat="1" ht="14.25">
      <c r="A28" s="992" t="s">
        <v>24</v>
      </c>
      <c r="B28" s="979"/>
      <c r="C28" s="979"/>
      <c r="D28" s="979"/>
      <c r="E28" s="979"/>
      <c r="F28" s="979"/>
      <c r="G28" s="979"/>
      <c r="H28" s="991"/>
      <c r="I28" s="993" t="s">
        <v>25</v>
      </c>
      <c r="J28" s="979"/>
      <c r="K28" s="979"/>
      <c r="L28" s="979"/>
      <c r="M28" s="979"/>
      <c r="N28" s="979"/>
      <c r="O28" s="991"/>
    </row>
    <row r="29" spans="1:15" s="113" customFormat="1" ht="12.75" customHeight="1">
      <c r="A29" s="994" t="s">
        <v>160</v>
      </c>
      <c r="B29" s="979"/>
      <c r="C29" s="979"/>
      <c r="D29" s="979"/>
      <c r="E29" s="979" t="s">
        <v>161</v>
      </c>
      <c r="F29" s="979"/>
      <c r="G29" s="979"/>
      <c r="H29" s="137"/>
      <c r="I29" s="994" t="s">
        <v>160</v>
      </c>
      <c r="J29" s="979"/>
      <c r="K29" s="979"/>
      <c r="L29" s="979"/>
      <c r="M29" s="979" t="s">
        <v>162</v>
      </c>
      <c r="N29" s="979"/>
      <c r="O29" s="991"/>
    </row>
    <row r="30" spans="1:15" s="113" customFormat="1" ht="12.75" customHeight="1">
      <c r="A30" s="994" t="s">
        <v>163</v>
      </c>
      <c r="B30" s="979"/>
      <c r="C30" s="979"/>
      <c r="D30" s="979"/>
      <c r="E30" s="989">
        <v>0</v>
      </c>
      <c r="F30" s="989"/>
      <c r="G30" s="989"/>
      <c r="H30" s="137"/>
      <c r="I30" s="994" t="s">
        <v>163</v>
      </c>
      <c r="J30" s="979"/>
      <c r="K30" s="979"/>
      <c r="L30" s="979"/>
      <c r="M30" s="989">
        <v>120</v>
      </c>
      <c r="N30" s="989"/>
      <c r="O30" s="1011"/>
    </row>
    <row r="31" spans="1:15" s="113" customFormat="1" ht="12.75" customHeight="1">
      <c r="A31" s="994" t="s">
        <v>164</v>
      </c>
      <c r="B31" s="979"/>
      <c r="C31" s="979"/>
      <c r="D31" s="979"/>
      <c r="E31" s="979" t="s">
        <v>165</v>
      </c>
      <c r="F31" s="979"/>
      <c r="G31" s="979"/>
      <c r="H31" s="137"/>
      <c r="I31" s="994" t="s">
        <v>164</v>
      </c>
      <c r="J31" s="979"/>
      <c r="K31" s="979"/>
      <c r="L31" s="979"/>
      <c r="M31" s="1014" t="s">
        <v>258</v>
      </c>
      <c r="N31" s="979"/>
      <c r="O31" s="991"/>
    </row>
    <row r="32" spans="1:15" s="113" customFormat="1" ht="12.75" customHeight="1" thickBot="1">
      <c r="A32" s="1012" t="s">
        <v>166</v>
      </c>
      <c r="B32" s="996"/>
      <c r="C32" s="996"/>
      <c r="D32" s="996"/>
      <c r="E32" s="995" t="s">
        <v>196</v>
      </c>
      <c r="F32" s="996"/>
      <c r="G32" s="996"/>
      <c r="H32" s="139"/>
      <c r="I32" s="1012" t="s">
        <v>166</v>
      </c>
      <c r="J32" s="996"/>
      <c r="K32" s="996"/>
      <c r="L32" s="996"/>
      <c r="M32" s="995" t="s">
        <v>197</v>
      </c>
      <c r="N32" s="996"/>
      <c r="O32" s="1015"/>
    </row>
    <row r="33" spans="1:16" s="113" customFormat="1" ht="12.75" customHeight="1">
      <c r="B33" s="140"/>
      <c r="C33" s="140"/>
      <c r="D33" s="136"/>
      <c r="E33" s="136"/>
      <c r="F33" s="136"/>
      <c r="G33" s="136"/>
      <c r="H33" s="136"/>
      <c r="I33" s="136"/>
      <c r="J33" s="135"/>
      <c r="K33" s="135"/>
      <c r="L33" s="141"/>
      <c r="M33" s="142"/>
      <c r="N33" s="142"/>
    </row>
    <row r="34" spans="1:16" s="113" customFormat="1" ht="12.75" customHeight="1">
      <c r="D34" s="136"/>
      <c r="E34" s="136"/>
      <c r="F34" s="143"/>
      <c r="G34" s="104"/>
      <c r="H34" s="104"/>
      <c r="I34" s="104"/>
      <c r="J34" s="104"/>
      <c r="K34" s="144"/>
      <c r="L34" s="144"/>
      <c r="M34" s="123"/>
    </row>
    <row r="35" spans="1:16" s="113" customFormat="1" ht="12.75" customHeight="1">
      <c r="D35" s="136"/>
      <c r="E35" s="136"/>
      <c r="F35" s="143"/>
      <c r="G35" s="104"/>
      <c r="H35" s="104"/>
      <c r="I35" s="104"/>
      <c r="J35" s="104"/>
      <c r="K35" s="145"/>
      <c r="L35" s="145"/>
      <c r="M35" s="123"/>
    </row>
    <row r="36" spans="1:16" s="113" customFormat="1" ht="18" customHeight="1" thickBot="1">
      <c r="C36" s="136"/>
      <c r="D36" s="135"/>
      <c r="E36" s="146"/>
      <c r="F36" s="104"/>
      <c r="G36" s="1013"/>
      <c r="H36" s="998"/>
      <c r="I36" s="149"/>
      <c r="J36" s="150"/>
    </row>
    <row r="37" spans="1:16" s="113" customFormat="1" ht="15.75" customHeight="1" thickBot="1">
      <c r="F37" s="1007" t="s">
        <v>167</v>
      </c>
      <c r="G37" s="1008"/>
      <c r="H37" s="1009" t="s">
        <v>168</v>
      </c>
      <c r="I37" s="1010"/>
      <c r="J37" s="1010"/>
      <c r="K37" s="1002"/>
      <c r="L37" s="1002"/>
      <c r="M37" s="1002"/>
      <c r="N37" s="1002"/>
      <c r="O37" s="1003"/>
    </row>
    <row r="38" spans="1:16" s="151" customFormat="1" ht="54" customHeight="1" thickBot="1">
      <c r="A38" s="82" t="s">
        <v>122</v>
      </c>
      <c r="B38" s="82" t="s">
        <v>169</v>
      </c>
      <c r="C38" s="83" t="s">
        <v>170</v>
      </c>
      <c r="D38" s="83" t="s">
        <v>171</v>
      </c>
      <c r="E38" s="83" t="s">
        <v>172</v>
      </c>
      <c r="F38" s="83" t="s">
        <v>173</v>
      </c>
      <c r="G38" s="82" t="s">
        <v>174</v>
      </c>
      <c r="H38" s="84" t="s">
        <v>175</v>
      </c>
      <c r="I38" s="85" t="s">
        <v>174</v>
      </c>
      <c r="J38" s="84" t="s">
        <v>176</v>
      </c>
      <c r="K38" s="85" t="s">
        <v>174</v>
      </c>
      <c r="L38" s="84" t="s">
        <v>177</v>
      </c>
      <c r="M38" s="85" t="s">
        <v>174</v>
      </c>
      <c r="N38" s="84" t="s">
        <v>178</v>
      </c>
      <c r="O38" s="85" t="s">
        <v>174</v>
      </c>
    </row>
    <row r="39" spans="1:16" s="155" customFormat="1" ht="30.75" customHeight="1" thickBot="1">
      <c r="A39" s="984">
        <v>7</v>
      </c>
      <c r="B39" s="984"/>
      <c r="C39" s="86" t="s">
        <v>4065</v>
      </c>
      <c r="D39" s="152" t="s">
        <v>4064</v>
      </c>
      <c r="E39" s="153">
        <v>2011</v>
      </c>
      <c r="F39" s="1">
        <f>SUM(E39:E40)*(1-20%)</f>
        <v>1668.8000000000002</v>
      </c>
      <c r="G39" s="987">
        <f>F39*B39</f>
        <v>0</v>
      </c>
      <c r="H39" s="987">
        <f>F39*0.0832</f>
        <v>138.84416000000002</v>
      </c>
      <c r="I39" s="987">
        <f>H39*B39</f>
        <v>0</v>
      </c>
      <c r="J39" s="987">
        <f>F39*0.0313</f>
        <v>52.233440000000009</v>
      </c>
      <c r="K39" s="987">
        <f>J39*B39</f>
        <v>0</v>
      </c>
      <c r="L39" s="987">
        <f>F39*0.0256</f>
        <v>42.721280000000007</v>
      </c>
      <c r="M39" s="987">
        <f>L39*B39</f>
        <v>0</v>
      </c>
      <c r="N39" s="987">
        <f>F39*0.0213</f>
        <v>35.545440000000006</v>
      </c>
      <c r="O39" s="987">
        <f>N39*B39</f>
        <v>0</v>
      </c>
      <c r="P39" s="154"/>
    </row>
    <row r="40" spans="1:16" s="151" customFormat="1" ht="13.5" thickBot="1">
      <c r="A40" s="985"/>
      <c r="B40" s="986"/>
      <c r="C40" s="90" t="s">
        <v>179</v>
      </c>
      <c r="D40" s="91" t="s">
        <v>180</v>
      </c>
      <c r="E40" s="92">
        <v>75</v>
      </c>
      <c r="F40" s="93" t="s">
        <v>162</v>
      </c>
      <c r="G40" s="988"/>
      <c r="H40" s="1000"/>
      <c r="I40" s="988"/>
      <c r="J40" s="1000"/>
      <c r="K40" s="988"/>
      <c r="L40" s="1000"/>
      <c r="M40" s="988"/>
      <c r="N40" s="1000"/>
      <c r="O40" s="988"/>
    </row>
    <row r="41" spans="1:16" s="156" customFormat="1" ht="13.5" thickBot="1">
      <c r="A41" s="94"/>
      <c r="B41" s="95"/>
      <c r="C41" s="96"/>
      <c r="D41" s="97"/>
      <c r="E41" s="98"/>
      <c r="F41" s="99"/>
      <c r="G41" s="95"/>
      <c r="H41" s="100"/>
      <c r="I41" s="95"/>
      <c r="J41" s="100"/>
      <c r="K41" s="101"/>
      <c r="L41" s="100"/>
      <c r="M41" s="95"/>
      <c r="N41" s="100"/>
      <c r="O41" s="101"/>
    </row>
    <row r="42" spans="1:16" s="155" customFormat="1" ht="30.75" customHeight="1" thickBot="1">
      <c r="A42" s="984" t="s">
        <v>181</v>
      </c>
      <c r="B42" s="984"/>
      <c r="C42" s="86" t="s">
        <v>4065</v>
      </c>
      <c r="D42" s="152" t="s">
        <v>4064</v>
      </c>
      <c r="E42" s="153">
        <v>2011</v>
      </c>
      <c r="F42" s="1">
        <f>SUM(E42:E43)*(1-20%)</f>
        <v>1668.8000000000002</v>
      </c>
      <c r="G42" s="987">
        <f>F42*B42</f>
        <v>0</v>
      </c>
      <c r="H42" s="987">
        <f>F42*0.0832+M30/12</f>
        <v>148.84416000000002</v>
      </c>
      <c r="I42" s="987">
        <f>H42*B42</f>
        <v>0</v>
      </c>
      <c r="J42" s="987">
        <f>F39*0.0313+M30/12</f>
        <v>62.233440000000009</v>
      </c>
      <c r="K42" s="987">
        <f>J42*B42</f>
        <v>0</v>
      </c>
      <c r="L42" s="987">
        <f>F39*0.0256+M30/12</f>
        <v>52.721280000000007</v>
      </c>
      <c r="M42" s="987">
        <f>L42*B42</f>
        <v>0</v>
      </c>
      <c r="N42" s="987">
        <f>F39*0.0213+M30/12</f>
        <v>45.545440000000006</v>
      </c>
      <c r="O42" s="987">
        <f>N42*B42</f>
        <v>0</v>
      </c>
      <c r="P42" s="154"/>
    </row>
    <row r="43" spans="1:16" s="151" customFormat="1" ht="13.5" thickBot="1">
      <c r="A43" s="985"/>
      <c r="B43" s="986"/>
      <c r="C43" s="90" t="s">
        <v>179</v>
      </c>
      <c r="D43" s="91" t="s">
        <v>180</v>
      </c>
      <c r="E43" s="92">
        <v>75</v>
      </c>
      <c r="F43" s="93" t="s">
        <v>162</v>
      </c>
      <c r="G43" s="988"/>
      <c r="H43" s="1000"/>
      <c r="I43" s="988"/>
      <c r="J43" s="1000"/>
      <c r="K43" s="988"/>
      <c r="L43" s="1000"/>
      <c r="M43" s="988"/>
      <c r="N43" s="1000"/>
      <c r="O43" s="988"/>
    </row>
    <row r="44" spans="1:16" s="156" customFormat="1" ht="13.5" customHeight="1" thickBot="1">
      <c r="A44" s="1001" t="s">
        <v>182</v>
      </c>
      <c r="B44" s="1002"/>
      <c r="C44" s="1002"/>
      <c r="D44" s="1002"/>
      <c r="E44" s="1002"/>
      <c r="F44" s="1002"/>
      <c r="G44" s="1002"/>
      <c r="H44" s="1002"/>
      <c r="I44" s="1002"/>
      <c r="J44" s="1002"/>
      <c r="K44" s="1002"/>
      <c r="L44" s="1002"/>
      <c r="M44" s="1002"/>
      <c r="N44" s="1002"/>
      <c r="O44" s="1003"/>
    </row>
    <row r="45" spans="1:16" s="151" customFormat="1" ht="15.75" customHeight="1" thickBot="1">
      <c r="A45" s="1004"/>
      <c r="B45" s="157"/>
      <c r="C45" s="90" t="s">
        <v>4067</v>
      </c>
      <c r="D45" s="235" t="s">
        <v>4068</v>
      </c>
      <c r="E45" s="714">
        <v>339.17525773195877</v>
      </c>
      <c r="F45" s="2">
        <f>E45*(1-20%)</f>
        <v>271.34020618556701</v>
      </c>
      <c r="G45" s="2">
        <f>F45*B45</f>
        <v>0</v>
      </c>
      <c r="H45" s="4">
        <f>F45*0.0832</f>
        <v>22.575505154639174</v>
      </c>
      <c r="I45" s="4">
        <f>H45*B45</f>
        <v>0</v>
      </c>
      <c r="J45" s="4">
        <f>F45*0.0313</f>
        <v>8.492948453608248</v>
      </c>
      <c r="K45" s="4">
        <f>J45*B45</f>
        <v>0</v>
      </c>
      <c r="L45" s="4">
        <f>F45*0.0256</f>
        <v>6.9463092783505163</v>
      </c>
      <c r="M45" s="4">
        <f>L45*B45</f>
        <v>0</v>
      </c>
      <c r="N45" s="4">
        <f>F45*0.0213</f>
        <v>5.7795463917525769</v>
      </c>
      <c r="O45" s="4">
        <f>N45*B45</f>
        <v>0</v>
      </c>
      <c r="P45" s="715"/>
    </row>
    <row r="46" spans="1:16" s="151" customFormat="1" ht="15.75" customHeight="1" thickBot="1">
      <c r="A46" s="1005"/>
      <c r="B46" s="157"/>
      <c r="C46" s="90" t="s">
        <v>666</v>
      </c>
      <c r="D46" s="491" t="s">
        <v>667</v>
      </c>
      <c r="E46" s="160">
        <v>51.536082474226809</v>
      </c>
      <c r="F46" s="2">
        <f>E46*(1-20%)</f>
        <v>41.228865979381453</v>
      </c>
      <c r="G46" s="2">
        <f>F46*B46</f>
        <v>0</v>
      </c>
      <c r="H46" s="4">
        <f>F46*0.0832</f>
        <v>3.4302416494845369</v>
      </c>
      <c r="I46" s="4">
        <f>H46*B46</f>
        <v>0</v>
      </c>
      <c r="J46" s="4">
        <f>F46*0.0313</f>
        <v>1.2904635051546396</v>
      </c>
      <c r="K46" s="4">
        <f>J46*B46</f>
        <v>0</v>
      </c>
      <c r="L46" s="4">
        <f>F46*0.0256</f>
        <v>1.0554589690721652</v>
      </c>
      <c r="M46" s="4">
        <f>L46*B46</f>
        <v>0</v>
      </c>
      <c r="N46" s="4">
        <f>F46*0.0213</f>
        <v>0.87817484536082491</v>
      </c>
      <c r="O46" s="4">
        <f>N46*B46</f>
        <v>0</v>
      </c>
      <c r="P46" s="715"/>
    </row>
    <row r="47" spans="1:16" s="151" customFormat="1" ht="26.25" thickBot="1">
      <c r="A47" s="1005"/>
      <c r="B47" s="161"/>
      <c r="C47" s="90" t="s">
        <v>4002</v>
      </c>
      <c r="D47" s="235" t="s">
        <v>4049</v>
      </c>
      <c r="E47" s="714">
        <v>196.90721649484536</v>
      </c>
      <c r="F47" s="3">
        <f>E47*(1-20%)</f>
        <v>157.5257731958763</v>
      </c>
      <c r="G47" s="3">
        <f>F47*B47</f>
        <v>0</v>
      </c>
      <c r="H47" s="4">
        <f>F47*0.0832</f>
        <v>13.106144329896907</v>
      </c>
      <c r="I47" s="6">
        <f>H47*B47</f>
        <v>0</v>
      </c>
      <c r="J47" s="4">
        <f>F47*0.0313</f>
        <v>4.9305567010309286</v>
      </c>
      <c r="K47" s="6">
        <f>J47*B47</f>
        <v>0</v>
      </c>
      <c r="L47" s="4">
        <f>F47*0.0256</f>
        <v>4.0326597938144335</v>
      </c>
      <c r="M47" s="4">
        <f>L47*B47</f>
        <v>0</v>
      </c>
      <c r="N47" s="4">
        <f>F47*0.0213</f>
        <v>3.3552989690721651</v>
      </c>
      <c r="O47" s="4">
        <f>N47*B47</f>
        <v>0</v>
      </c>
      <c r="P47" s="715"/>
    </row>
    <row r="48" spans="1:16" s="151" customFormat="1" ht="26.25" thickBot="1">
      <c r="A48" s="1006"/>
      <c r="B48" s="161"/>
      <c r="C48" s="90" t="s">
        <v>4004</v>
      </c>
      <c r="D48" s="235" t="s">
        <v>4050</v>
      </c>
      <c r="E48" s="714">
        <v>298.96907216494844</v>
      </c>
      <c r="F48" s="3">
        <f>E48*(1-20%)</f>
        <v>239.17525773195877</v>
      </c>
      <c r="G48" s="3">
        <f>F48*B48</f>
        <v>0</v>
      </c>
      <c r="H48" s="4">
        <f>F48*0.0832</f>
        <v>19.899381443298967</v>
      </c>
      <c r="I48" s="6">
        <f>H48*B48</f>
        <v>0</v>
      </c>
      <c r="J48" s="4">
        <f>F48*0.0313</f>
        <v>7.4861855670103097</v>
      </c>
      <c r="K48" s="6">
        <f>J48*B48</f>
        <v>0</v>
      </c>
      <c r="L48" s="4">
        <f>F48*0.0256</f>
        <v>6.1228865979381446</v>
      </c>
      <c r="M48" s="4">
        <f>L48*B48</f>
        <v>0</v>
      </c>
      <c r="N48" s="4">
        <f>F48*0.0213</f>
        <v>5.0944329896907217</v>
      </c>
      <c r="O48" s="4">
        <f>N48*B48</f>
        <v>0</v>
      </c>
      <c r="P48" s="715"/>
    </row>
    <row r="49" spans="2:15" s="162" customFormat="1" ht="15">
      <c r="B49" s="163"/>
      <c r="C49" s="163"/>
      <c r="D49" s="997" t="s">
        <v>183</v>
      </c>
      <c r="E49" s="998"/>
      <c r="F49" s="999"/>
      <c r="G49" s="5">
        <f t="array" ref="G49">SUM(G45:G48)+G39:G45:G48+G42</f>
        <v>0</v>
      </c>
      <c r="H49" s="164" t="s">
        <v>184</v>
      </c>
      <c r="I49" s="5">
        <f t="array" ref="I49">SUM(I45:I48)+I39:I45:I48+I42</f>
        <v>0</v>
      </c>
      <c r="J49" s="164" t="s">
        <v>185</v>
      </c>
      <c r="K49" s="5">
        <f t="array" ref="K49">SUM(K45:K48)+K39:K45:K48+K42</f>
        <v>0</v>
      </c>
      <c r="L49" s="164" t="s">
        <v>186</v>
      </c>
      <c r="M49" s="5">
        <f t="array" ref="M49">SUM(M45:M48)+M39:M45:M48+M42</f>
        <v>0</v>
      </c>
      <c r="N49" s="164" t="s">
        <v>187</v>
      </c>
      <c r="O49" s="5">
        <f t="array" ref="O49">SUM(O45:O48)+O39:O45:O48+O42</f>
        <v>0</v>
      </c>
    </row>
    <row r="54" spans="2:15" ht="15.75">
      <c r="C54" s="166"/>
      <c r="D54" s="167"/>
      <c r="E54" s="168"/>
      <c r="F54" s="168"/>
    </row>
    <row r="55" spans="2:15" ht="15.75">
      <c r="C55" s="166"/>
      <c r="D55" s="167"/>
      <c r="E55" s="168"/>
      <c r="F55" s="168"/>
    </row>
    <row r="56" spans="2:15" ht="15.75">
      <c r="C56" s="166"/>
      <c r="D56" s="167"/>
      <c r="E56" s="168"/>
      <c r="F56" s="168"/>
    </row>
    <row r="57" spans="2:15" ht="15.75">
      <c r="C57" s="166"/>
      <c r="D57" s="167"/>
      <c r="E57" s="168"/>
      <c r="F57" s="168"/>
    </row>
    <row r="58" spans="2:15" ht="15.75">
      <c r="C58" s="166"/>
      <c r="D58" s="167"/>
      <c r="E58" s="168"/>
      <c r="F58" s="168"/>
    </row>
    <row r="59" spans="2:15" ht="15.75">
      <c r="C59" s="166"/>
      <c r="D59" s="167"/>
      <c r="E59" s="168"/>
      <c r="F59" s="168"/>
    </row>
    <row r="63" spans="2:15">
      <c r="B63" s="106"/>
      <c r="C63" s="106"/>
    </row>
  </sheetData>
  <mergeCells count="51">
    <mergeCell ref="O42:O43"/>
    <mergeCell ref="A44:O44"/>
    <mergeCell ref="A45:A48"/>
    <mergeCell ref="D49:F49"/>
    <mergeCell ref="K42:K43"/>
    <mergeCell ref="L42:L43"/>
    <mergeCell ref="M42:M43"/>
    <mergeCell ref="A42:A43"/>
    <mergeCell ref="B42:B43"/>
    <mergeCell ref="G42:G43"/>
    <mergeCell ref="H42:H43"/>
    <mergeCell ref="N42:N43"/>
    <mergeCell ref="I42:I43"/>
    <mergeCell ref="J42:J43"/>
    <mergeCell ref="G36:H36"/>
    <mergeCell ref="F37:G37"/>
    <mergeCell ref="H37:O37"/>
    <mergeCell ref="A39:A40"/>
    <mergeCell ref="B39:B40"/>
    <mergeCell ref="G39:G40"/>
    <mergeCell ref="H39:H40"/>
    <mergeCell ref="I39:I40"/>
    <mergeCell ref="J39:J40"/>
    <mergeCell ref="K39:K40"/>
    <mergeCell ref="L39:L40"/>
    <mergeCell ref="M39:M40"/>
    <mergeCell ref="N39:N40"/>
    <mergeCell ref="O39:O40"/>
    <mergeCell ref="A31:D31"/>
    <mergeCell ref="E31:G31"/>
    <mergeCell ref="I31:L31"/>
    <mergeCell ref="M31:O31"/>
    <mergeCell ref="A32:D32"/>
    <mergeCell ref="E32:G32"/>
    <mergeCell ref="I32:L32"/>
    <mergeCell ref="M32:O32"/>
    <mergeCell ref="A29:D29"/>
    <mergeCell ref="E29:G29"/>
    <mergeCell ref="I29:L29"/>
    <mergeCell ref="M29:O29"/>
    <mergeCell ref="A30:D30"/>
    <mergeCell ref="E30:G30"/>
    <mergeCell ref="I30:L30"/>
    <mergeCell ref="M30:O30"/>
    <mergeCell ref="A28:H28"/>
    <mergeCell ref="I28:O28"/>
    <mergeCell ref="A4:O4"/>
    <mergeCell ref="A5:O5"/>
    <mergeCell ref="F10:I10"/>
    <mergeCell ref="F26:G26"/>
    <mergeCell ref="A27:O2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9DDBF-C68F-4E7C-86D0-942C184E7545}">
  <sheetPr>
    <tabColor indexed="62"/>
  </sheetPr>
  <dimension ref="A1:Q106"/>
  <sheetViews>
    <sheetView topLeftCell="C29" zoomScale="96" zoomScaleNormal="96" workbookViewId="0">
      <selection activeCell="B3" sqref="B3"/>
    </sheetView>
  </sheetViews>
  <sheetFormatPr defaultColWidth="8.85546875" defaultRowHeight="12.75"/>
  <cols>
    <col min="1" max="1" width="14.42578125" style="378" customWidth="1"/>
    <col min="2" max="2" width="9.42578125" style="378" customWidth="1"/>
    <col min="3" max="3" width="21.7109375" style="769" bestFit="1" customWidth="1"/>
    <col min="4" max="4" width="37.42578125" style="378" customWidth="1"/>
    <col min="5" max="5" width="17.42578125" style="378" customWidth="1"/>
    <col min="6" max="6" width="19" style="455" customWidth="1"/>
    <col min="7" max="7" width="15.42578125" style="378" customWidth="1"/>
    <col min="8" max="8" width="28.28515625" style="378" customWidth="1"/>
    <col min="9" max="9" width="20.140625" style="378" customWidth="1"/>
    <col min="10" max="10" width="25" style="378" customWidth="1"/>
    <col min="11" max="11" width="19" style="378" customWidth="1"/>
    <col min="12" max="12" width="25" style="378" customWidth="1"/>
    <col min="13" max="13" width="17" style="378" customWidth="1"/>
    <col min="14" max="14" width="25" style="378" customWidth="1"/>
    <col min="15" max="15" width="18.85546875" style="378" customWidth="1"/>
    <col min="16" max="16" width="12.42578125" style="378" customWidth="1"/>
    <col min="17" max="16384" width="8.85546875" style="378"/>
  </cols>
  <sheetData>
    <row r="1" spans="1:15" ht="13.5" thickBot="1">
      <c r="B1" s="381"/>
      <c r="C1" s="852"/>
      <c r="D1" s="380"/>
      <c r="E1" s="380"/>
      <c r="F1" s="381"/>
      <c r="G1" s="381"/>
      <c r="H1" s="381"/>
      <c r="I1" s="381"/>
      <c r="J1" s="381"/>
      <c r="K1" s="380"/>
      <c r="L1" s="381"/>
    </row>
    <row r="2" spans="1:15" ht="9" customHeight="1">
      <c r="A2" s="382"/>
      <c r="B2" s="386"/>
      <c r="C2" s="854"/>
      <c r="D2" s="384"/>
      <c r="E2" s="384"/>
      <c r="F2" s="385"/>
      <c r="G2" s="386"/>
      <c r="H2" s="385"/>
      <c r="I2" s="386"/>
      <c r="J2" s="386"/>
      <c r="K2" s="386"/>
      <c r="L2" s="386"/>
      <c r="M2" s="382"/>
      <c r="N2" s="382"/>
      <c r="O2" s="382"/>
    </row>
    <row r="3" spans="1:15" ht="10.5" customHeight="1">
      <c r="B3" s="387"/>
      <c r="C3" s="852"/>
      <c r="D3" s="380"/>
      <c r="E3" s="380"/>
      <c r="F3" s="381"/>
      <c r="G3" s="387"/>
      <c r="H3" s="381"/>
      <c r="I3" s="387"/>
      <c r="J3" s="387"/>
      <c r="K3" s="387"/>
      <c r="L3" s="387"/>
    </row>
    <row r="4" spans="1:15" ht="36" customHeight="1">
      <c r="A4" s="1022" t="s">
        <v>4278</v>
      </c>
      <c r="B4" s="1023"/>
      <c r="C4" s="1023"/>
      <c r="D4" s="1023"/>
      <c r="E4" s="1023"/>
      <c r="F4" s="1023"/>
      <c r="G4" s="1023"/>
      <c r="H4" s="1023"/>
      <c r="I4" s="1023"/>
      <c r="J4" s="1023"/>
      <c r="K4" s="1023"/>
      <c r="L4" s="1023"/>
      <c r="M4" s="1023"/>
      <c r="N4" s="1023"/>
      <c r="O4" s="1023"/>
    </row>
    <row r="5" spans="1:15" s="388" customFormat="1" ht="41.25" customHeight="1">
      <c r="A5" s="1024" t="s">
        <v>4279</v>
      </c>
      <c r="B5" s="1025"/>
      <c r="C5" s="1025"/>
      <c r="D5" s="1025"/>
      <c r="E5" s="1025"/>
      <c r="F5" s="1025"/>
      <c r="G5" s="1025"/>
      <c r="H5" s="1025"/>
      <c r="I5" s="1025"/>
      <c r="J5" s="1025"/>
      <c r="K5" s="1025"/>
      <c r="L5" s="1025"/>
      <c r="M5" s="1025"/>
      <c r="N5" s="1025"/>
      <c r="O5" s="1025"/>
    </row>
    <row r="6" spans="1:15" ht="12" customHeight="1" thickBot="1">
      <c r="A6" s="389"/>
      <c r="B6" s="389"/>
      <c r="C6" s="389"/>
      <c r="D6" s="389"/>
      <c r="E6" s="389"/>
      <c r="F6" s="389"/>
      <c r="G6" s="389"/>
      <c r="H6" s="389"/>
      <c r="I6" s="389"/>
      <c r="J6" s="389"/>
      <c r="K6" s="389"/>
      <c r="L6" s="389"/>
      <c r="M6" s="389"/>
      <c r="N6" s="389"/>
      <c r="O6" s="389"/>
    </row>
    <row r="8" spans="1:15" s="387" customFormat="1" ht="14.25">
      <c r="C8" s="404"/>
      <c r="F8" s="616"/>
      <c r="G8" s="616"/>
      <c r="H8" s="1026" t="s">
        <v>3</v>
      </c>
      <c r="I8" s="1026"/>
      <c r="J8" s="1026"/>
      <c r="K8" s="717"/>
    </row>
    <row r="9" spans="1:15" s="387" customFormat="1" ht="14.25">
      <c r="C9" s="404"/>
      <c r="H9" s="397" t="s">
        <v>4</v>
      </c>
      <c r="I9" s="387" t="s">
        <v>481</v>
      </c>
    </row>
    <row r="10" spans="1:15" s="387" customFormat="1">
      <c r="B10" s="404"/>
      <c r="C10" s="404"/>
      <c r="G10" s="404"/>
      <c r="H10" s="392" t="s">
        <v>5</v>
      </c>
      <c r="I10" s="404" t="s">
        <v>392</v>
      </c>
      <c r="J10" s="404"/>
      <c r="K10" s="395"/>
      <c r="L10" s="404"/>
    </row>
    <row r="11" spans="1:15" s="387" customFormat="1" ht="12.75" customHeight="1">
      <c r="B11" s="768"/>
      <c r="C11" s="404"/>
      <c r="F11" s="616"/>
      <c r="G11" s="768"/>
      <c r="H11" s="398" t="s">
        <v>6</v>
      </c>
      <c r="I11" s="768" t="s">
        <v>190</v>
      </c>
      <c r="J11" s="768"/>
      <c r="L11" s="768"/>
    </row>
    <row r="12" spans="1:15" s="387" customFormat="1">
      <c r="B12" s="404"/>
      <c r="C12" s="404"/>
      <c r="F12" s="616"/>
      <c r="G12" s="404"/>
      <c r="H12" s="392" t="s">
        <v>8</v>
      </c>
      <c r="I12" s="776">
        <v>300000</v>
      </c>
      <c r="J12" s="404"/>
      <c r="L12" s="404"/>
    </row>
    <row r="13" spans="1:15" s="387" customFormat="1">
      <c r="C13" s="894"/>
      <c r="F13" s="616"/>
      <c r="H13" s="392" t="s">
        <v>9</v>
      </c>
      <c r="I13" s="387" t="s">
        <v>4288</v>
      </c>
    </row>
    <row r="14" spans="1:15" s="387" customFormat="1">
      <c r="C14" s="404"/>
      <c r="F14" s="616"/>
      <c r="H14" s="392" t="s">
        <v>10</v>
      </c>
      <c r="I14" s="387" t="s">
        <v>134</v>
      </c>
    </row>
    <row r="15" spans="1:15" s="387" customFormat="1">
      <c r="C15" s="404"/>
      <c r="F15" s="424"/>
      <c r="H15" s="392" t="s">
        <v>11</v>
      </c>
      <c r="I15" s="387" t="s">
        <v>4287</v>
      </c>
    </row>
    <row r="16" spans="1:15" s="387" customFormat="1">
      <c r="C16" s="404"/>
      <c r="F16" s="616"/>
      <c r="H16" s="392" t="s">
        <v>12</v>
      </c>
      <c r="I16" s="387" t="s">
        <v>482</v>
      </c>
    </row>
    <row r="17" spans="1:15" s="387" customFormat="1">
      <c r="C17" s="404"/>
      <c r="F17" s="616"/>
      <c r="H17" s="392" t="s">
        <v>13</v>
      </c>
      <c r="I17" s="387" t="s">
        <v>235</v>
      </c>
    </row>
    <row r="18" spans="1:15" s="387" customFormat="1">
      <c r="C18" s="404"/>
      <c r="I18" s="387" t="s">
        <v>109</v>
      </c>
    </row>
    <row r="19" spans="1:15" s="387" customFormat="1">
      <c r="C19" s="404"/>
      <c r="F19" s="616"/>
      <c r="I19" s="387" t="s">
        <v>37</v>
      </c>
    </row>
    <row r="20" spans="1:15" s="387" customFormat="1">
      <c r="C20" s="404"/>
      <c r="F20" s="616"/>
      <c r="H20" s="392" t="s">
        <v>15</v>
      </c>
      <c r="I20" s="387" t="s">
        <v>110</v>
      </c>
    </row>
    <row r="21" spans="1:15" s="387" customFormat="1">
      <c r="C21" s="404"/>
      <c r="F21" s="616"/>
      <c r="H21" s="392" t="s">
        <v>16</v>
      </c>
      <c r="I21" s="387" t="s">
        <v>39</v>
      </c>
    </row>
    <row r="22" spans="1:15" s="387" customFormat="1">
      <c r="B22" s="404"/>
      <c r="C22" s="404"/>
      <c r="F22" s="616"/>
      <c r="G22" s="404"/>
      <c r="H22" s="392" t="s">
        <v>18</v>
      </c>
      <c r="I22" s="404" t="s">
        <v>111</v>
      </c>
      <c r="J22" s="404"/>
      <c r="L22" s="404"/>
    </row>
    <row r="23" spans="1:15" s="387" customFormat="1" ht="12" customHeight="1">
      <c r="C23" s="404"/>
      <c r="F23" s="616"/>
      <c r="H23" s="392" t="s">
        <v>19</v>
      </c>
      <c r="I23" s="387" t="s">
        <v>4283</v>
      </c>
    </row>
    <row r="24" spans="1:15" s="387" customFormat="1" ht="15.75" customHeight="1">
      <c r="C24" s="404"/>
      <c r="D24" s="1027"/>
      <c r="E24" s="399"/>
      <c r="F24" s="405"/>
      <c r="H24" s="392" t="s">
        <v>20</v>
      </c>
      <c r="I24" s="387" t="s">
        <v>4282</v>
      </c>
      <c r="K24" s="895"/>
    </row>
    <row r="25" spans="1:15" s="387" customFormat="1" ht="12.75" customHeight="1">
      <c r="C25" s="404"/>
      <c r="D25" s="1027"/>
      <c r="E25" s="399"/>
      <c r="F25" s="405"/>
      <c r="H25" s="392" t="s">
        <v>21</v>
      </c>
      <c r="I25" s="387" t="s">
        <v>4281</v>
      </c>
    </row>
    <row r="26" spans="1:15" s="387" customFormat="1" ht="12.75" customHeight="1">
      <c r="C26" s="404"/>
      <c r="D26" s="399"/>
      <c r="E26" s="399"/>
      <c r="F26" s="405"/>
      <c r="H26" s="392" t="s">
        <v>22</v>
      </c>
      <c r="I26" s="387" t="s">
        <v>4280</v>
      </c>
    </row>
    <row r="27" spans="1:15" s="387" customFormat="1" ht="15" thickBot="1">
      <c r="A27" s="1104" t="s">
        <v>23</v>
      </c>
      <c r="B27" s="1187"/>
      <c r="C27" s="1187"/>
      <c r="D27" s="1187"/>
      <c r="E27" s="1187"/>
      <c r="F27" s="1187"/>
      <c r="G27" s="1187"/>
      <c r="H27" s="1187"/>
      <c r="I27" s="1187"/>
      <c r="J27" s="1187"/>
      <c r="K27" s="1187"/>
      <c r="L27" s="1187"/>
      <c r="M27" s="1187"/>
      <c r="N27" s="1187"/>
      <c r="O27" s="1187"/>
    </row>
    <row r="28" spans="1:15" s="387" customFormat="1" ht="14.25">
      <c r="A28" s="1098" t="s">
        <v>135</v>
      </c>
      <c r="B28" s="1099"/>
      <c r="C28" s="1099"/>
      <c r="D28" s="1100"/>
      <c r="E28" s="1101" t="s">
        <v>136</v>
      </c>
      <c r="F28" s="1184"/>
      <c r="G28" s="1184"/>
      <c r="H28" s="1184"/>
      <c r="I28" s="1184"/>
      <c r="J28" s="1185"/>
      <c r="K28" s="1098" t="s">
        <v>137</v>
      </c>
      <c r="L28" s="1099"/>
      <c r="M28" s="1099"/>
      <c r="N28" s="1099"/>
      <c r="O28" s="1100"/>
    </row>
    <row r="29" spans="1:15" s="387" customFormat="1" ht="12.75" customHeight="1">
      <c r="A29" s="1030" t="s">
        <v>160</v>
      </c>
      <c r="B29" s="1031"/>
      <c r="C29" s="1031"/>
      <c r="D29" s="401" t="s">
        <v>161</v>
      </c>
      <c r="E29" s="1030" t="s">
        <v>160</v>
      </c>
      <c r="F29" s="1031"/>
      <c r="G29" s="1031"/>
      <c r="H29" s="1031"/>
      <c r="I29" s="1109" t="s">
        <v>162</v>
      </c>
      <c r="J29" s="1140"/>
      <c r="K29" s="1030" t="s">
        <v>160</v>
      </c>
      <c r="L29" s="1031"/>
      <c r="M29" s="1031"/>
      <c r="N29" s="1110" t="s">
        <v>162</v>
      </c>
      <c r="O29" s="1111"/>
    </row>
    <row r="30" spans="1:15" s="387" customFormat="1" ht="12.75" customHeight="1">
      <c r="A30" s="1030" t="s">
        <v>43</v>
      </c>
      <c r="B30" s="1031"/>
      <c r="C30" s="1031"/>
      <c r="D30" s="402">
        <v>0</v>
      </c>
      <c r="E30" s="1030" t="s">
        <v>43</v>
      </c>
      <c r="F30" s="1031"/>
      <c r="G30" s="1031"/>
      <c r="H30" s="1031"/>
      <c r="I30" s="1105">
        <v>1320</v>
      </c>
      <c r="J30" s="1186"/>
      <c r="K30" s="1030" t="s">
        <v>43</v>
      </c>
      <c r="L30" s="1031"/>
      <c r="M30" s="1031"/>
      <c r="N30" s="1107">
        <v>1920</v>
      </c>
      <c r="O30" s="1108"/>
    </row>
    <row r="31" spans="1:15" s="387" customFormat="1" ht="12.75" customHeight="1">
      <c r="A31" s="1030" t="s">
        <v>164</v>
      </c>
      <c r="B31" s="1031"/>
      <c r="C31" s="1031"/>
      <c r="D31" s="401" t="s">
        <v>165</v>
      </c>
      <c r="E31" s="1030" t="s">
        <v>164</v>
      </c>
      <c r="F31" s="1031"/>
      <c r="G31" s="1031"/>
      <c r="H31" s="1031"/>
      <c r="I31" s="1109" t="s">
        <v>138</v>
      </c>
      <c r="J31" s="1140"/>
      <c r="K31" s="1030" t="s">
        <v>164</v>
      </c>
      <c r="L31" s="1031"/>
      <c r="M31" s="1031"/>
      <c r="N31" s="1110" t="s">
        <v>139</v>
      </c>
      <c r="O31" s="1111"/>
    </row>
    <row r="32" spans="1:15" s="387" customFormat="1" ht="12.75" customHeight="1" thickBot="1">
      <c r="A32" s="1035" t="s">
        <v>46</v>
      </c>
      <c r="B32" s="1036"/>
      <c r="C32" s="1036"/>
      <c r="D32" s="403" t="s">
        <v>3552</v>
      </c>
      <c r="E32" s="1035" t="s">
        <v>47</v>
      </c>
      <c r="F32" s="1036"/>
      <c r="G32" s="1036"/>
      <c r="H32" s="1036"/>
      <c r="I32" s="1112" t="s">
        <v>3553</v>
      </c>
      <c r="J32" s="1138"/>
      <c r="K32" s="1035" t="s">
        <v>166</v>
      </c>
      <c r="L32" s="1036"/>
      <c r="M32" s="1036"/>
      <c r="N32" s="1114" t="s">
        <v>3553</v>
      </c>
      <c r="O32" s="1115"/>
    </row>
    <row r="33" spans="1:15" s="387" customFormat="1" ht="12.75" customHeight="1">
      <c r="A33" s="767"/>
      <c r="B33" s="378"/>
      <c r="C33" s="378"/>
      <c r="E33" s="767"/>
      <c r="F33" s="378"/>
      <c r="I33" s="767"/>
      <c r="J33" s="378"/>
      <c r="M33" s="867"/>
    </row>
    <row r="34" spans="1:15" s="387" customFormat="1" ht="12.75" customHeight="1">
      <c r="C34" s="921"/>
      <c r="D34" s="399"/>
      <c r="E34" s="399"/>
      <c r="F34" s="405"/>
      <c r="G34" s="405"/>
      <c r="H34" s="405"/>
      <c r="I34" s="1086"/>
      <c r="J34" s="1086"/>
      <c r="K34" s="1086"/>
    </row>
    <row r="35" spans="1:15" s="387" customFormat="1" ht="12.75" customHeight="1">
      <c r="C35" s="404"/>
      <c r="D35" s="399"/>
      <c r="E35" s="399"/>
      <c r="F35" s="405"/>
      <c r="G35" s="405"/>
      <c r="H35" s="405"/>
      <c r="I35" s="1086"/>
      <c r="J35" s="1086"/>
      <c r="K35" s="1086"/>
    </row>
    <row r="36" spans="1:15" s="387" customFormat="1" ht="12.75" customHeight="1">
      <c r="C36" s="404"/>
      <c r="D36" s="399"/>
      <c r="E36" s="399"/>
      <c r="F36" s="405"/>
      <c r="G36" s="405"/>
      <c r="H36" s="405"/>
      <c r="I36" s="1086"/>
      <c r="J36" s="1086"/>
      <c r="K36" s="1086"/>
    </row>
    <row r="37" spans="1:15" s="387" customFormat="1" ht="13.5" customHeight="1" thickBot="1">
      <c r="B37" s="410"/>
      <c r="C37" s="404"/>
      <c r="D37" s="399"/>
      <c r="E37" s="399"/>
      <c r="F37" s="405"/>
      <c r="G37" s="410"/>
      <c r="I37" s="410"/>
      <c r="J37" s="410"/>
      <c r="K37" s="410"/>
      <c r="L37" s="410"/>
    </row>
    <row r="38" spans="1:15" s="387" customFormat="1" ht="15.75" customHeight="1" thickBot="1">
      <c r="C38" s="404"/>
      <c r="F38" s="1088" t="s">
        <v>167</v>
      </c>
      <c r="G38" s="1041"/>
      <c r="H38" s="1042" t="s">
        <v>168</v>
      </c>
      <c r="I38" s="1043"/>
      <c r="J38" s="1116"/>
      <c r="K38" s="1044"/>
      <c r="L38" s="1044"/>
      <c r="M38" s="1044"/>
      <c r="N38" s="1044"/>
      <c r="O38" s="1045"/>
    </row>
    <row r="39" spans="1:15" s="413" customFormat="1" ht="62.25" customHeight="1" thickBot="1">
      <c r="A39" s="411" t="s">
        <v>122</v>
      </c>
      <c r="B39" s="411" t="s">
        <v>169</v>
      </c>
      <c r="C39" s="896" t="s">
        <v>170</v>
      </c>
      <c r="D39" s="412" t="s">
        <v>171</v>
      </c>
      <c r="E39" s="412" t="s">
        <v>172</v>
      </c>
      <c r="F39" s="412" t="s">
        <v>173</v>
      </c>
      <c r="G39" s="411" t="s">
        <v>174</v>
      </c>
      <c r="H39" s="412" t="s">
        <v>175</v>
      </c>
      <c r="I39" s="411" t="s">
        <v>174</v>
      </c>
      <c r="J39" s="412" t="s">
        <v>176</v>
      </c>
      <c r="K39" s="411" t="s">
        <v>174</v>
      </c>
      <c r="L39" s="412" t="s">
        <v>177</v>
      </c>
      <c r="M39" s="411" t="s">
        <v>174</v>
      </c>
      <c r="N39" s="412" t="s">
        <v>178</v>
      </c>
      <c r="O39" s="411" t="s">
        <v>174</v>
      </c>
    </row>
    <row r="40" spans="1:15" s="418" customFormat="1" ht="15.75" thickBot="1">
      <c r="A40" s="1119">
        <v>17</v>
      </c>
      <c r="B40" s="1197"/>
      <c r="C40" s="897" t="s">
        <v>4249</v>
      </c>
      <c r="D40" s="898" t="s">
        <v>4248</v>
      </c>
      <c r="E40" s="899">
        <v>41913</v>
      </c>
      <c r="F40" s="900">
        <f>SUM(E40:E41)*(1-82%)</f>
        <v>7590.9600000000019</v>
      </c>
      <c r="G40" s="1198">
        <f>F40*B40</f>
        <v>0</v>
      </c>
      <c r="H40" s="901">
        <f>F40*0.0832</f>
        <v>631.56787200000008</v>
      </c>
      <c r="I40" s="1198">
        <f>H40*B40</f>
        <v>0</v>
      </c>
      <c r="J40" s="901">
        <f>F40*0.0313</f>
        <v>237.59704800000006</v>
      </c>
      <c r="K40" s="1198">
        <f>J40*B40</f>
        <v>0</v>
      </c>
      <c r="L40" s="417">
        <f>F40*0.0256</f>
        <v>194.32857600000006</v>
      </c>
      <c r="M40" s="1050">
        <f>L40*B40</f>
        <v>0</v>
      </c>
      <c r="N40" s="417">
        <f>F40*0.0213</f>
        <v>161.68744800000005</v>
      </c>
      <c r="O40" s="1050">
        <f>N40*B40</f>
        <v>0</v>
      </c>
    </row>
    <row r="41" spans="1:15" s="413" customFormat="1" ht="13.5" thickBot="1">
      <c r="A41" s="1125"/>
      <c r="B41" s="1182"/>
      <c r="C41" s="425" t="s">
        <v>179</v>
      </c>
      <c r="D41" s="922" t="s">
        <v>104</v>
      </c>
      <c r="E41" s="906">
        <v>259</v>
      </c>
      <c r="F41" s="913" t="s">
        <v>162</v>
      </c>
      <c r="G41" s="1202"/>
      <c r="H41" s="913" t="s">
        <v>162</v>
      </c>
      <c r="I41" s="1202"/>
      <c r="J41" s="913" t="s">
        <v>162</v>
      </c>
      <c r="K41" s="1202"/>
      <c r="L41" s="53" t="s">
        <v>162</v>
      </c>
      <c r="M41" s="1118"/>
      <c r="N41" s="53" t="s">
        <v>162</v>
      </c>
      <c r="O41" s="1118"/>
    </row>
    <row r="42" spans="1:15" s="413" customFormat="1" ht="13.5" thickBot="1">
      <c r="A42" s="908"/>
      <c r="B42" s="765"/>
      <c r="C42" s="765"/>
      <c r="D42" s="757"/>
      <c r="E42" s="784"/>
      <c r="F42" s="909"/>
      <c r="G42" s="758"/>
      <c r="H42" s="914"/>
      <c r="I42" s="758"/>
      <c r="J42" s="914"/>
      <c r="K42" s="759"/>
      <c r="L42" s="57"/>
      <c r="M42" s="55"/>
      <c r="N42" s="57"/>
      <c r="O42" s="56"/>
    </row>
    <row r="43" spans="1:15" s="418" customFormat="1" ht="15.75" thickBot="1">
      <c r="A43" s="1119" t="s">
        <v>141</v>
      </c>
      <c r="B43" s="1197"/>
      <c r="C43" s="897" t="s">
        <v>4249</v>
      </c>
      <c r="D43" s="898" t="s">
        <v>4248</v>
      </c>
      <c r="E43" s="899">
        <v>41913</v>
      </c>
      <c r="F43" s="900">
        <f>SUM(E43:E44)*(1-82%)</f>
        <v>7590.9600000000019</v>
      </c>
      <c r="G43" s="1198">
        <f>F43*B43</f>
        <v>0</v>
      </c>
      <c r="H43" s="901">
        <f>F43*0.0832+I30/12</f>
        <v>741.56787200000008</v>
      </c>
      <c r="I43" s="1198">
        <f>H43*B43</f>
        <v>0</v>
      </c>
      <c r="J43" s="901">
        <f>F43*0.0313+I30/12</f>
        <v>347.59704800000009</v>
      </c>
      <c r="K43" s="1198">
        <f>J43*B43</f>
        <v>0</v>
      </c>
      <c r="L43" s="417">
        <f>F43*0.0256+I30/12</f>
        <v>304.32857600000006</v>
      </c>
      <c r="M43" s="1050">
        <f>L43*B43</f>
        <v>0</v>
      </c>
      <c r="N43" s="417">
        <f>F43*0.0213+I30/12</f>
        <v>271.68744800000002</v>
      </c>
      <c r="O43" s="1050">
        <f>N43*B43</f>
        <v>0</v>
      </c>
    </row>
    <row r="44" spans="1:15" s="413" customFormat="1" ht="13.5" thickBot="1">
      <c r="A44" s="1125"/>
      <c r="B44" s="1182"/>
      <c r="C44" s="425" t="s">
        <v>179</v>
      </c>
      <c r="D44" s="922" t="s">
        <v>104</v>
      </c>
      <c r="E44" s="906">
        <v>259</v>
      </c>
      <c r="F44" s="913" t="s">
        <v>162</v>
      </c>
      <c r="G44" s="1202"/>
      <c r="H44" s="913" t="s">
        <v>162</v>
      </c>
      <c r="I44" s="1202"/>
      <c r="J44" s="913" t="s">
        <v>162</v>
      </c>
      <c r="K44" s="1202"/>
      <c r="L44" s="53" t="s">
        <v>162</v>
      </c>
      <c r="M44" s="1118"/>
      <c r="N44" s="53" t="s">
        <v>162</v>
      </c>
      <c r="O44" s="1118"/>
    </row>
    <row r="45" spans="1:15" s="413" customFormat="1" ht="13.5" thickBot="1">
      <c r="A45" s="908"/>
      <c r="B45" s="765"/>
      <c r="C45" s="765"/>
      <c r="D45" s="757"/>
      <c r="E45" s="784"/>
      <c r="F45" s="909"/>
      <c r="G45" s="758"/>
      <c r="H45" s="914"/>
      <c r="I45" s="758"/>
      <c r="J45" s="914"/>
      <c r="K45" s="759"/>
      <c r="L45" s="57"/>
      <c r="M45" s="55"/>
      <c r="N45" s="57"/>
      <c r="O45" s="56"/>
    </row>
    <row r="46" spans="1:15" s="418" customFormat="1" ht="15.75" thickBot="1">
      <c r="A46" s="1119" t="s">
        <v>142</v>
      </c>
      <c r="B46" s="1197"/>
      <c r="C46" s="897" t="s">
        <v>4249</v>
      </c>
      <c r="D46" s="898" t="s">
        <v>4248</v>
      </c>
      <c r="E46" s="899">
        <v>41913</v>
      </c>
      <c r="F46" s="900">
        <f>SUM(E46:E47)*(1-82%)</f>
        <v>7590.9600000000019</v>
      </c>
      <c r="G46" s="1198">
        <f>F46*B46</f>
        <v>0</v>
      </c>
      <c r="H46" s="901">
        <f>F46*0.0832+N30/12</f>
        <v>791.56787200000008</v>
      </c>
      <c r="I46" s="1198">
        <f>H46*B46</f>
        <v>0</v>
      </c>
      <c r="J46" s="901">
        <f>F46*0.0313+N30/12</f>
        <v>397.59704800000009</v>
      </c>
      <c r="K46" s="1198">
        <f>J46*B46</f>
        <v>0</v>
      </c>
      <c r="L46" s="417">
        <f>F46*0.0256+N30/12</f>
        <v>354.32857600000006</v>
      </c>
      <c r="M46" s="1050">
        <f>L46*B46</f>
        <v>0</v>
      </c>
      <c r="N46" s="417">
        <f>F46*0.0213+N30/12</f>
        <v>321.68744800000002</v>
      </c>
      <c r="O46" s="1050">
        <f>N46*B46</f>
        <v>0</v>
      </c>
    </row>
    <row r="47" spans="1:15" s="413" customFormat="1" ht="13.5" thickBot="1">
      <c r="A47" s="1125"/>
      <c r="B47" s="1182"/>
      <c r="C47" s="425" t="s">
        <v>179</v>
      </c>
      <c r="D47" s="922" t="s">
        <v>104</v>
      </c>
      <c r="E47" s="906">
        <v>259</v>
      </c>
      <c r="F47" s="913" t="s">
        <v>162</v>
      </c>
      <c r="G47" s="1202"/>
      <c r="H47" s="913" t="s">
        <v>162</v>
      </c>
      <c r="I47" s="1202"/>
      <c r="J47" s="913" t="s">
        <v>162</v>
      </c>
      <c r="K47" s="1202"/>
      <c r="L47" s="828" t="s">
        <v>162</v>
      </c>
      <c r="M47" s="1117"/>
      <c r="N47" s="828" t="s">
        <v>162</v>
      </c>
      <c r="O47" s="1117"/>
    </row>
    <row r="48" spans="1:15" s="729" customFormat="1" ht="13.5" customHeight="1" thickBot="1">
      <c r="A48" s="1221" t="s">
        <v>182</v>
      </c>
      <c r="B48" s="1044"/>
      <c r="C48" s="1044"/>
      <c r="D48" s="1044"/>
      <c r="E48" s="1044"/>
      <c r="F48" s="1055"/>
      <c r="G48" s="1055"/>
      <c r="H48" s="1055"/>
      <c r="I48" s="1055"/>
      <c r="J48" s="1055"/>
      <c r="K48" s="1055"/>
      <c r="L48" s="1055"/>
      <c r="M48" s="1055"/>
      <c r="N48" s="1055"/>
      <c r="O48" s="1056"/>
    </row>
    <row r="49" spans="1:17" s="413" customFormat="1" ht="13.5" thickBot="1">
      <c r="A49" s="1181"/>
      <c r="B49" s="915"/>
      <c r="C49" s="339" t="s">
        <v>209</v>
      </c>
      <c r="D49" s="340" t="s">
        <v>66</v>
      </c>
      <c r="E49" s="925">
        <v>1042</v>
      </c>
      <c r="F49" s="814">
        <f t="shared" ref="F49:F90" si="0">E49*(1-40%)</f>
        <v>625.19999999999993</v>
      </c>
      <c r="G49" s="527">
        <f t="shared" ref="G49:G90" si="1">F49*B49</f>
        <v>0</v>
      </c>
      <c r="H49" s="527">
        <f t="shared" ref="H49:H90" si="2">F49*0.0832</f>
        <v>52.016639999999995</v>
      </c>
      <c r="I49" s="527">
        <f t="shared" ref="I49:I90" si="3">H49*B49</f>
        <v>0</v>
      </c>
      <c r="J49" s="527">
        <f t="shared" ref="J49:J90" si="4">F49*0.0313</f>
        <v>19.568759999999997</v>
      </c>
      <c r="K49" s="527">
        <f t="shared" ref="K49:K90" si="5">J49*B49</f>
        <v>0</v>
      </c>
      <c r="L49" s="527">
        <f t="shared" ref="L49:L90" si="6">F49*0.0256</f>
        <v>16.005119999999998</v>
      </c>
      <c r="M49" s="527">
        <f t="shared" ref="M49:M90" si="7">L49*B49</f>
        <v>0</v>
      </c>
      <c r="N49" s="527">
        <f t="shared" ref="N49:N90" si="8">F49*0.0213</f>
        <v>13.316759999999999</v>
      </c>
      <c r="O49" s="926">
        <f t="shared" ref="O49:O90" si="9">N49*B49</f>
        <v>0</v>
      </c>
      <c r="P49" s="788"/>
      <c r="Q49" s="927"/>
    </row>
    <row r="50" spans="1:17" s="413" customFormat="1" ht="13.5" thickBot="1">
      <c r="A50" s="1182"/>
      <c r="B50" s="916"/>
      <c r="C50" s="339" t="s">
        <v>486</v>
      </c>
      <c r="D50" s="340" t="s">
        <v>4250</v>
      </c>
      <c r="E50" s="925">
        <v>129.99</v>
      </c>
      <c r="F50" s="814">
        <f t="shared" si="0"/>
        <v>77.994</v>
      </c>
      <c r="G50" s="527">
        <f t="shared" si="1"/>
        <v>0</v>
      </c>
      <c r="H50" s="527">
        <f t="shared" si="2"/>
        <v>6.4891008000000001</v>
      </c>
      <c r="I50" s="527">
        <f t="shared" si="3"/>
        <v>0</v>
      </c>
      <c r="J50" s="527">
        <f t="shared" si="4"/>
        <v>2.4412122000000003</v>
      </c>
      <c r="K50" s="527">
        <f t="shared" si="5"/>
        <v>0</v>
      </c>
      <c r="L50" s="527">
        <f t="shared" si="6"/>
        <v>1.9966464000000002</v>
      </c>
      <c r="M50" s="527">
        <f t="shared" si="7"/>
        <v>0</v>
      </c>
      <c r="N50" s="527">
        <f t="shared" si="8"/>
        <v>1.6612722</v>
      </c>
      <c r="O50" s="926">
        <f t="shared" si="9"/>
        <v>0</v>
      </c>
      <c r="P50" s="788"/>
      <c r="Q50" s="927"/>
    </row>
    <row r="51" spans="1:17" s="413" customFormat="1" ht="26.25" thickBot="1">
      <c r="A51" s="1182"/>
      <c r="B51" s="916"/>
      <c r="C51" s="339" t="s">
        <v>3491</v>
      </c>
      <c r="D51" s="340" t="s">
        <v>4251</v>
      </c>
      <c r="E51" s="925">
        <v>399</v>
      </c>
      <c r="F51" s="814">
        <f t="shared" si="0"/>
        <v>239.39999999999998</v>
      </c>
      <c r="G51" s="527">
        <f t="shared" si="1"/>
        <v>0</v>
      </c>
      <c r="H51" s="527">
        <f>F51*0.0832</f>
        <v>19.918079999999996</v>
      </c>
      <c r="I51" s="527">
        <f t="shared" si="3"/>
        <v>0</v>
      </c>
      <c r="J51" s="527">
        <f t="shared" si="4"/>
        <v>7.49322</v>
      </c>
      <c r="K51" s="527">
        <f t="shared" si="5"/>
        <v>0</v>
      </c>
      <c r="L51" s="527">
        <f t="shared" si="6"/>
        <v>6.1286399999999999</v>
      </c>
      <c r="M51" s="527">
        <f t="shared" si="7"/>
        <v>0</v>
      </c>
      <c r="N51" s="527">
        <f t="shared" si="8"/>
        <v>5.099219999999999</v>
      </c>
      <c r="O51" s="926">
        <f t="shared" si="9"/>
        <v>0</v>
      </c>
      <c r="P51" s="788"/>
      <c r="Q51" s="927"/>
    </row>
    <row r="52" spans="1:17" s="413" customFormat="1" ht="13.5" thickBot="1">
      <c r="A52" s="1182"/>
      <c r="B52" s="916"/>
      <c r="C52" s="339" t="s">
        <v>4067</v>
      </c>
      <c r="D52" s="340" t="s">
        <v>4254</v>
      </c>
      <c r="E52" s="925">
        <v>329</v>
      </c>
      <c r="F52" s="693">
        <f t="shared" si="0"/>
        <v>197.4</v>
      </c>
      <c r="G52" s="786">
        <f t="shared" si="1"/>
        <v>0</v>
      </c>
      <c r="H52" s="786">
        <f t="shared" si="2"/>
        <v>16.423680000000001</v>
      </c>
      <c r="I52" s="786">
        <f t="shared" si="3"/>
        <v>0</v>
      </c>
      <c r="J52" s="786">
        <f t="shared" si="4"/>
        <v>6.1786200000000004</v>
      </c>
      <c r="K52" s="786">
        <f t="shared" si="5"/>
        <v>0</v>
      </c>
      <c r="L52" s="786">
        <f t="shared" si="6"/>
        <v>5.0534400000000002</v>
      </c>
      <c r="M52" s="786">
        <f t="shared" si="7"/>
        <v>0</v>
      </c>
      <c r="N52" s="786">
        <f t="shared" si="8"/>
        <v>4.2046200000000002</v>
      </c>
      <c r="O52" s="928">
        <f t="shared" si="9"/>
        <v>0</v>
      </c>
      <c r="P52" s="788"/>
      <c r="Q52" s="927"/>
    </row>
    <row r="53" spans="1:17" s="413" customFormat="1" ht="26.25" thickBot="1">
      <c r="A53" s="1182"/>
      <c r="B53" s="916"/>
      <c r="C53" s="339" t="s">
        <v>473</v>
      </c>
      <c r="D53" s="340" t="s">
        <v>479</v>
      </c>
      <c r="E53" s="925">
        <v>220</v>
      </c>
      <c r="F53" s="693">
        <f t="shared" si="0"/>
        <v>132</v>
      </c>
      <c r="G53" s="786">
        <f t="shared" si="1"/>
        <v>0</v>
      </c>
      <c r="H53" s="786">
        <f t="shared" si="2"/>
        <v>10.9824</v>
      </c>
      <c r="I53" s="786">
        <f t="shared" si="3"/>
        <v>0</v>
      </c>
      <c r="J53" s="786">
        <f t="shared" si="4"/>
        <v>4.1316000000000006</v>
      </c>
      <c r="K53" s="786">
        <f t="shared" si="5"/>
        <v>0</v>
      </c>
      <c r="L53" s="786">
        <f t="shared" si="6"/>
        <v>3.3792</v>
      </c>
      <c r="M53" s="786">
        <f t="shared" si="7"/>
        <v>0</v>
      </c>
      <c r="N53" s="786">
        <f t="shared" si="8"/>
        <v>2.8115999999999999</v>
      </c>
      <c r="O53" s="928">
        <f t="shared" si="9"/>
        <v>0</v>
      </c>
      <c r="P53" s="788"/>
      <c r="Q53" s="927"/>
    </row>
    <row r="54" spans="1:17" s="413" customFormat="1" ht="26.25" thickBot="1">
      <c r="A54" s="1182"/>
      <c r="B54" s="916"/>
      <c r="C54" s="339" t="s">
        <v>4266</v>
      </c>
      <c r="D54" s="340" t="s">
        <v>4255</v>
      </c>
      <c r="E54" s="925">
        <v>307</v>
      </c>
      <c r="F54" s="693">
        <f t="shared" si="0"/>
        <v>184.2</v>
      </c>
      <c r="G54" s="786">
        <f t="shared" si="1"/>
        <v>0</v>
      </c>
      <c r="H54" s="786">
        <f t="shared" si="2"/>
        <v>15.325439999999999</v>
      </c>
      <c r="I54" s="786">
        <f t="shared" si="3"/>
        <v>0</v>
      </c>
      <c r="J54" s="786">
        <f t="shared" si="4"/>
        <v>5.76546</v>
      </c>
      <c r="K54" s="786">
        <f t="shared" si="5"/>
        <v>0</v>
      </c>
      <c r="L54" s="786">
        <f t="shared" si="6"/>
        <v>4.7155199999999997</v>
      </c>
      <c r="M54" s="786">
        <f t="shared" si="7"/>
        <v>0</v>
      </c>
      <c r="N54" s="786">
        <f t="shared" si="8"/>
        <v>3.9234599999999995</v>
      </c>
      <c r="O54" s="928">
        <f t="shared" si="9"/>
        <v>0</v>
      </c>
      <c r="P54" s="788"/>
      <c r="Q54" s="927"/>
    </row>
    <row r="55" spans="1:17" s="413" customFormat="1" ht="13.5" thickBot="1">
      <c r="A55" s="1182"/>
      <c r="B55" s="916"/>
      <c r="C55" s="339" t="s">
        <v>3489</v>
      </c>
      <c r="D55" s="340" t="s">
        <v>3512</v>
      </c>
      <c r="E55" s="925">
        <v>934</v>
      </c>
      <c r="F55" s="693">
        <f t="shared" si="0"/>
        <v>560.4</v>
      </c>
      <c r="G55" s="786">
        <f t="shared" si="1"/>
        <v>0</v>
      </c>
      <c r="H55" s="786">
        <f t="shared" si="2"/>
        <v>46.625279999999997</v>
      </c>
      <c r="I55" s="786">
        <f t="shared" si="3"/>
        <v>0</v>
      </c>
      <c r="J55" s="786">
        <f t="shared" si="4"/>
        <v>17.540520000000001</v>
      </c>
      <c r="K55" s="786">
        <f t="shared" si="5"/>
        <v>0</v>
      </c>
      <c r="L55" s="786">
        <f t="shared" si="6"/>
        <v>14.34624</v>
      </c>
      <c r="M55" s="786">
        <f t="shared" si="7"/>
        <v>0</v>
      </c>
      <c r="N55" s="786">
        <f t="shared" si="8"/>
        <v>11.93652</v>
      </c>
      <c r="O55" s="928">
        <f t="shared" si="9"/>
        <v>0</v>
      </c>
      <c r="P55" s="788"/>
      <c r="Q55" s="927"/>
    </row>
    <row r="56" spans="1:17" s="413" customFormat="1" ht="13.5" thickBot="1">
      <c r="A56" s="1182"/>
      <c r="B56" s="916"/>
      <c r="C56" s="339" t="s">
        <v>3490</v>
      </c>
      <c r="D56" s="340" t="s">
        <v>723</v>
      </c>
      <c r="E56" s="925">
        <v>222.6</v>
      </c>
      <c r="F56" s="693">
        <f t="shared" si="0"/>
        <v>133.56</v>
      </c>
      <c r="G56" s="786">
        <f t="shared" si="1"/>
        <v>0</v>
      </c>
      <c r="H56" s="786">
        <f t="shared" si="2"/>
        <v>11.112192</v>
      </c>
      <c r="I56" s="786">
        <f t="shared" si="3"/>
        <v>0</v>
      </c>
      <c r="J56" s="786">
        <f t="shared" si="4"/>
        <v>4.180428</v>
      </c>
      <c r="K56" s="786">
        <f t="shared" si="5"/>
        <v>0</v>
      </c>
      <c r="L56" s="786">
        <f t="shared" si="6"/>
        <v>3.4191360000000004</v>
      </c>
      <c r="M56" s="786">
        <f t="shared" si="7"/>
        <v>0</v>
      </c>
      <c r="N56" s="786">
        <f t="shared" si="8"/>
        <v>2.8448280000000001</v>
      </c>
      <c r="O56" s="928">
        <f t="shared" si="9"/>
        <v>0</v>
      </c>
      <c r="P56" s="788"/>
      <c r="Q56" s="927"/>
    </row>
    <row r="57" spans="1:17" s="413" customFormat="1" ht="26.25" thickBot="1">
      <c r="A57" s="1182"/>
      <c r="B57" s="916"/>
      <c r="C57" s="339" t="s">
        <v>455</v>
      </c>
      <c r="D57" s="340" t="s">
        <v>3506</v>
      </c>
      <c r="E57" s="925">
        <v>1176</v>
      </c>
      <c r="F57" s="693">
        <f t="shared" si="0"/>
        <v>705.6</v>
      </c>
      <c r="G57" s="786">
        <f t="shared" si="1"/>
        <v>0</v>
      </c>
      <c r="H57" s="786">
        <f t="shared" si="2"/>
        <v>58.705919999999999</v>
      </c>
      <c r="I57" s="786">
        <f t="shared" si="3"/>
        <v>0</v>
      </c>
      <c r="J57" s="786">
        <f t="shared" si="4"/>
        <v>22.085280000000001</v>
      </c>
      <c r="K57" s="786">
        <f t="shared" si="5"/>
        <v>0</v>
      </c>
      <c r="L57" s="786">
        <f t="shared" si="6"/>
        <v>18.063360000000003</v>
      </c>
      <c r="M57" s="786">
        <f t="shared" si="7"/>
        <v>0</v>
      </c>
      <c r="N57" s="786">
        <f t="shared" si="8"/>
        <v>15.02928</v>
      </c>
      <c r="O57" s="928">
        <f t="shared" si="9"/>
        <v>0</v>
      </c>
      <c r="P57" s="788"/>
      <c r="Q57" s="927"/>
    </row>
    <row r="58" spans="1:17" s="413" customFormat="1" ht="13.5" thickBot="1">
      <c r="A58" s="1182"/>
      <c r="B58" s="916"/>
      <c r="C58" s="339" t="s">
        <v>475</v>
      </c>
      <c r="D58" s="340" t="s">
        <v>4256</v>
      </c>
      <c r="E58" s="925">
        <v>1177</v>
      </c>
      <c r="F58" s="693">
        <f t="shared" si="0"/>
        <v>706.19999999999993</v>
      </c>
      <c r="G58" s="786">
        <f t="shared" si="1"/>
        <v>0</v>
      </c>
      <c r="H58" s="786">
        <f t="shared" si="2"/>
        <v>58.755839999999992</v>
      </c>
      <c r="I58" s="786">
        <f t="shared" si="3"/>
        <v>0</v>
      </c>
      <c r="J58" s="786">
        <f t="shared" si="4"/>
        <v>22.10406</v>
      </c>
      <c r="K58" s="786">
        <f t="shared" si="5"/>
        <v>0</v>
      </c>
      <c r="L58" s="786">
        <f t="shared" si="6"/>
        <v>18.078720000000001</v>
      </c>
      <c r="M58" s="786">
        <f t="shared" si="7"/>
        <v>0</v>
      </c>
      <c r="N58" s="786">
        <f t="shared" si="8"/>
        <v>15.042059999999998</v>
      </c>
      <c r="O58" s="928">
        <f t="shared" si="9"/>
        <v>0</v>
      </c>
      <c r="P58" s="788"/>
      <c r="Q58" s="927"/>
    </row>
    <row r="59" spans="1:17" s="413" customFormat="1" ht="26.25" thickBot="1">
      <c r="A59" s="1182"/>
      <c r="B59" s="916"/>
      <c r="C59" s="339" t="s">
        <v>3782</v>
      </c>
      <c r="D59" s="340" t="s">
        <v>4257</v>
      </c>
      <c r="E59" s="925">
        <f>1925+325</f>
        <v>2250</v>
      </c>
      <c r="F59" s="693">
        <f t="shared" si="0"/>
        <v>1350</v>
      </c>
      <c r="G59" s="786">
        <f t="shared" si="1"/>
        <v>0</v>
      </c>
      <c r="H59" s="786">
        <f t="shared" si="2"/>
        <v>112.32</v>
      </c>
      <c r="I59" s="786">
        <f t="shared" si="3"/>
        <v>0</v>
      </c>
      <c r="J59" s="786">
        <f t="shared" si="4"/>
        <v>42.255000000000003</v>
      </c>
      <c r="K59" s="786">
        <f t="shared" si="5"/>
        <v>0</v>
      </c>
      <c r="L59" s="786">
        <f t="shared" si="6"/>
        <v>34.56</v>
      </c>
      <c r="M59" s="786">
        <f t="shared" si="7"/>
        <v>0</v>
      </c>
      <c r="N59" s="786">
        <f t="shared" si="8"/>
        <v>28.754999999999999</v>
      </c>
      <c r="O59" s="928">
        <f t="shared" si="9"/>
        <v>0</v>
      </c>
      <c r="P59" s="788"/>
      <c r="Q59" s="927"/>
    </row>
    <row r="60" spans="1:17" s="413" customFormat="1" ht="26.25" thickBot="1">
      <c r="A60" s="1182"/>
      <c r="B60" s="916"/>
      <c r="C60" s="339" t="s">
        <v>3783</v>
      </c>
      <c r="D60" s="340" t="s">
        <v>4258</v>
      </c>
      <c r="E60" s="925">
        <f>3515+325</f>
        <v>3840</v>
      </c>
      <c r="F60" s="693">
        <f t="shared" si="0"/>
        <v>2304</v>
      </c>
      <c r="G60" s="786">
        <f t="shared" si="1"/>
        <v>0</v>
      </c>
      <c r="H60" s="786">
        <f t="shared" si="2"/>
        <v>191.69279999999998</v>
      </c>
      <c r="I60" s="786">
        <f t="shared" si="3"/>
        <v>0</v>
      </c>
      <c r="J60" s="786">
        <f t="shared" si="4"/>
        <v>72.115200000000002</v>
      </c>
      <c r="K60" s="786">
        <f t="shared" si="5"/>
        <v>0</v>
      </c>
      <c r="L60" s="786">
        <f t="shared" si="6"/>
        <v>58.982400000000005</v>
      </c>
      <c r="M60" s="786">
        <f t="shared" si="7"/>
        <v>0</v>
      </c>
      <c r="N60" s="786">
        <f t="shared" si="8"/>
        <v>49.075199999999995</v>
      </c>
      <c r="O60" s="928">
        <f t="shared" si="9"/>
        <v>0</v>
      </c>
      <c r="P60" s="788"/>
      <c r="Q60" s="927"/>
    </row>
    <row r="61" spans="1:17" s="413" customFormat="1" ht="26.25" thickBot="1">
      <c r="A61" s="1182"/>
      <c r="B61" s="916"/>
      <c r="C61" s="339" t="s">
        <v>4267</v>
      </c>
      <c r="D61" s="340" t="s">
        <v>4259</v>
      </c>
      <c r="E61" s="925">
        <f>3432+325</f>
        <v>3757</v>
      </c>
      <c r="F61" s="693">
        <f t="shared" si="0"/>
        <v>2254.1999999999998</v>
      </c>
      <c r="G61" s="786">
        <f t="shared" si="1"/>
        <v>0</v>
      </c>
      <c r="H61" s="786">
        <f t="shared" si="2"/>
        <v>187.54943999999998</v>
      </c>
      <c r="I61" s="786">
        <f t="shared" si="3"/>
        <v>0</v>
      </c>
      <c r="J61" s="786">
        <f t="shared" si="4"/>
        <v>70.556460000000001</v>
      </c>
      <c r="K61" s="786">
        <f t="shared" si="5"/>
        <v>0</v>
      </c>
      <c r="L61" s="786">
        <f t="shared" si="6"/>
        <v>57.707519999999995</v>
      </c>
      <c r="M61" s="786">
        <f t="shared" si="7"/>
        <v>0</v>
      </c>
      <c r="N61" s="786">
        <f t="shared" si="8"/>
        <v>48.014459999999993</v>
      </c>
      <c r="O61" s="928">
        <f t="shared" si="9"/>
        <v>0</v>
      </c>
      <c r="P61" s="788"/>
      <c r="Q61" s="927"/>
    </row>
    <row r="62" spans="1:17" s="413" customFormat="1" ht="26.25" thickBot="1">
      <c r="A62" s="1182"/>
      <c r="B62" s="916"/>
      <c r="C62" s="339" t="s">
        <v>4268</v>
      </c>
      <c r="D62" s="340" t="s">
        <v>4260</v>
      </c>
      <c r="E62" s="925">
        <f>5060+325</f>
        <v>5385</v>
      </c>
      <c r="F62" s="693">
        <f t="shared" si="0"/>
        <v>3231</v>
      </c>
      <c r="G62" s="786">
        <f t="shared" si="1"/>
        <v>0</v>
      </c>
      <c r="H62" s="786">
        <f t="shared" si="2"/>
        <v>268.81919999999997</v>
      </c>
      <c r="I62" s="786">
        <f t="shared" si="3"/>
        <v>0</v>
      </c>
      <c r="J62" s="786">
        <f t="shared" si="4"/>
        <v>101.13030000000001</v>
      </c>
      <c r="K62" s="786">
        <f t="shared" si="5"/>
        <v>0</v>
      </c>
      <c r="L62" s="786">
        <f t="shared" si="6"/>
        <v>82.7136</v>
      </c>
      <c r="M62" s="786">
        <f t="shared" si="7"/>
        <v>0</v>
      </c>
      <c r="N62" s="786">
        <f t="shared" si="8"/>
        <v>68.820300000000003</v>
      </c>
      <c r="O62" s="928">
        <f t="shared" si="9"/>
        <v>0</v>
      </c>
      <c r="P62" s="788"/>
      <c r="Q62" s="927"/>
    </row>
    <row r="63" spans="1:17" s="413" customFormat="1" ht="13.5" thickBot="1">
      <c r="A63" s="1182"/>
      <c r="B63" s="916"/>
      <c r="C63" s="339" t="s">
        <v>476</v>
      </c>
      <c r="D63" s="340" t="s">
        <v>3514</v>
      </c>
      <c r="E63" s="925">
        <v>550</v>
      </c>
      <c r="F63" s="693">
        <f t="shared" si="0"/>
        <v>330</v>
      </c>
      <c r="G63" s="786">
        <f t="shared" si="1"/>
        <v>0</v>
      </c>
      <c r="H63" s="786">
        <f t="shared" si="2"/>
        <v>27.456</v>
      </c>
      <c r="I63" s="786">
        <f t="shared" si="3"/>
        <v>0</v>
      </c>
      <c r="J63" s="786">
        <f t="shared" si="4"/>
        <v>10.329000000000001</v>
      </c>
      <c r="K63" s="786">
        <f t="shared" si="5"/>
        <v>0</v>
      </c>
      <c r="L63" s="786">
        <f t="shared" si="6"/>
        <v>8.4480000000000004</v>
      </c>
      <c r="M63" s="786">
        <f t="shared" si="7"/>
        <v>0</v>
      </c>
      <c r="N63" s="786">
        <f t="shared" si="8"/>
        <v>7.0289999999999999</v>
      </c>
      <c r="O63" s="928">
        <f t="shared" si="9"/>
        <v>0</v>
      </c>
      <c r="P63" s="788"/>
      <c r="Q63" s="927"/>
    </row>
    <row r="64" spans="1:17" s="413" customFormat="1" ht="13.5" thickBot="1">
      <c r="A64" s="1182"/>
      <c r="B64" s="916"/>
      <c r="C64" s="339" t="s">
        <v>4269</v>
      </c>
      <c r="D64" s="340" t="s">
        <v>4261</v>
      </c>
      <c r="E64" s="925">
        <v>95</v>
      </c>
      <c r="F64" s="693">
        <f t="shared" si="0"/>
        <v>57</v>
      </c>
      <c r="G64" s="786">
        <f t="shared" si="1"/>
        <v>0</v>
      </c>
      <c r="H64" s="786">
        <f t="shared" si="2"/>
        <v>4.7423999999999999</v>
      </c>
      <c r="I64" s="786">
        <f t="shared" si="3"/>
        <v>0</v>
      </c>
      <c r="J64" s="786">
        <f t="shared" si="4"/>
        <v>1.7841</v>
      </c>
      <c r="K64" s="786">
        <f t="shared" si="5"/>
        <v>0</v>
      </c>
      <c r="L64" s="786">
        <f t="shared" si="6"/>
        <v>1.4592000000000001</v>
      </c>
      <c r="M64" s="786">
        <f t="shared" si="7"/>
        <v>0</v>
      </c>
      <c r="N64" s="786">
        <f t="shared" si="8"/>
        <v>1.2141</v>
      </c>
      <c r="O64" s="928">
        <f t="shared" si="9"/>
        <v>0</v>
      </c>
      <c r="P64" s="788"/>
      <c r="Q64" s="927"/>
    </row>
    <row r="65" spans="1:17" s="413" customFormat="1" ht="13.5" thickBot="1">
      <c r="A65" s="1182"/>
      <c r="B65" s="916"/>
      <c r="C65" s="339" t="s">
        <v>692</v>
      </c>
      <c r="D65" s="340" t="s">
        <v>3510</v>
      </c>
      <c r="E65" s="925">
        <v>136</v>
      </c>
      <c r="F65" s="693">
        <f t="shared" si="0"/>
        <v>81.599999999999994</v>
      </c>
      <c r="G65" s="786">
        <f t="shared" si="1"/>
        <v>0</v>
      </c>
      <c r="H65" s="786">
        <f t="shared" si="2"/>
        <v>6.7891199999999996</v>
      </c>
      <c r="I65" s="786">
        <f t="shared" si="3"/>
        <v>0</v>
      </c>
      <c r="J65" s="786">
        <f t="shared" si="4"/>
        <v>2.5540799999999999</v>
      </c>
      <c r="K65" s="786">
        <f t="shared" si="5"/>
        <v>0</v>
      </c>
      <c r="L65" s="786">
        <f t="shared" si="6"/>
        <v>2.0889600000000002</v>
      </c>
      <c r="M65" s="786">
        <f t="shared" si="7"/>
        <v>0</v>
      </c>
      <c r="N65" s="786">
        <f t="shared" si="8"/>
        <v>1.7380799999999998</v>
      </c>
      <c r="O65" s="928">
        <f t="shared" si="9"/>
        <v>0</v>
      </c>
      <c r="P65" s="788"/>
      <c r="Q65" s="927"/>
    </row>
    <row r="66" spans="1:17" s="413" customFormat="1" ht="13.5" thickBot="1">
      <c r="A66" s="1182"/>
      <c r="B66" s="916"/>
      <c r="C66" s="339" t="s">
        <v>693</v>
      </c>
      <c r="D66" s="340" t="s">
        <v>674</v>
      </c>
      <c r="E66" s="925">
        <v>139</v>
      </c>
      <c r="F66" s="693">
        <f t="shared" si="0"/>
        <v>83.399999999999991</v>
      </c>
      <c r="G66" s="786">
        <f t="shared" si="1"/>
        <v>0</v>
      </c>
      <c r="H66" s="786">
        <f t="shared" si="2"/>
        <v>6.9388799999999993</v>
      </c>
      <c r="I66" s="786">
        <f t="shared" si="3"/>
        <v>0</v>
      </c>
      <c r="J66" s="786">
        <f t="shared" si="4"/>
        <v>2.61042</v>
      </c>
      <c r="K66" s="786">
        <f t="shared" si="5"/>
        <v>0</v>
      </c>
      <c r="L66" s="786">
        <f t="shared" si="6"/>
        <v>2.13504</v>
      </c>
      <c r="M66" s="786">
        <f t="shared" si="7"/>
        <v>0</v>
      </c>
      <c r="N66" s="786">
        <f t="shared" si="8"/>
        <v>1.7764199999999997</v>
      </c>
      <c r="O66" s="928">
        <f t="shared" si="9"/>
        <v>0</v>
      </c>
      <c r="P66" s="788"/>
      <c r="Q66" s="927"/>
    </row>
    <row r="67" spans="1:17" s="413" customFormat="1" ht="26.25" thickBot="1">
      <c r="A67" s="1182"/>
      <c r="B67" s="916"/>
      <c r="C67" s="339" t="s">
        <v>439</v>
      </c>
      <c r="D67" s="340" t="s">
        <v>595</v>
      </c>
      <c r="E67" s="925">
        <v>785</v>
      </c>
      <c r="F67" s="693">
        <f t="shared" si="0"/>
        <v>471</v>
      </c>
      <c r="G67" s="786">
        <f t="shared" si="1"/>
        <v>0</v>
      </c>
      <c r="H67" s="786">
        <f t="shared" si="2"/>
        <v>39.187199999999997</v>
      </c>
      <c r="I67" s="786">
        <f t="shared" si="3"/>
        <v>0</v>
      </c>
      <c r="J67" s="786">
        <f t="shared" si="4"/>
        <v>14.7423</v>
      </c>
      <c r="K67" s="786">
        <f t="shared" si="5"/>
        <v>0</v>
      </c>
      <c r="L67" s="786">
        <f t="shared" si="6"/>
        <v>12.057600000000001</v>
      </c>
      <c r="M67" s="786">
        <f t="shared" si="7"/>
        <v>0</v>
      </c>
      <c r="N67" s="786">
        <f t="shared" si="8"/>
        <v>10.032299999999999</v>
      </c>
      <c r="O67" s="928">
        <f t="shared" si="9"/>
        <v>0</v>
      </c>
      <c r="P67" s="788"/>
      <c r="Q67" s="927"/>
    </row>
    <row r="68" spans="1:17" s="413" customFormat="1" ht="13.5" thickBot="1">
      <c r="A68" s="1182"/>
      <c r="B68" s="916"/>
      <c r="C68" s="339" t="s">
        <v>441</v>
      </c>
      <c r="D68" s="340" t="s">
        <v>596</v>
      </c>
      <c r="E68" s="925">
        <v>821</v>
      </c>
      <c r="F68" s="693">
        <f t="shared" si="0"/>
        <v>492.59999999999997</v>
      </c>
      <c r="G68" s="786">
        <f t="shared" si="1"/>
        <v>0</v>
      </c>
      <c r="H68" s="786">
        <f t="shared" si="2"/>
        <v>40.984319999999997</v>
      </c>
      <c r="I68" s="786">
        <f t="shared" si="3"/>
        <v>0</v>
      </c>
      <c r="J68" s="786">
        <f t="shared" si="4"/>
        <v>15.418379999999999</v>
      </c>
      <c r="K68" s="786">
        <f t="shared" si="5"/>
        <v>0</v>
      </c>
      <c r="L68" s="786">
        <f t="shared" si="6"/>
        <v>12.61056</v>
      </c>
      <c r="M68" s="786">
        <f t="shared" si="7"/>
        <v>0</v>
      </c>
      <c r="N68" s="786">
        <f t="shared" si="8"/>
        <v>10.492379999999999</v>
      </c>
      <c r="O68" s="928">
        <f t="shared" si="9"/>
        <v>0</v>
      </c>
      <c r="P68" s="788"/>
      <c r="Q68" s="927"/>
    </row>
    <row r="69" spans="1:17" s="413" customFormat="1" ht="13.5" thickBot="1">
      <c r="A69" s="1182"/>
      <c r="B69" s="916"/>
      <c r="C69" s="339" t="s">
        <v>442</v>
      </c>
      <c r="D69" s="340" t="s">
        <v>597</v>
      </c>
      <c r="E69" s="925">
        <v>690</v>
      </c>
      <c r="F69" s="693">
        <f t="shared" si="0"/>
        <v>414</v>
      </c>
      <c r="G69" s="786">
        <f t="shared" si="1"/>
        <v>0</v>
      </c>
      <c r="H69" s="786">
        <f t="shared" si="2"/>
        <v>34.444800000000001</v>
      </c>
      <c r="I69" s="786">
        <f t="shared" si="3"/>
        <v>0</v>
      </c>
      <c r="J69" s="786">
        <f t="shared" si="4"/>
        <v>12.9582</v>
      </c>
      <c r="K69" s="786">
        <f t="shared" si="5"/>
        <v>0</v>
      </c>
      <c r="L69" s="786">
        <f t="shared" si="6"/>
        <v>10.5984</v>
      </c>
      <c r="M69" s="786">
        <f t="shared" si="7"/>
        <v>0</v>
      </c>
      <c r="N69" s="786">
        <f t="shared" si="8"/>
        <v>8.8181999999999992</v>
      </c>
      <c r="O69" s="928">
        <f t="shared" si="9"/>
        <v>0</v>
      </c>
      <c r="P69" s="788"/>
      <c r="Q69" s="927"/>
    </row>
    <row r="70" spans="1:17" s="413" customFormat="1" ht="13.5" thickBot="1">
      <c r="A70" s="1182"/>
      <c r="B70" s="916"/>
      <c r="C70" s="339" t="s">
        <v>443</v>
      </c>
      <c r="D70" s="340" t="s">
        <v>598</v>
      </c>
      <c r="E70" s="925">
        <v>191</v>
      </c>
      <c r="F70" s="693">
        <f t="shared" si="0"/>
        <v>114.6</v>
      </c>
      <c r="G70" s="786">
        <f t="shared" si="1"/>
        <v>0</v>
      </c>
      <c r="H70" s="786">
        <f t="shared" si="2"/>
        <v>9.5347199999999983</v>
      </c>
      <c r="I70" s="786">
        <f t="shared" si="3"/>
        <v>0</v>
      </c>
      <c r="J70" s="786">
        <f t="shared" si="4"/>
        <v>3.5869800000000001</v>
      </c>
      <c r="K70" s="786">
        <f t="shared" si="5"/>
        <v>0</v>
      </c>
      <c r="L70" s="786">
        <f t="shared" si="6"/>
        <v>2.9337599999999999</v>
      </c>
      <c r="M70" s="786">
        <f t="shared" si="7"/>
        <v>0</v>
      </c>
      <c r="N70" s="786">
        <f t="shared" si="8"/>
        <v>2.4409799999999997</v>
      </c>
      <c r="O70" s="928">
        <f t="shared" si="9"/>
        <v>0</v>
      </c>
      <c r="P70" s="788"/>
      <c r="Q70" s="927"/>
    </row>
    <row r="71" spans="1:17" s="413" customFormat="1" ht="26.25" thickBot="1">
      <c r="A71" s="1182"/>
      <c r="B71" s="916"/>
      <c r="C71" s="339" t="s">
        <v>444</v>
      </c>
      <c r="D71" s="340" t="s">
        <v>680</v>
      </c>
      <c r="E71" s="925">
        <v>667.8</v>
      </c>
      <c r="F71" s="693">
        <f t="shared" si="0"/>
        <v>400.67999999999995</v>
      </c>
      <c r="G71" s="786">
        <f t="shared" si="1"/>
        <v>0</v>
      </c>
      <c r="H71" s="786">
        <f t="shared" si="2"/>
        <v>33.336575999999994</v>
      </c>
      <c r="I71" s="786">
        <f t="shared" si="3"/>
        <v>0</v>
      </c>
      <c r="J71" s="786">
        <f t="shared" si="4"/>
        <v>12.541283999999999</v>
      </c>
      <c r="K71" s="786">
        <f t="shared" si="5"/>
        <v>0</v>
      </c>
      <c r="L71" s="786">
        <f t="shared" si="6"/>
        <v>10.257408</v>
      </c>
      <c r="M71" s="786">
        <f t="shared" si="7"/>
        <v>0</v>
      </c>
      <c r="N71" s="786">
        <f t="shared" si="8"/>
        <v>8.5344839999999991</v>
      </c>
      <c r="O71" s="928">
        <f t="shared" si="9"/>
        <v>0</v>
      </c>
      <c r="P71" s="788"/>
      <c r="Q71" s="927"/>
    </row>
    <row r="72" spans="1:17" s="413" customFormat="1" ht="26.25" thickBot="1">
      <c r="A72" s="1182"/>
      <c r="B72" s="916"/>
      <c r="C72" s="339" t="s">
        <v>445</v>
      </c>
      <c r="D72" s="340" t="s">
        <v>117</v>
      </c>
      <c r="E72" s="925">
        <v>250</v>
      </c>
      <c r="F72" s="693">
        <f t="shared" si="0"/>
        <v>150</v>
      </c>
      <c r="G72" s="786">
        <f t="shared" si="1"/>
        <v>0</v>
      </c>
      <c r="H72" s="786">
        <f t="shared" si="2"/>
        <v>12.479999999999999</v>
      </c>
      <c r="I72" s="786">
        <f t="shared" si="3"/>
        <v>0</v>
      </c>
      <c r="J72" s="786">
        <f t="shared" si="4"/>
        <v>4.6950000000000003</v>
      </c>
      <c r="K72" s="786">
        <f t="shared" si="5"/>
        <v>0</v>
      </c>
      <c r="L72" s="786">
        <f t="shared" si="6"/>
        <v>3.8400000000000003</v>
      </c>
      <c r="M72" s="786">
        <f t="shared" si="7"/>
        <v>0</v>
      </c>
      <c r="N72" s="786">
        <f t="shared" si="8"/>
        <v>3.1949999999999998</v>
      </c>
      <c r="O72" s="928">
        <f t="shared" si="9"/>
        <v>0</v>
      </c>
      <c r="P72" s="788"/>
      <c r="Q72" s="927"/>
    </row>
    <row r="73" spans="1:17" s="413" customFormat="1" ht="13.5" thickBot="1">
      <c r="A73" s="1182"/>
      <c r="B73" s="916"/>
      <c r="C73" s="339" t="s">
        <v>3487</v>
      </c>
      <c r="D73" s="340" t="s">
        <v>3507</v>
      </c>
      <c r="E73" s="925">
        <v>250</v>
      </c>
      <c r="F73" s="693">
        <f t="shared" si="0"/>
        <v>150</v>
      </c>
      <c r="G73" s="786">
        <f t="shared" si="1"/>
        <v>0</v>
      </c>
      <c r="H73" s="786">
        <f t="shared" si="2"/>
        <v>12.479999999999999</v>
      </c>
      <c r="I73" s="786">
        <f t="shared" si="3"/>
        <v>0</v>
      </c>
      <c r="J73" s="786">
        <f t="shared" si="4"/>
        <v>4.6950000000000003</v>
      </c>
      <c r="K73" s="786">
        <f t="shared" si="5"/>
        <v>0</v>
      </c>
      <c r="L73" s="786">
        <f t="shared" si="6"/>
        <v>3.8400000000000003</v>
      </c>
      <c r="M73" s="786">
        <f t="shared" si="7"/>
        <v>0</v>
      </c>
      <c r="N73" s="786">
        <f t="shared" si="8"/>
        <v>3.1949999999999998</v>
      </c>
      <c r="O73" s="928">
        <f t="shared" si="9"/>
        <v>0</v>
      </c>
      <c r="P73" s="788"/>
      <c r="Q73" s="927"/>
    </row>
    <row r="74" spans="1:17" s="413" customFormat="1" ht="13.5" thickBot="1">
      <c r="A74" s="1182"/>
      <c r="B74" s="916"/>
      <c r="C74" s="339" t="s">
        <v>3606</v>
      </c>
      <c r="D74" s="340" t="s">
        <v>564</v>
      </c>
      <c r="E74" s="925">
        <v>3663</v>
      </c>
      <c r="F74" s="693">
        <f t="shared" si="0"/>
        <v>2197.7999999999997</v>
      </c>
      <c r="G74" s="786">
        <f t="shared" si="1"/>
        <v>0</v>
      </c>
      <c r="H74" s="786">
        <f t="shared" si="2"/>
        <v>182.85695999999996</v>
      </c>
      <c r="I74" s="786">
        <f t="shared" si="3"/>
        <v>0</v>
      </c>
      <c r="J74" s="786">
        <f t="shared" si="4"/>
        <v>68.791139999999999</v>
      </c>
      <c r="K74" s="786">
        <f t="shared" si="5"/>
        <v>0</v>
      </c>
      <c r="L74" s="786">
        <f t="shared" si="6"/>
        <v>56.263679999999994</v>
      </c>
      <c r="M74" s="786">
        <f t="shared" si="7"/>
        <v>0</v>
      </c>
      <c r="N74" s="786">
        <f t="shared" si="8"/>
        <v>46.81313999999999</v>
      </c>
      <c r="O74" s="928">
        <f t="shared" si="9"/>
        <v>0</v>
      </c>
      <c r="P74" s="788"/>
      <c r="Q74" s="927"/>
    </row>
    <row r="75" spans="1:17" s="413" customFormat="1" ht="13.5" thickBot="1">
      <c r="A75" s="1182"/>
      <c r="B75" s="916"/>
      <c r="C75" s="339" t="s">
        <v>3605</v>
      </c>
      <c r="D75" s="340" t="s">
        <v>565</v>
      </c>
      <c r="E75" s="925">
        <v>1947</v>
      </c>
      <c r="F75" s="693">
        <f t="shared" si="0"/>
        <v>1168.2</v>
      </c>
      <c r="G75" s="786">
        <f t="shared" si="1"/>
        <v>0</v>
      </c>
      <c r="H75" s="786">
        <f t="shared" si="2"/>
        <v>97.194239999999994</v>
      </c>
      <c r="I75" s="786">
        <f t="shared" si="3"/>
        <v>0</v>
      </c>
      <c r="J75" s="786">
        <f t="shared" si="4"/>
        <v>36.564660000000003</v>
      </c>
      <c r="K75" s="786">
        <f t="shared" si="5"/>
        <v>0</v>
      </c>
      <c r="L75" s="786">
        <f t="shared" si="6"/>
        <v>29.905920000000002</v>
      </c>
      <c r="M75" s="786">
        <f t="shared" si="7"/>
        <v>0</v>
      </c>
      <c r="N75" s="786">
        <f t="shared" si="8"/>
        <v>24.882660000000001</v>
      </c>
      <c r="O75" s="928">
        <f t="shared" si="9"/>
        <v>0</v>
      </c>
      <c r="P75" s="788"/>
      <c r="Q75" s="927"/>
    </row>
    <row r="76" spans="1:17" s="413" customFormat="1" ht="13.5" thickBot="1">
      <c r="A76" s="1182"/>
      <c r="B76" s="916"/>
      <c r="C76" s="339" t="s">
        <v>4271</v>
      </c>
      <c r="D76" s="340" t="s">
        <v>4263</v>
      </c>
      <c r="E76" s="925">
        <v>1790</v>
      </c>
      <c r="F76" s="693">
        <f t="shared" si="0"/>
        <v>1074</v>
      </c>
      <c r="G76" s="786">
        <f t="shared" si="1"/>
        <v>0</v>
      </c>
      <c r="H76" s="786">
        <f t="shared" si="2"/>
        <v>89.356799999999993</v>
      </c>
      <c r="I76" s="786">
        <f t="shared" si="3"/>
        <v>0</v>
      </c>
      <c r="J76" s="786">
        <f t="shared" si="4"/>
        <v>33.616199999999999</v>
      </c>
      <c r="K76" s="786">
        <f t="shared" si="5"/>
        <v>0</v>
      </c>
      <c r="L76" s="786">
        <f t="shared" si="6"/>
        <v>27.494400000000002</v>
      </c>
      <c r="M76" s="786">
        <f t="shared" si="7"/>
        <v>0</v>
      </c>
      <c r="N76" s="786">
        <f t="shared" si="8"/>
        <v>22.876200000000001</v>
      </c>
      <c r="O76" s="928">
        <f t="shared" si="9"/>
        <v>0</v>
      </c>
      <c r="P76" s="788"/>
      <c r="Q76" s="927"/>
    </row>
    <row r="77" spans="1:17" s="413" customFormat="1" ht="26.25" thickBot="1">
      <c r="A77" s="1182"/>
      <c r="B77" s="916"/>
      <c r="C77" s="339" t="s">
        <v>70</v>
      </c>
      <c r="D77" s="340" t="s">
        <v>682</v>
      </c>
      <c r="E77" s="925">
        <v>66</v>
      </c>
      <c r="F77" s="693">
        <f t="shared" si="0"/>
        <v>39.6</v>
      </c>
      <c r="G77" s="786">
        <f t="shared" si="1"/>
        <v>0</v>
      </c>
      <c r="H77" s="786">
        <f t="shared" si="2"/>
        <v>3.2947199999999999</v>
      </c>
      <c r="I77" s="786">
        <f t="shared" si="3"/>
        <v>0</v>
      </c>
      <c r="J77" s="786">
        <f t="shared" si="4"/>
        <v>1.2394800000000001</v>
      </c>
      <c r="K77" s="786">
        <f t="shared" si="5"/>
        <v>0</v>
      </c>
      <c r="L77" s="786">
        <f t="shared" si="6"/>
        <v>1.01376</v>
      </c>
      <c r="M77" s="786">
        <f t="shared" si="7"/>
        <v>0</v>
      </c>
      <c r="N77" s="786">
        <f t="shared" si="8"/>
        <v>0.84348000000000001</v>
      </c>
      <c r="O77" s="928">
        <f t="shared" si="9"/>
        <v>0</v>
      </c>
      <c r="P77" s="788"/>
      <c r="Q77" s="927"/>
    </row>
    <row r="78" spans="1:17" s="413" customFormat="1" ht="26.25" thickBot="1">
      <c r="A78" s="1182"/>
      <c r="B78" s="916"/>
      <c r="C78" s="339" t="s">
        <v>456</v>
      </c>
      <c r="D78" s="340" t="s">
        <v>683</v>
      </c>
      <c r="E78" s="925">
        <v>132</v>
      </c>
      <c r="F78" s="693">
        <f t="shared" si="0"/>
        <v>79.2</v>
      </c>
      <c r="G78" s="786">
        <f t="shared" si="1"/>
        <v>0</v>
      </c>
      <c r="H78" s="786">
        <f t="shared" si="2"/>
        <v>6.5894399999999997</v>
      </c>
      <c r="I78" s="786">
        <f t="shared" si="3"/>
        <v>0</v>
      </c>
      <c r="J78" s="786">
        <f t="shared" si="4"/>
        <v>2.4789600000000003</v>
      </c>
      <c r="K78" s="786">
        <f t="shared" si="5"/>
        <v>0</v>
      </c>
      <c r="L78" s="786">
        <f t="shared" si="6"/>
        <v>2.02752</v>
      </c>
      <c r="M78" s="786">
        <f t="shared" si="7"/>
        <v>0</v>
      </c>
      <c r="N78" s="786">
        <f t="shared" si="8"/>
        <v>1.68696</v>
      </c>
      <c r="O78" s="928">
        <f t="shared" si="9"/>
        <v>0</v>
      </c>
      <c r="P78" s="788"/>
      <c r="Q78" s="927"/>
    </row>
    <row r="79" spans="1:17" s="413" customFormat="1" ht="13.5" thickBot="1">
      <c r="A79" s="1182"/>
      <c r="B79" s="916"/>
      <c r="C79" s="339" t="s">
        <v>4272</v>
      </c>
      <c r="D79" s="340" t="s">
        <v>480</v>
      </c>
      <c r="E79" s="925">
        <v>495</v>
      </c>
      <c r="F79" s="693">
        <f t="shared" si="0"/>
        <v>297</v>
      </c>
      <c r="G79" s="786">
        <f t="shared" si="1"/>
        <v>0</v>
      </c>
      <c r="H79" s="786">
        <f t="shared" si="2"/>
        <v>24.7104</v>
      </c>
      <c r="I79" s="786">
        <f t="shared" si="3"/>
        <v>0</v>
      </c>
      <c r="J79" s="786">
        <f t="shared" si="4"/>
        <v>9.2961000000000009</v>
      </c>
      <c r="K79" s="786">
        <f t="shared" si="5"/>
        <v>0</v>
      </c>
      <c r="L79" s="786">
        <f t="shared" si="6"/>
        <v>7.6032000000000002</v>
      </c>
      <c r="M79" s="786">
        <f t="shared" si="7"/>
        <v>0</v>
      </c>
      <c r="N79" s="786">
        <f t="shared" si="8"/>
        <v>6.3261000000000003</v>
      </c>
      <c r="O79" s="928">
        <f t="shared" si="9"/>
        <v>0</v>
      </c>
      <c r="P79" s="788"/>
      <c r="Q79" s="927"/>
    </row>
    <row r="80" spans="1:17" s="413" customFormat="1" ht="13.5" thickBot="1">
      <c r="A80" s="1182"/>
      <c r="B80" s="916"/>
      <c r="C80" s="339" t="s">
        <v>4273</v>
      </c>
      <c r="D80" s="340" t="s">
        <v>4264</v>
      </c>
      <c r="E80" s="925">
        <v>33</v>
      </c>
      <c r="F80" s="693">
        <f t="shared" si="0"/>
        <v>19.8</v>
      </c>
      <c r="G80" s="786">
        <f t="shared" si="1"/>
        <v>0</v>
      </c>
      <c r="H80" s="786">
        <f t="shared" si="2"/>
        <v>1.6473599999999999</v>
      </c>
      <c r="I80" s="786">
        <f t="shared" si="3"/>
        <v>0</v>
      </c>
      <c r="J80" s="786">
        <f t="shared" si="4"/>
        <v>0.61974000000000007</v>
      </c>
      <c r="K80" s="786">
        <f t="shared" si="5"/>
        <v>0</v>
      </c>
      <c r="L80" s="786">
        <f t="shared" si="6"/>
        <v>0.50688</v>
      </c>
      <c r="M80" s="786">
        <f t="shared" si="7"/>
        <v>0</v>
      </c>
      <c r="N80" s="786">
        <f t="shared" si="8"/>
        <v>0.42174</v>
      </c>
      <c r="O80" s="928">
        <f t="shared" si="9"/>
        <v>0</v>
      </c>
      <c r="P80" s="788"/>
      <c r="Q80" s="927"/>
    </row>
    <row r="81" spans="1:17" s="413" customFormat="1" ht="13.5" thickBot="1">
      <c r="A81" s="1182"/>
      <c r="B81" s="916"/>
      <c r="C81" s="339" t="s">
        <v>4274</v>
      </c>
      <c r="D81" s="340" t="s">
        <v>3517</v>
      </c>
      <c r="E81" s="925">
        <v>1221</v>
      </c>
      <c r="F81" s="693">
        <f t="shared" si="0"/>
        <v>732.6</v>
      </c>
      <c r="G81" s="786">
        <f t="shared" si="1"/>
        <v>0</v>
      </c>
      <c r="H81" s="786">
        <f t="shared" si="2"/>
        <v>60.95232</v>
      </c>
      <c r="I81" s="786">
        <f t="shared" si="3"/>
        <v>0</v>
      </c>
      <c r="J81" s="786">
        <f t="shared" si="4"/>
        <v>22.930380000000003</v>
      </c>
      <c r="K81" s="786">
        <f t="shared" si="5"/>
        <v>0</v>
      </c>
      <c r="L81" s="786">
        <f t="shared" si="6"/>
        <v>18.754560000000001</v>
      </c>
      <c r="M81" s="786">
        <f t="shared" si="7"/>
        <v>0</v>
      </c>
      <c r="N81" s="786">
        <f t="shared" si="8"/>
        <v>15.604380000000001</v>
      </c>
      <c r="O81" s="928">
        <f t="shared" si="9"/>
        <v>0</v>
      </c>
      <c r="P81" s="788"/>
      <c r="Q81" s="927"/>
    </row>
    <row r="82" spans="1:17" s="413" customFormat="1" ht="26.25" thickBot="1">
      <c r="A82" s="1182"/>
      <c r="B82" s="916"/>
      <c r="C82" s="339" t="s">
        <v>3499</v>
      </c>
      <c r="D82" s="340" t="s">
        <v>3522</v>
      </c>
      <c r="E82" s="925">
        <v>645</v>
      </c>
      <c r="F82" s="693">
        <f t="shared" si="0"/>
        <v>387</v>
      </c>
      <c r="G82" s="786">
        <f t="shared" si="1"/>
        <v>0</v>
      </c>
      <c r="H82" s="786">
        <f t="shared" si="2"/>
        <v>32.198399999999999</v>
      </c>
      <c r="I82" s="786">
        <f t="shared" si="3"/>
        <v>0</v>
      </c>
      <c r="J82" s="786">
        <f t="shared" si="4"/>
        <v>12.113100000000001</v>
      </c>
      <c r="K82" s="786">
        <f t="shared" si="5"/>
        <v>0</v>
      </c>
      <c r="L82" s="786">
        <f t="shared" si="6"/>
        <v>9.9072000000000013</v>
      </c>
      <c r="M82" s="786">
        <f t="shared" si="7"/>
        <v>0</v>
      </c>
      <c r="N82" s="786">
        <f t="shared" si="8"/>
        <v>8.2431000000000001</v>
      </c>
      <c r="O82" s="928">
        <f t="shared" si="9"/>
        <v>0</v>
      </c>
      <c r="P82" s="788"/>
      <c r="Q82" s="927"/>
    </row>
    <row r="83" spans="1:17" s="413" customFormat="1" ht="26.25" thickBot="1">
      <c r="A83" s="1182"/>
      <c r="B83" s="916"/>
      <c r="C83" s="339" t="s">
        <v>3500</v>
      </c>
      <c r="D83" s="340" t="s">
        <v>3590</v>
      </c>
      <c r="E83" s="925">
        <v>935</v>
      </c>
      <c r="F83" s="693">
        <f t="shared" si="0"/>
        <v>561</v>
      </c>
      <c r="G83" s="786">
        <f t="shared" si="1"/>
        <v>0</v>
      </c>
      <c r="H83" s="786">
        <f t="shared" si="2"/>
        <v>46.675199999999997</v>
      </c>
      <c r="I83" s="786">
        <f t="shared" si="3"/>
        <v>0</v>
      </c>
      <c r="J83" s="786">
        <f t="shared" si="4"/>
        <v>17.5593</v>
      </c>
      <c r="K83" s="786">
        <f t="shared" si="5"/>
        <v>0</v>
      </c>
      <c r="L83" s="786">
        <f t="shared" si="6"/>
        <v>14.361600000000001</v>
      </c>
      <c r="M83" s="786">
        <f t="shared" si="7"/>
        <v>0</v>
      </c>
      <c r="N83" s="786">
        <f t="shared" si="8"/>
        <v>11.949299999999999</v>
      </c>
      <c r="O83" s="928">
        <f t="shared" si="9"/>
        <v>0</v>
      </c>
      <c r="P83" s="788"/>
      <c r="Q83" s="927"/>
    </row>
    <row r="84" spans="1:17" s="413" customFormat="1" ht="13.5" thickBot="1">
      <c r="A84" s="1182"/>
      <c r="B84" s="916"/>
      <c r="C84" s="339" t="s">
        <v>4275</v>
      </c>
      <c r="D84" s="340" t="s">
        <v>685</v>
      </c>
      <c r="E84" s="925">
        <v>1348</v>
      </c>
      <c r="F84" s="693">
        <f t="shared" si="0"/>
        <v>808.8</v>
      </c>
      <c r="G84" s="786">
        <f t="shared" si="1"/>
        <v>0</v>
      </c>
      <c r="H84" s="786">
        <f t="shared" si="2"/>
        <v>67.292159999999996</v>
      </c>
      <c r="I84" s="786">
        <f t="shared" si="3"/>
        <v>0</v>
      </c>
      <c r="J84" s="786">
        <f t="shared" si="4"/>
        <v>25.315439999999999</v>
      </c>
      <c r="K84" s="786">
        <f t="shared" si="5"/>
        <v>0</v>
      </c>
      <c r="L84" s="786">
        <f t="shared" si="6"/>
        <v>20.705279999999998</v>
      </c>
      <c r="M84" s="786">
        <f t="shared" si="7"/>
        <v>0</v>
      </c>
      <c r="N84" s="786">
        <f t="shared" si="8"/>
        <v>17.227439999999998</v>
      </c>
      <c r="O84" s="928">
        <f t="shared" si="9"/>
        <v>0</v>
      </c>
      <c r="P84" s="788"/>
      <c r="Q84" s="927"/>
    </row>
    <row r="85" spans="1:17" s="413" customFormat="1" ht="13.5" thickBot="1">
      <c r="A85" s="1182"/>
      <c r="B85" s="916"/>
      <c r="C85" s="339" t="s">
        <v>493</v>
      </c>
      <c r="D85" s="340" t="s">
        <v>52</v>
      </c>
      <c r="E85" s="925">
        <v>53</v>
      </c>
      <c r="F85" s="693">
        <f t="shared" si="0"/>
        <v>31.799999999999997</v>
      </c>
      <c r="G85" s="786">
        <f t="shared" si="1"/>
        <v>0</v>
      </c>
      <c r="H85" s="786">
        <f t="shared" si="2"/>
        <v>2.6457599999999997</v>
      </c>
      <c r="I85" s="786">
        <f t="shared" si="3"/>
        <v>0</v>
      </c>
      <c r="J85" s="786">
        <f t="shared" si="4"/>
        <v>0.99534</v>
      </c>
      <c r="K85" s="786">
        <f t="shared" si="5"/>
        <v>0</v>
      </c>
      <c r="L85" s="786">
        <f t="shared" si="6"/>
        <v>0.81407999999999991</v>
      </c>
      <c r="M85" s="786">
        <f t="shared" si="7"/>
        <v>0</v>
      </c>
      <c r="N85" s="786">
        <f t="shared" si="8"/>
        <v>0.67733999999999994</v>
      </c>
      <c r="O85" s="928">
        <f t="shared" si="9"/>
        <v>0</v>
      </c>
      <c r="P85" s="788"/>
      <c r="Q85" s="927"/>
    </row>
    <row r="86" spans="1:17" s="413" customFormat="1" ht="13.5" thickBot="1">
      <c r="A86" s="1182"/>
      <c r="B86" s="916"/>
      <c r="C86" s="339" t="s">
        <v>478</v>
      </c>
      <c r="D86" s="340" t="s">
        <v>3560</v>
      </c>
      <c r="E86" s="925">
        <v>30</v>
      </c>
      <c r="F86" s="693">
        <f t="shared" si="0"/>
        <v>18</v>
      </c>
      <c r="G86" s="786">
        <f t="shared" si="1"/>
        <v>0</v>
      </c>
      <c r="H86" s="786">
        <f t="shared" si="2"/>
        <v>1.4975999999999998</v>
      </c>
      <c r="I86" s="786">
        <f t="shared" si="3"/>
        <v>0</v>
      </c>
      <c r="J86" s="786">
        <f t="shared" si="4"/>
        <v>0.56340000000000001</v>
      </c>
      <c r="K86" s="786">
        <f t="shared" si="5"/>
        <v>0</v>
      </c>
      <c r="L86" s="786">
        <f t="shared" si="6"/>
        <v>0.46080000000000004</v>
      </c>
      <c r="M86" s="786">
        <f t="shared" si="7"/>
        <v>0</v>
      </c>
      <c r="N86" s="786">
        <f t="shared" si="8"/>
        <v>0.38339999999999996</v>
      </c>
      <c r="O86" s="928">
        <f t="shared" si="9"/>
        <v>0</v>
      </c>
      <c r="P86" s="788"/>
      <c r="Q86" s="927"/>
    </row>
    <row r="87" spans="1:17" s="413" customFormat="1" ht="13.5" thickBot="1">
      <c r="A87" s="1182"/>
      <c r="B87" s="916"/>
      <c r="C87" s="339" t="s">
        <v>4276</v>
      </c>
      <c r="D87" s="340" t="s">
        <v>4265</v>
      </c>
      <c r="E87" s="925">
        <v>286</v>
      </c>
      <c r="F87" s="693">
        <f t="shared" si="0"/>
        <v>171.6</v>
      </c>
      <c r="G87" s="786">
        <f t="shared" si="1"/>
        <v>0</v>
      </c>
      <c r="H87" s="786">
        <f t="shared" si="2"/>
        <v>14.277119999999998</v>
      </c>
      <c r="I87" s="786">
        <f t="shared" si="3"/>
        <v>0</v>
      </c>
      <c r="J87" s="786">
        <f t="shared" si="4"/>
        <v>5.3710800000000001</v>
      </c>
      <c r="K87" s="786">
        <f t="shared" si="5"/>
        <v>0</v>
      </c>
      <c r="L87" s="786">
        <f t="shared" si="6"/>
        <v>4.3929600000000004</v>
      </c>
      <c r="M87" s="786">
        <f t="shared" si="7"/>
        <v>0</v>
      </c>
      <c r="N87" s="786">
        <f t="shared" si="8"/>
        <v>3.6550799999999999</v>
      </c>
      <c r="O87" s="928">
        <f t="shared" si="9"/>
        <v>0</v>
      </c>
      <c r="P87" s="788"/>
      <c r="Q87" s="927"/>
    </row>
    <row r="88" spans="1:17" s="413" customFormat="1" ht="13.5" thickBot="1">
      <c r="A88" s="1182"/>
      <c r="B88" s="916"/>
      <c r="C88" s="339" t="s">
        <v>453</v>
      </c>
      <c r="D88" s="340" t="s">
        <v>3562</v>
      </c>
      <c r="E88" s="925">
        <v>124</v>
      </c>
      <c r="F88" s="693">
        <f t="shared" si="0"/>
        <v>74.399999999999991</v>
      </c>
      <c r="G88" s="786">
        <f t="shared" si="1"/>
        <v>0</v>
      </c>
      <c r="H88" s="786">
        <f t="shared" si="2"/>
        <v>6.1900799999999991</v>
      </c>
      <c r="I88" s="786">
        <f t="shared" si="3"/>
        <v>0</v>
      </c>
      <c r="J88" s="786">
        <f t="shared" si="4"/>
        <v>2.3287199999999997</v>
      </c>
      <c r="K88" s="786">
        <f t="shared" si="5"/>
        <v>0</v>
      </c>
      <c r="L88" s="786">
        <f t="shared" si="6"/>
        <v>1.9046399999999999</v>
      </c>
      <c r="M88" s="786">
        <f t="shared" si="7"/>
        <v>0</v>
      </c>
      <c r="N88" s="786">
        <f t="shared" si="8"/>
        <v>1.5847199999999997</v>
      </c>
      <c r="O88" s="928">
        <f t="shared" si="9"/>
        <v>0</v>
      </c>
      <c r="P88" s="788"/>
      <c r="Q88" s="927"/>
    </row>
    <row r="89" spans="1:17" s="413" customFormat="1" ht="13.5" thickBot="1">
      <c r="A89" s="1182"/>
      <c r="B89" s="916"/>
      <c r="C89" s="339" t="s">
        <v>4277</v>
      </c>
      <c r="D89" s="340" t="s">
        <v>3598</v>
      </c>
      <c r="E89" s="925">
        <v>2750</v>
      </c>
      <c r="F89" s="693">
        <f t="shared" si="0"/>
        <v>1650</v>
      </c>
      <c r="G89" s="786">
        <f t="shared" si="1"/>
        <v>0</v>
      </c>
      <c r="H89" s="786">
        <f t="shared" si="2"/>
        <v>137.28</v>
      </c>
      <c r="I89" s="786">
        <f t="shared" si="3"/>
        <v>0</v>
      </c>
      <c r="J89" s="786">
        <f t="shared" si="4"/>
        <v>51.645000000000003</v>
      </c>
      <c r="K89" s="786">
        <f t="shared" si="5"/>
        <v>0</v>
      </c>
      <c r="L89" s="786">
        <f t="shared" si="6"/>
        <v>42.24</v>
      </c>
      <c r="M89" s="786">
        <f t="shared" si="7"/>
        <v>0</v>
      </c>
      <c r="N89" s="786">
        <f t="shared" si="8"/>
        <v>35.144999999999996</v>
      </c>
      <c r="O89" s="928">
        <f t="shared" si="9"/>
        <v>0</v>
      </c>
      <c r="P89" s="788"/>
      <c r="Q89" s="927"/>
    </row>
    <row r="90" spans="1:17" s="437" customFormat="1" ht="13.5" thickBot="1">
      <c r="A90" s="1183"/>
      <c r="B90" s="916"/>
      <c r="C90" s="339" t="s">
        <v>3493</v>
      </c>
      <c r="D90" s="340" t="s">
        <v>3516</v>
      </c>
      <c r="E90" s="925">
        <v>5511</v>
      </c>
      <c r="F90" s="693">
        <f t="shared" si="0"/>
        <v>3306.6</v>
      </c>
      <c r="G90" s="786">
        <f t="shared" si="1"/>
        <v>0</v>
      </c>
      <c r="H90" s="786">
        <f t="shared" si="2"/>
        <v>275.10911999999996</v>
      </c>
      <c r="I90" s="786">
        <f t="shared" si="3"/>
        <v>0</v>
      </c>
      <c r="J90" s="786">
        <f t="shared" si="4"/>
        <v>103.49658000000001</v>
      </c>
      <c r="K90" s="786">
        <f t="shared" si="5"/>
        <v>0</v>
      </c>
      <c r="L90" s="786">
        <f t="shared" si="6"/>
        <v>84.648960000000002</v>
      </c>
      <c r="M90" s="786">
        <f t="shared" si="7"/>
        <v>0</v>
      </c>
      <c r="N90" s="786">
        <f t="shared" si="8"/>
        <v>70.430579999999992</v>
      </c>
      <c r="O90" s="928">
        <f t="shared" si="9"/>
        <v>0</v>
      </c>
      <c r="P90" s="788"/>
      <c r="Q90" s="927"/>
    </row>
    <row r="91" spans="1:17" s="437" customFormat="1" ht="15">
      <c r="C91" s="918"/>
      <c r="D91" s="1059" t="s">
        <v>183</v>
      </c>
      <c r="E91" s="1124"/>
      <c r="F91" s="1124"/>
      <c r="G91" s="450">
        <f t="array" ref="G91">SUM(G49:G90)+G40:G49:G90+G43:G49:G90+G46</f>
        <v>0</v>
      </c>
      <c r="H91" s="451" t="s">
        <v>184</v>
      </c>
      <c r="I91" s="450">
        <f t="array" ref="I91">SUM(I49:I90)+I40:I49:I90+I43:I49:I90+I46</f>
        <v>0</v>
      </c>
      <c r="J91" s="451" t="s">
        <v>185</v>
      </c>
      <c r="K91" s="450">
        <f t="array" ref="K91">SUM(K49:K90)+K40:K49:K90+K43:K49:K90+K46</f>
        <v>0</v>
      </c>
      <c r="L91" s="451" t="s">
        <v>186</v>
      </c>
      <c r="M91" s="450">
        <f t="array" ref="M91">SUM(M49:M90)+M40:M49:M90+M43:M49:M90+M46</f>
        <v>0</v>
      </c>
      <c r="N91" s="451" t="s">
        <v>187</v>
      </c>
      <c r="O91" s="450">
        <f t="array" ref="O91">SUM(O49:O90)+O40:O49:O90+O43:O49:O90+O46</f>
        <v>0</v>
      </c>
    </row>
    <row r="92" spans="1:17" s="437" customFormat="1" ht="14.25">
      <c r="C92" s="919"/>
      <c r="F92" s="626"/>
    </row>
    <row r="106" spans="3:3">
      <c r="C106" s="920"/>
    </row>
  </sheetData>
  <mergeCells count="55">
    <mergeCell ref="A48:O48"/>
    <mergeCell ref="A49:A90"/>
    <mergeCell ref="D91:F91"/>
    <mergeCell ref="O43:O44"/>
    <mergeCell ref="A46:A47"/>
    <mergeCell ref="B46:B47"/>
    <mergeCell ref="G46:G47"/>
    <mergeCell ref="I46:I47"/>
    <mergeCell ref="K46:K47"/>
    <mergeCell ref="M46:M47"/>
    <mergeCell ref="O46:O47"/>
    <mergeCell ref="A43:A44"/>
    <mergeCell ref="B43:B44"/>
    <mergeCell ref="G43:G44"/>
    <mergeCell ref="I43:I44"/>
    <mergeCell ref="K43:K44"/>
    <mergeCell ref="M43:M44"/>
    <mergeCell ref="I34:K36"/>
    <mergeCell ref="F38:G38"/>
    <mergeCell ref="H38:O38"/>
    <mergeCell ref="A40:A41"/>
    <mergeCell ref="B40:B41"/>
    <mergeCell ref="G40:G41"/>
    <mergeCell ref="I40:I41"/>
    <mergeCell ref="K40:K41"/>
    <mergeCell ref="M40:M41"/>
    <mergeCell ref="O40:O41"/>
    <mergeCell ref="A31:C31"/>
    <mergeCell ref="E31:H31"/>
    <mergeCell ref="I31:J31"/>
    <mergeCell ref="K31:M31"/>
    <mergeCell ref="N31:O31"/>
    <mergeCell ref="A32:C32"/>
    <mergeCell ref="E32:H32"/>
    <mergeCell ref="I32:J32"/>
    <mergeCell ref="K32:M32"/>
    <mergeCell ref="N32:O32"/>
    <mergeCell ref="A29:C29"/>
    <mergeCell ref="E29:H29"/>
    <mergeCell ref="I29:J29"/>
    <mergeCell ref="K29:M29"/>
    <mergeCell ref="N29:O29"/>
    <mergeCell ref="A30:C30"/>
    <mergeCell ref="E30:H30"/>
    <mergeCell ref="I30:J30"/>
    <mergeCell ref="K30:M30"/>
    <mergeCell ref="N30:O30"/>
    <mergeCell ref="A28:D28"/>
    <mergeCell ref="E28:J28"/>
    <mergeCell ref="K28:O28"/>
    <mergeCell ref="A4:O4"/>
    <mergeCell ref="A5:O5"/>
    <mergeCell ref="H8:J8"/>
    <mergeCell ref="D24:D25"/>
    <mergeCell ref="A27:O2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3E016-90A6-4C23-A11C-2F3856AABC46}">
  <sheetPr>
    <tabColor indexed="62"/>
  </sheetPr>
  <dimension ref="A1:P109"/>
  <sheetViews>
    <sheetView topLeftCell="D29" zoomScaleNormal="100" workbookViewId="0">
      <selection activeCell="F44" sqref="F44"/>
    </sheetView>
  </sheetViews>
  <sheetFormatPr defaultColWidth="8.85546875" defaultRowHeight="12.75"/>
  <cols>
    <col min="1" max="1" width="14.42578125" style="378" customWidth="1"/>
    <col min="2" max="2" width="9.42578125" style="378" customWidth="1"/>
    <col min="3" max="3" width="21.7109375" style="769" bestFit="1" customWidth="1"/>
    <col min="4" max="4" width="37.42578125" style="378" customWidth="1"/>
    <col min="5" max="5" width="17.42578125" style="378" customWidth="1"/>
    <col min="6" max="6" width="19" style="455" customWidth="1"/>
    <col min="7" max="7" width="15.42578125" style="378" customWidth="1"/>
    <col min="8" max="8" width="28.28515625" style="378" bestFit="1" customWidth="1"/>
    <col min="9" max="9" width="20.140625" style="378" customWidth="1"/>
    <col min="10" max="10" width="25" style="378" bestFit="1" customWidth="1"/>
    <col min="11" max="11" width="19" style="378" customWidth="1"/>
    <col min="12" max="12" width="25" style="378" bestFit="1" customWidth="1"/>
    <col min="13" max="13" width="17" style="378" customWidth="1"/>
    <col min="14" max="14" width="25" style="378" bestFit="1" customWidth="1"/>
    <col min="15" max="15" width="18.85546875" style="378" customWidth="1"/>
    <col min="16" max="16" width="12.42578125" style="378" customWidth="1"/>
    <col min="17" max="16384" width="8.85546875" style="378"/>
  </cols>
  <sheetData>
    <row r="1" spans="1:15" ht="13.5" thickBot="1">
      <c r="B1" s="381"/>
      <c r="C1" s="852"/>
      <c r="D1" s="380"/>
      <c r="E1" s="380"/>
      <c r="F1" s="381"/>
      <c r="G1" s="381"/>
      <c r="H1" s="381"/>
      <c r="I1" s="381"/>
      <c r="J1" s="381"/>
      <c r="K1" s="380"/>
      <c r="L1" s="381"/>
    </row>
    <row r="2" spans="1:15" ht="9" customHeight="1">
      <c r="A2" s="382"/>
      <c r="B2" s="386"/>
      <c r="C2" s="854"/>
      <c r="D2" s="384"/>
      <c r="E2" s="384"/>
      <c r="F2" s="385"/>
      <c r="G2" s="386"/>
      <c r="H2" s="385"/>
      <c r="I2" s="386"/>
      <c r="J2" s="386"/>
      <c r="K2" s="386"/>
      <c r="L2" s="386"/>
      <c r="M2" s="382"/>
      <c r="N2" s="382"/>
      <c r="O2" s="382"/>
    </row>
    <row r="3" spans="1:15" ht="10.5" customHeight="1">
      <c r="B3" s="387"/>
      <c r="C3" s="852"/>
      <c r="D3" s="380"/>
      <c r="E3" s="380"/>
      <c r="F3" s="381"/>
      <c r="G3" s="387"/>
      <c r="H3" s="381"/>
      <c r="I3" s="387"/>
      <c r="J3" s="387"/>
      <c r="K3" s="387"/>
      <c r="L3" s="387"/>
    </row>
    <row r="4" spans="1:15" ht="36" customHeight="1">
      <c r="A4" s="1022" t="s">
        <v>4285</v>
      </c>
      <c r="B4" s="1023"/>
      <c r="C4" s="1023"/>
      <c r="D4" s="1023"/>
      <c r="E4" s="1023"/>
      <c r="F4" s="1023"/>
      <c r="G4" s="1023"/>
      <c r="H4" s="1023"/>
      <c r="I4" s="1023"/>
      <c r="J4" s="1023"/>
      <c r="K4" s="1023"/>
      <c r="L4" s="1023"/>
      <c r="M4" s="1023"/>
      <c r="N4" s="1023"/>
      <c r="O4" s="1023"/>
    </row>
    <row r="5" spans="1:15" s="388" customFormat="1" ht="41.25" customHeight="1">
      <c r="A5" s="1024" t="s">
        <v>4279</v>
      </c>
      <c r="B5" s="1025"/>
      <c r="C5" s="1025"/>
      <c r="D5" s="1025"/>
      <c r="E5" s="1025"/>
      <c r="F5" s="1025"/>
      <c r="G5" s="1025"/>
      <c r="H5" s="1025"/>
      <c r="I5" s="1025"/>
      <c r="J5" s="1025"/>
      <c r="K5" s="1025"/>
      <c r="L5" s="1025"/>
      <c r="M5" s="1025"/>
      <c r="N5" s="1025"/>
      <c r="O5" s="1025"/>
    </row>
    <row r="6" spans="1:15" ht="12" customHeight="1" thickBot="1">
      <c r="A6" s="389"/>
      <c r="B6" s="389"/>
      <c r="C6" s="389"/>
      <c r="D6" s="389"/>
      <c r="E6" s="389"/>
      <c r="F6" s="389"/>
      <c r="G6" s="389"/>
      <c r="H6" s="389"/>
      <c r="I6" s="389"/>
      <c r="J6" s="389"/>
      <c r="K6" s="389"/>
      <c r="L6" s="389"/>
      <c r="M6" s="389"/>
      <c r="N6" s="389"/>
      <c r="O6" s="389"/>
    </row>
    <row r="8" spans="1:15" s="387" customFormat="1" ht="14.25">
      <c r="C8" s="404"/>
      <c r="F8" s="616"/>
      <c r="G8" s="616"/>
      <c r="H8" s="1026" t="s">
        <v>3</v>
      </c>
      <c r="I8" s="1026"/>
      <c r="J8" s="1026"/>
      <c r="K8" s="717"/>
    </row>
    <row r="9" spans="1:15" s="387" customFormat="1" ht="14.25">
      <c r="C9" s="404"/>
      <c r="H9" s="397" t="s">
        <v>4</v>
      </c>
      <c r="I9" s="387" t="s">
        <v>481</v>
      </c>
    </row>
    <row r="10" spans="1:15" s="387" customFormat="1">
      <c r="B10" s="404"/>
      <c r="C10" s="404"/>
      <c r="G10" s="404"/>
      <c r="H10" s="392" t="s">
        <v>5</v>
      </c>
      <c r="I10" s="404" t="s">
        <v>392</v>
      </c>
      <c r="J10" s="404"/>
      <c r="K10" s="395"/>
      <c r="L10" s="404"/>
    </row>
    <row r="11" spans="1:15" s="387" customFormat="1" ht="12.75" customHeight="1">
      <c r="B11" s="768"/>
      <c r="C11" s="404"/>
      <c r="F11" s="616"/>
      <c r="G11" s="768"/>
      <c r="H11" s="398" t="s">
        <v>6</v>
      </c>
      <c r="I11" s="768" t="s">
        <v>190</v>
      </c>
      <c r="J11" s="768"/>
      <c r="L11" s="768"/>
    </row>
    <row r="12" spans="1:15" s="387" customFormat="1">
      <c r="B12" s="404"/>
      <c r="C12" s="404"/>
      <c r="F12" s="616"/>
      <c r="G12" s="404"/>
      <c r="H12" s="392" t="s">
        <v>8</v>
      </c>
      <c r="I12" s="776">
        <v>300000</v>
      </c>
      <c r="J12" s="404"/>
      <c r="L12" s="404"/>
    </row>
    <row r="13" spans="1:15" s="387" customFormat="1">
      <c r="C13" s="894"/>
      <c r="F13" s="616"/>
      <c r="H13" s="392" t="s">
        <v>9</v>
      </c>
      <c r="I13" s="387" t="s">
        <v>147</v>
      </c>
    </row>
    <row r="14" spans="1:15" s="387" customFormat="1">
      <c r="C14" s="404"/>
      <c r="F14" s="616"/>
      <c r="H14" s="392" t="s">
        <v>10</v>
      </c>
      <c r="I14" s="387" t="s">
        <v>134</v>
      </c>
    </row>
    <row r="15" spans="1:15" s="387" customFormat="1">
      <c r="C15" s="404"/>
      <c r="F15" s="424"/>
      <c r="H15" s="392" t="s">
        <v>11</v>
      </c>
      <c r="I15" s="387" t="s">
        <v>4287</v>
      </c>
    </row>
    <row r="16" spans="1:15" s="387" customFormat="1">
      <c r="C16" s="404"/>
      <c r="F16" s="616"/>
      <c r="H16" s="392" t="s">
        <v>12</v>
      </c>
      <c r="I16" s="387" t="s">
        <v>482</v>
      </c>
    </row>
    <row r="17" spans="1:15" s="387" customFormat="1">
      <c r="C17" s="404"/>
      <c r="F17" s="616"/>
      <c r="H17" s="392" t="s">
        <v>13</v>
      </c>
      <c r="I17" s="387" t="s">
        <v>235</v>
      </c>
    </row>
    <row r="18" spans="1:15" s="387" customFormat="1">
      <c r="C18" s="404"/>
      <c r="I18" s="387" t="s">
        <v>109</v>
      </c>
    </row>
    <row r="19" spans="1:15" s="387" customFormat="1">
      <c r="C19" s="404"/>
      <c r="F19" s="616"/>
      <c r="I19" s="387" t="s">
        <v>37</v>
      </c>
    </row>
    <row r="20" spans="1:15" s="387" customFormat="1">
      <c r="C20" s="404"/>
      <c r="F20" s="616"/>
      <c r="H20" s="392" t="s">
        <v>15</v>
      </c>
      <c r="I20" s="387" t="s">
        <v>110</v>
      </c>
    </row>
    <row r="21" spans="1:15" s="387" customFormat="1">
      <c r="C21" s="404"/>
      <c r="F21" s="616"/>
      <c r="H21" s="392" t="s">
        <v>16</v>
      </c>
      <c r="I21" s="387" t="s">
        <v>39</v>
      </c>
    </row>
    <row r="22" spans="1:15" s="387" customFormat="1">
      <c r="B22" s="404"/>
      <c r="C22" s="404"/>
      <c r="F22" s="616"/>
      <c r="G22" s="404"/>
      <c r="H22" s="392" t="s">
        <v>18</v>
      </c>
      <c r="I22" s="404" t="s">
        <v>111</v>
      </c>
      <c r="J22" s="404"/>
      <c r="L22" s="404"/>
    </row>
    <row r="23" spans="1:15" s="387" customFormat="1" ht="12" customHeight="1">
      <c r="C23" s="404"/>
      <c r="F23" s="616"/>
      <c r="H23" s="392" t="s">
        <v>19</v>
      </c>
      <c r="I23" s="387" t="s">
        <v>4283</v>
      </c>
    </row>
    <row r="24" spans="1:15" s="387" customFormat="1" ht="15.75" customHeight="1">
      <c r="C24" s="404"/>
      <c r="D24" s="1027"/>
      <c r="E24" s="399"/>
      <c r="F24" s="405"/>
      <c r="H24" s="392" t="s">
        <v>20</v>
      </c>
      <c r="I24" s="387" t="s">
        <v>4282</v>
      </c>
      <c r="K24" s="895"/>
    </row>
    <row r="25" spans="1:15" s="387" customFormat="1" ht="12.75" customHeight="1">
      <c r="C25" s="404"/>
      <c r="D25" s="1027"/>
      <c r="E25" s="399"/>
      <c r="F25" s="405"/>
      <c r="H25" s="392" t="s">
        <v>21</v>
      </c>
      <c r="I25" s="387" t="s">
        <v>4281</v>
      </c>
    </row>
    <row r="26" spans="1:15" s="387" customFormat="1" ht="12.75" customHeight="1">
      <c r="C26" s="404"/>
      <c r="D26" s="399"/>
      <c r="E26" s="399"/>
      <c r="F26" s="405"/>
      <c r="H26" s="392" t="s">
        <v>22</v>
      </c>
      <c r="I26" s="387" t="s">
        <v>4280</v>
      </c>
    </row>
    <row r="27" spans="1:15" s="387" customFormat="1" ht="15" thickBot="1">
      <c r="A27" s="1104" t="s">
        <v>23</v>
      </c>
      <c r="B27" s="1187"/>
      <c r="C27" s="1187"/>
      <c r="D27" s="1187"/>
      <c r="E27" s="1187"/>
      <c r="F27" s="1187"/>
      <c r="G27" s="1187"/>
      <c r="H27" s="1187"/>
      <c r="I27" s="1187"/>
      <c r="J27" s="1187"/>
      <c r="K27" s="1187"/>
      <c r="L27" s="1187"/>
      <c r="M27" s="1187"/>
      <c r="N27" s="1187"/>
      <c r="O27" s="1187"/>
    </row>
    <row r="28" spans="1:15" s="387" customFormat="1" ht="14.25">
      <c r="A28" s="1098" t="s">
        <v>135</v>
      </c>
      <c r="B28" s="1099"/>
      <c r="C28" s="1099"/>
      <c r="D28" s="1100"/>
      <c r="E28" s="1101" t="s">
        <v>136</v>
      </c>
      <c r="F28" s="1184"/>
      <c r="G28" s="1184"/>
      <c r="H28" s="1184"/>
      <c r="I28" s="1184"/>
      <c r="J28" s="1185"/>
      <c r="K28" s="1098" t="s">
        <v>137</v>
      </c>
      <c r="L28" s="1099"/>
      <c r="M28" s="1099"/>
      <c r="N28" s="1099"/>
      <c r="O28" s="1100"/>
    </row>
    <row r="29" spans="1:15" s="387" customFormat="1" ht="12.75" customHeight="1">
      <c r="A29" s="1030" t="s">
        <v>160</v>
      </c>
      <c r="B29" s="1031"/>
      <c r="C29" s="1031"/>
      <c r="D29" s="401" t="s">
        <v>161</v>
      </c>
      <c r="E29" s="1030" t="s">
        <v>160</v>
      </c>
      <c r="F29" s="1031"/>
      <c r="G29" s="1031"/>
      <c r="H29" s="1031"/>
      <c r="I29" s="1109" t="s">
        <v>162</v>
      </c>
      <c r="J29" s="1140"/>
      <c r="K29" s="1030" t="s">
        <v>160</v>
      </c>
      <c r="L29" s="1031"/>
      <c r="M29" s="1031"/>
      <c r="N29" s="1110" t="s">
        <v>162</v>
      </c>
      <c r="O29" s="1111"/>
    </row>
    <row r="30" spans="1:15" s="387" customFormat="1" ht="12.75" customHeight="1">
      <c r="A30" s="1030" t="s">
        <v>43</v>
      </c>
      <c r="B30" s="1031"/>
      <c r="C30" s="1031"/>
      <c r="D30" s="402">
        <v>0</v>
      </c>
      <c r="E30" s="1030" t="s">
        <v>43</v>
      </c>
      <c r="F30" s="1031"/>
      <c r="G30" s="1031"/>
      <c r="H30" s="1031"/>
      <c r="I30" s="1105">
        <v>1320</v>
      </c>
      <c r="J30" s="1186"/>
      <c r="K30" s="1030" t="s">
        <v>43</v>
      </c>
      <c r="L30" s="1031"/>
      <c r="M30" s="1031"/>
      <c r="N30" s="1107">
        <v>1920</v>
      </c>
      <c r="O30" s="1108"/>
    </row>
    <row r="31" spans="1:15" s="387" customFormat="1" ht="12.75" customHeight="1">
      <c r="A31" s="1030" t="s">
        <v>164</v>
      </c>
      <c r="B31" s="1031"/>
      <c r="C31" s="1031"/>
      <c r="D31" s="401" t="s">
        <v>165</v>
      </c>
      <c r="E31" s="1030" t="s">
        <v>164</v>
      </c>
      <c r="F31" s="1031"/>
      <c r="G31" s="1031"/>
      <c r="H31" s="1031"/>
      <c r="I31" s="1109" t="s">
        <v>138</v>
      </c>
      <c r="J31" s="1140"/>
      <c r="K31" s="1030" t="s">
        <v>164</v>
      </c>
      <c r="L31" s="1031"/>
      <c r="M31" s="1031"/>
      <c r="N31" s="1110" t="s">
        <v>139</v>
      </c>
      <c r="O31" s="1111"/>
    </row>
    <row r="32" spans="1:15" s="387" customFormat="1" ht="12.75" customHeight="1" thickBot="1">
      <c r="A32" s="1035" t="s">
        <v>46</v>
      </c>
      <c r="B32" s="1036"/>
      <c r="C32" s="1036"/>
      <c r="D32" s="403" t="s">
        <v>3552</v>
      </c>
      <c r="E32" s="1035" t="s">
        <v>47</v>
      </c>
      <c r="F32" s="1036"/>
      <c r="G32" s="1036"/>
      <c r="H32" s="1036"/>
      <c r="I32" s="1112" t="s">
        <v>3553</v>
      </c>
      <c r="J32" s="1138"/>
      <c r="K32" s="1035" t="s">
        <v>166</v>
      </c>
      <c r="L32" s="1036"/>
      <c r="M32" s="1036"/>
      <c r="N32" s="1114" t="s">
        <v>3553</v>
      </c>
      <c r="O32" s="1115"/>
    </row>
    <row r="33" spans="1:15" s="387" customFormat="1" ht="12.75" customHeight="1">
      <c r="A33" s="767"/>
      <c r="B33" s="378"/>
      <c r="C33" s="378"/>
      <c r="E33" s="767"/>
      <c r="F33" s="378"/>
      <c r="I33" s="767"/>
      <c r="J33" s="378"/>
      <c r="M33" s="867"/>
    </row>
    <row r="34" spans="1:15" s="387" customFormat="1" ht="12.75" customHeight="1">
      <c r="C34" s="921"/>
      <c r="D34" s="399"/>
      <c r="E34" s="399"/>
      <c r="F34" s="405"/>
      <c r="G34" s="405"/>
      <c r="H34" s="405"/>
      <c r="I34" s="1086"/>
      <c r="J34" s="1086"/>
      <c r="K34" s="1086"/>
    </row>
    <row r="35" spans="1:15" s="387" customFormat="1" ht="12.75" customHeight="1">
      <c r="C35" s="404"/>
      <c r="D35" s="399"/>
      <c r="E35" s="399"/>
      <c r="F35" s="405"/>
      <c r="G35" s="405"/>
      <c r="H35" s="405"/>
      <c r="I35" s="1086"/>
      <c r="J35" s="1086"/>
      <c r="K35" s="1086"/>
    </row>
    <row r="36" spans="1:15" s="387" customFormat="1" ht="12.75" customHeight="1">
      <c r="C36" s="404"/>
      <c r="D36" s="399"/>
      <c r="E36" s="399"/>
      <c r="F36" s="405"/>
      <c r="G36" s="405"/>
      <c r="H36" s="405"/>
      <c r="I36" s="1086"/>
      <c r="J36" s="1086"/>
      <c r="K36" s="1086"/>
    </row>
    <row r="37" spans="1:15" s="387" customFormat="1" ht="13.5" customHeight="1" thickBot="1">
      <c r="B37" s="410"/>
      <c r="C37" s="404"/>
      <c r="D37" s="399"/>
      <c r="E37" s="399"/>
      <c r="F37" s="405"/>
      <c r="G37" s="410"/>
      <c r="I37" s="410"/>
      <c r="J37" s="410"/>
      <c r="K37" s="410"/>
      <c r="L37" s="410"/>
    </row>
    <row r="38" spans="1:15" s="387" customFormat="1" ht="15.75" customHeight="1" thickBot="1">
      <c r="C38" s="404"/>
      <c r="F38" s="1088" t="s">
        <v>167</v>
      </c>
      <c r="G38" s="1041"/>
      <c r="H38" s="1042" t="s">
        <v>168</v>
      </c>
      <c r="I38" s="1043"/>
      <c r="J38" s="1116"/>
      <c r="K38" s="1044"/>
      <c r="L38" s="1044"/>
      <c r="M38" s="1044"/>
      <c r="N38" s="1044"/>
      <c r="O38" s="1045"/>
    </row>
    <row r="39" spans="1:15" s="413" customFormat="1" ht="62.25" customHeight="1" thickBot="1">
      <c r="A39" s="411" t="s">
        <v>122</v>
      </c>
      <c r="B39" s="411" t="s">
        <v>169</v>
      </c>
      <c r="C39" s="896" t="s">
        <v>170</v>
      </c>
      <c r="D39" s="412" t="s">
        <v>171</v>
      </c>
      <c r="E39" s="412" t="s">
        <v>172</v>
      </c>
      <c r="F39" s="412" t="s">
        <v>173</v>
      </c>
      <c r="G39" s="411" t="s">
        <v>174</v>
      </c>
      <c r="H39" s="412" t="s">
        <v>175</v>
      </c>
      <c r="I39" s="411" t="s">
        <v>174</v>
      </c>
      <c r="J39" s="412" t="s">
        <v>176</v>
      </c>
      <c r="K39" s="411" t="s">
        <v>174</v>
      </c>
      <c r="L39" s="412" t="s">
        <v>177</v>
      </c>
      <c r="M39" s="411" t="s">
        <v>174</v>
      </c>
      <c r="N39" s="412" t="s">
        <v>178</v>
      </c>
      <c r="O39" s="411" t="s">
        <v>174</v>
      </c>
    </row>
    <row r="40" spans="1:15" s="418" customFormat="1" ht="13.5" thickBot="1">
      <c r="A40" s="1119">
        <v>17</v>
      </c>
      <c r="B40" s="1197"/>
      <c r="C40" s="772" t="s">
        <v>4286</v>
      </c>
      <c r="D40" s="976" t="s">
        <v>4284</v>
      </c>
      <c r="E40" s="977">
        <v>48510</v>
      </c>
      <c r="F40" s="900">
        <f>SUM(E40:E41)*(1-80%)</f>
        <v>9753.7999999999975</v>
      </c>
      <c r="G40" s="1198">
        <f>F40*B40</f>
        <v>0</v>
      </c>
      <c r="H40" s="901">
        <f>F40*0.0832</f>
        <v>811.51615999999979</v>
      </c>
      <c r="I40" s="1198">
        <f>H40*B40</f>
        <v>0</v>
      </c>
      <c r="J40" s="901">
        <f>F40*0.0313</f>
        <v>305.29393999999991</v>
      </c>
      <c r="K40" s="1198">
        <f>J40*B40</f>
        <v>0</v>
      </c>
      <c r="L40" s="417">
        <f>F40*0.0256</f>
        <v>249.69727999999995</v>
      </c>
      <c r="M40" s="1050">
        <f>L40*B40</f>
        <v>0</v>
      </c>
      <c r="N40" s="417">
        <f>F40*0.0213</f>
        <v>207.75593999999995</v>
      </c>
      <c r="O40" s="1050">
        <f>N40*B40</f>
        <v>0</v>
      </c>
    </row>
    <row r="41" spans="1:15" s="413" customFormat="1" ht="13.5" thickBot="1">
      <c r="A41" s="1125"/>
      <c r="B41" s="1182"/>
      <c r="C41" s="425" t="s">
        <v>179</v>
      </c>
      <c r="D41" s="922" t="s">
        <v>104</v>
      </c>
      <c r="E41" s="906">
        <v>259</v>
      </c>
      <c r="F41" s="913" t="s">
        <v>162</v>
      </c>
      <c r="G41" s="1202"/>
      <c r="H41" s="913" t="s">
        <v>162</v>
      </c>
      <c r="I41" s="1202"/>
      <c r="J41" s="913" t="s">
        <v>162</v>
      </c>
      <c r="K41" s="1202"/>
      <c r="L41" s="53" t="s">
        <v>162</v>
      </c>
      <c r="M41" s="1118"/>
      <c r="N41" s="53" t="s">
        <v>162</v>
      </c>
      <c r="O41" s="1118"/>
    </row>
    <row r="42" spans="1:15" s="413" customFormat="1" ht="13.5" thickBot="1">
      <c r="A42" s="908"/>
      <c r="B42" s="765"/>
      <c r="C42" s="765"/>
      <c r="D42" s="757"/>
      <c r="E42" s="784"/>
      <c r="F42" s="909"/>
      <c r="G42" s="758"/>
      <c r="H42" s="914"/>
      <c r="I42" s="758"/>
      <c r="J42" s="914"/>
      <c r="K42" s="759"/>
      <c r="L42" s="57"/>
      <c r="M42" s="55"/>
      <c r="N42" s="57"/>
      <c r="O42" s="56"/>
    </row>
    <row r="43" spans="1:15" s="418" customFormat="1" ht="13.5" thickBot="1">
      <c r="A43" s="1119" t="s">
        <v>141</v>
      </c>
      <c r="B43" s="1197"/>
      <c r="C43" s="772" t="s">
        <v>4286</v>
      </c>
      <c r="D43" s="976" t="s">
        <v>4284</v>
      </c>
      <c r="E43" s="977">
        <v>48510</v>
      </c>
      <c r="F43" s="900">
        <f>SUM(E43:E44)*(1-80%)</f>
        <v>9753.7999999999975</v>
      </c>
      <c r="G43" s="1198" t="s">
        <v>4289</v>
      </c>
      <c r="H43" s="901">
        <f>F43*0.0832+I30/12</f>
        <v>921.51615999999979</v>
      </c>
      <c r="I43" s="1198">
        <f>H43*B43</f>
        <v>0</v>
      </c>
      <c r="J43" s="901">
        <f>F43*0.0313+I30/12</f>
        <v>415.29393999999991</v>
      </c>
      <c r="K43" s="1198">
        <f>J43*B43</f>
        <v>0</v>
      </c>
      <c r="L43" s="417">
        <f>F43*0.0256+I30/12</f>
        <v>359.69727999999998</v>
      </c>
      <c r="M43" s="1050">
        <f>L43*B43</f>
        <v>0</v>
      </c>
      <c r="N43" s="417">
        <f>F43*0.0213+I30/12</f>
        <v>317.75593999999995</v>
      </c>
      <c r="O43" s="1050">
        <f>N43*B43</f>
        <v>0</v>
      </c>
    </row>
    <row r="44" spans="1:15" s="413" customFormat="1" ht="13.5" thickBot="1">
      <c r="A44" s="1125"/>
      <c r="B44" s="1182"/>
      <c r="C44" s="425" t="s">
        <v>179</v>
      </c>
      <c r="D44" s="922" t="s">
        <v>104</v>
      </c>
      <c r="E44" s="906">
        <v>259</v>
      </c>
      <c r="F44" s="913" t="s">
        <v>162</v>
      </c>
      <c r="G44" s="1202"/>
      <c r="H44" s="913" t="s">
        <v>162</v>
      </c>
      <c r="I44" s="1202"/>
      <c r="J44" s="913" t="s">
        <v>162</v>
      </c>
      <c r="K44" s="1202"/>
      <c r="L44" s="53" t="s">
        <v>162</v>
      </c>
      <c r="M44" s="1118"/>
      <c r="N44" s="53" t="s">
        <v>162</v>
      </c>
      <c r="O44" s="1118"/>
    </row>
    <row r="45" spans="1:15" s="413" customFormat="1" ht="13.5" thickBot="1">
      <c r="A45" s="908"/>
      <c r="B45" s="765"/>
      <c r="C45" s="765"/>
      <c r="D45" s="757"/>
      <c r="E45" s="784"/>
      <c r="F45" s="909"/>
      <c r="G45" s="758"/>
      <c r="H45" s="914"/>
      <c r="I45" s="758"/>
      <c r="J45" s="914"/>
      <c r="K45" s="759"/>
      <c r="L45" s="57"/>
      <c r="M45" s="55"/>
      <c r="N45" s="57"/>
      <c r="O45" s="56"/>
    </row>
    <row r="46" spans="1:15" s="418" customFormat="1" ht="13.5" thickBot="1">
      <c r="A46" s="1119" t="s">
        <v>142</v>
      </c>
      <c r="B46" s="1197"/>
      <c r="C46" s="772" t="s">
        <v>4286</v>
      </c>
      <c r="D46" s="976" t="s">
        <v>4284</v>
      </c>
      <c r="E46" s="977">
        <v>48510</v>
      </c>
      <c r="F46" s="900">
        <f>SUM(E46:E47)*(1-80%)</f>
        <v>9753.7999999999975</v>
      </c>
      <c r="G46" s="1198">
        <f>F46*B46</f>
        <v>0</v>
      </c>
      <c r="H46" s="901">
        <f>F46*0.0832+N30/12</f>
        <v>971.51615999999979</v>
      </c>
      <c r="I46" s="1198">
        <f>H46*B46</f>
        <v>0</v>
      </c>
      <c r="J46" s="901">
        <f>F46*0.0313+N30/12</f>
        <v>465.29393999999991</v>
      </c>
      <c r="K46" s="1198">
        <f>J46*B46</f>
        <v>0</v>
      </c>
      <c r="L46" s="417">
        <f>F46*0.0256+N30/12</f>
        <v>409.69727999999998</v>
      </c>
      <c r="M46" s="1050">
        <f>L46*B46</f>
        <v>0</v>
      </c>
      <c r="N46" s="417">
        <f>F46*0.0213+N30/12</f>
        <v>367.75593999999995</v>
      </c>
      <c r="O46" s="1050">
        <f>N46*B46</f>
        <v>0</v>
      </c>
    </row>
    <row r="47" spans="1:15" s="413" customFormat="1" ht="13.5" thickBot="1">
      <c r="A47" s="1125"/>
      <c r="B47" s="1182"/>
      <c r="C47" s="425" t="s">
        <v>179</v>
      </c>
      <c r="D47" s="922" t="s">
        <v>104</v>
      </c>
      <c r="E47" s="906">
        <v>259</v>
      </c>
      <c r="F47" s="913" t="s">
        <v>162</v>
      </c>
      <c r="G47" s="1202"/>
      <c r="H47" s="913" t="s">
        <v>162</v>
      </c>
      <c r="I47" s="1202"/>
      <c r="J47" s="913" t="s">
        <v>162</v>
      </c>
      <c r="K47" s="1202"/>
      <c r="L47" s="828" t="s">
        <v>162</v>
      </c>
      <c r="M47" s="1117"/>
      <c r="N47" s="828" t="s">
        <v>162</v>
      </c>
      <c r="O47" s="1117"/>
    </row>
    <row r="48" spans="1:15" s="729" customFormat="1" ht="13.5" customHeight="1" thickBot="1">
      <c r="A48" s="1221" t="s">
        <v>182</v>
      </c>
      <c r="B48" s="1044"/>
      <c r="C48" s="1044"/>
      <c r="D48" s="1044"/>
      <c r="E48" s="1044"/>
      <c r="F48" s="1055"/>
      <c r="G48" s="1055"/>
      <c r="H48" s="1055"/>
      <c r="I48" s="1055"/>
      <c r="J48" s="1055"/>
      <c r="K48" s="1055"/>
      <c r="L48" s="1055"/>
      <c r="M48" s="1055"/>
      <c r="N48" s="1055"/>
      <c r="O48" s="1056"/>
    </row>
    <row r="49" spans="1:16" s="413" customFormat="1" ht="13.5" thickBot="1">
      <c r="A49" s="1181"/>
      <c r="B49" s="915"/>
      <c r="C49" s="339" t="s">
        <v>209</v>
      </c>
      <c r="D49" s="340" t="s">
        <v>66</v>
      </c>
      <c r="E49" s="925">
        <v>1042</v>
      </c>
      <c r="F49" s="814">
        <f t="shared" ref="F49:F93" si="0">E49*(1-40%)</f>
        <v>625.19999999999993</v>
      </c>
      <c r="G49" s="527">
        <f t="shared" ref="G49:G93" si="1">F49*B49</f>
        <v>0</v>
      </c>
      <c r="H49" s="527">
        <f t="shared" ref="H49:H93" si="2">F49*0.0832</f>
        <v>52.016639999999995</v>
      </c>
      <c r="I49" s="527">
        <f t="shared" ref="I49:I93" si="3">H49*B49</f>
        <v>0</v>
      </c>
      <c r="J49" s="527">
        <f t="shared" ref="J49:J93" si="4">F49*0.0313</f>
        <v>19.568759999999997</v>
      </c>
      <c r="K49" s="527">
        <f t="shared" ref="K49:K93" si="5">J49*B49</f>
        <v>0</v>
      </c>
      <c r="L49" s="527">
        <f t="shared" ref="L49:L93" si="6">F49*0.0256</f>
        <v>16.005119999999998</v>
      </c>
      <c r="M49" s="527">
        <f t="shared" ref="M49:M93" si="7">L49*B49</f>
        <v>0</v>
      </c>
      <c r="N49" s="527">
        <f t="shared" ref="N49:N93" si="8">F49*0.0213</f>
        <v>13.316759999999999</v>
      </c>
      <c r="O49" s="527">
        <f t="shared" ref="O49:O93" si="9">N49*B49</f>
        <v>0</v>
      </c>
      <c r="P49" s="788"/>
    </row>
    <row r="50" spans="1:16" s="413" customFormat="1" ht="13.5" thickBot="1">
      <c r="A50" s="1182"/>
      <c r="B50" s="916"/>
      <c r="C50" s="339" t="s">
        <v>486</v>
      </c>
      <c r="D50" s="340" t="s">
        <v>4250</v>
      </c>
      <c r="E50" s="925">
        <v>129.99</v>
      </c>
      <c r="F50" s="814">
        <f t="shared" si="0"/>
        <v>77.994</v>
      </c>
      <c r="G50" s="527">
        <f t="shared" si="1"/>
        <v>0</v>
      </c>
      <c r="H50" s="527">
        <f t="shared" si="2"/>
        <v>6.4891008000000001</v>
      </c>
      <c r="I50" s="527">
        <f t="shared" si="3"/>
        <v>0</v>
      </c>
      <c r="J50" s="527">
        <f t="shared" si="4"/>
        <v>2.4412122000000003</v>
      </c>
      <c r="K50" s="527">
        <f t="shared" si="5"/>
        <v>0</v>
      </c>
      <c r="L50" s="527">
        <f t="shared" si="6"/>
        <v>1.9966464000000002</v>
      </c>
      <c r="M50" s="527">
        <f t="shared" si="7"/>
        <v>0</v>
      </c>
      <c r="N50" s="527">
        <f t="shared" si="8"/>
        <v>1.6612722</v>
      </c>
      <c r="O50" s="527">
        <f t="shared" si="9"/>
        <v>0</v>
      </c>
      <c r="P50" s="788"/>
    </row>
    <row r="51" spans="1:16" s="413" customFormat="1" ht="26.25" thickBot="1">
      <c r="A51" s="1182"/>
      <c r="B51" s="916"/>
      <c r="C51" s="339" t="s">
        <v>3491</v>
      </c>
      <c r="D51" s="340" t="s">
        <v>4251</v>
      </c>
      <c r="E51" s="925">
        <v>399</v>
      </c>
      <c r="F51" s="814">
        <f t="shared" si="0"/>
        <v>239.39999999999998</v>
      </c>
      <c r="G51" s="527">
        <f t="shared" si="1"/>
        <v>0</v>
      </c>
      <c r="H51" s="527">
        <f>F51*0.0832</f>
        <v>19.918079999999996</v>
      </c>
      <c r="I51" s="527">
        <f t="shared" si="3"/>
        <v>0</v>
      </c>
      <c r="J51" s="527">
        <f t="shared" si="4"/>
        <v>7.49322</v>
      </c>
      <c r="K51" s="527">
        <f t="shared" si="5"/>
        <v>0</v>
      </c>
      <c r="L51" s="527">
        <f t="shared" si="6"/>
        <v>6.1286399999999999</v>
      </c>
      <c r="M51" s="527">
        <f t="shared" si="7"/>
        <v>0</v>
      </c>
      <c r="N51" s="527">
        <f t="shared" si="8"/>
        <v>5.099219999999999</v>
      </c>
      <c r="O51" s="527">
        <f t="shared" si="9"/>
        <v>0</v>
      </c>
      <c r="P51" s="788"/>
    </row>
    <row r="52" spans="1:16" s="413" customFormat="1" ht="13.5" thickBot="1">
      <c r="A52" s="1182"/>
      <c r="B52" s="916"/>
      <c r="C52" s="339" t="s">
        <v>2242</v>
      </c>
      <c r="D52" s="340" t="s">
        <v>4252</v>
      </c>
      <c r="E52" s="925">
        <v>79</v>
      </c>
      <c r="F52" s="814">
        <f t="shared" si="0"/>
        <v>47.4</v>
      </c>
      <c r="G52" s="527">
        <f t="shared" si="1"/>
        <v>0</v>
      </c>
      <c r="H52" s="527">
        <f t="shared" si="2"/>
        <v>3.9436799999999996</v>
      </c>
      <c r="I52" s="527">
        <f t="shared" si="3"/>
        <v>0</v>
      </c>
      <c r="J52" s="527">
        <f t="shared" si="4"/>
        <v>1.4836199999999999</v>
      </c>
      <c r="K52" s="527">
        <f t="shared" si="5"/>
        <v>0</v>
      </c>
      <c r="L52" s="527">
        <f t="shared" si="6"/>
        <v>1.2134400000000001</v>
      </c>
      <c r="M52" s="527">
        <f t="shared" si="7"/>
        <v>0</v>
      </c>
      <c r="N52" s="527">
        <f t="shared" si="8"/>
        <v>1.00962</v>
      </c>
      <c r="O52" s="527">
        <f t="shared" si="9"/>
        <v>0</v>
      </c>
      <c r="P52" s="788"/>
    </row>
    <row r="53" spans="1:16" s="413" customFormat="1" ht="26.25" thickBot="1">
      <c r="A53" s="1182"/>
      <c r="B53" s="916"/>
      <c r="C53" s="339" t="s">
        <v>2224</v>
      </c>
      <c r="D53" s="340" t="s">
        <v>4253</v>
      </c>
      <c r="E53" s="925">
        <v>300</v>
      </c>
      <c r="F53" s="693">
        <f t="shared" si="0"/>
        <v>180</v>
      </c>
      <c r="G53" s="527">
        <f t="shared" si="1"/>
        <v>0</v>
      </c>
      <c r="H53" s="786">
        <f t="shared" si="2"/>
        <v>14.975999999999999</v>
      </c>
      <c r="I53" s="527">
        <f t="shared" si="3"/>
        <v>0</v>
      </c>
      <c r="J53" s="786">
        <f t="shared" si="4"/>
        <v>5.6340000000000003</v>
      </c>
      <c r="K53" s="527">
        <f t="shared" si="5"/>
        <v>0</v>
      </c>
      <c r="L53" s="786">
        <f t="shared" si="6"/>
        <v>4.6080000000000005</v>
      </c>
      <c r="M53" s="527">
        <f t="shared" si="7"/>
        <v>0</v>
      </c>
      <c r="N53" s="786">
        <f t="shared" si="8"/>
        <v>3.8340000000000001</v>
      </c>
      <c r="O53" s="527">
        <f t="shared" si="9"/>
        <v>0</v>
      </c>
      <c r="P53" s="788"/>
    </row>
    <row r="54" spans="1:16" s="413" customFormat="1" ht="13.5" thickBot="1">
      <c r="A54" s="1182"/>
      <c r="B54" s="916"/>
      <c r="C54" s="339" t="s">
        <v>4067</v>
      </c>
      <c r="D54" s="340" t="s">
        <v>4254</v>
      </c>
      <c r="E54" s="925">
        <v>329</v>
      </c>
      <c r="F54" s="693">
        <f t="shared" si="0"/>
        <v>197.4</v>
      </c>
      <c r="G54" s="786">
        <f t="shared" si="1"/>
        <v>0</v>
      </c>
      <c r="H54" s="786">
        <f t="shared" si="2"/>
        <v>16.423680000000001</v>
      </c>
      <c r="I54" s="786">
        <f t="shared" si="3"/>
        <v>0</v>
      </c>
      <c r="J54" s="786">
        <f t="shared" si="4"/>
        <v>6.1786200000000004</v>
      </c>
      <c r="K54" s="786">
        <f t="shared" si="5"/>
        <v>0</v>
      </c>
      <c r="L54" s="786">
        <f t="shared" si="6"/>
        <v>5.0534400000000002</v>
      </c>
      <c r="M54" s="786">
        <f t="shared" si="7"/>
        <v>0</v>
      </c>
      <c r="N54" s="786">
        <f t="shared" si="8"/>
        <v>4.2046200000000002</v>
      </c>
      <c r="O54" s="786">
        <f t="shared" si="9"/>
        <v>0</v>
      </c>
      <c r="P54" s="788"/>
    </row>
    <row r="55" spans="1:16" s="413" customFormat="1" ht="26.25" thickBot="1">
      <c r="A55" s="1182"/>
      <c r="B55" s="916"/>
      <c r="C55" s="339" t="s">
        <v>473</v>
      </c>
      <c r="D55" s="340" t="s">
        <v>479</v>
      </c>
      <c r="E55" s="925">
        <v>220</v>
      </c>
      <c r="F55" s="693">
        <f t="shared" si="0"/>
        <v>132</v>
      </c>
      <c r="G55" s="786">
        <f t="shared" si="1"/>
        <v>0</v>
      </c>
      <c r="H55" s="786">
        <f t="shared" si="2"/>
        <v>10.9824</v>
      </c>
      <c r="I55" s="786">
        <f t="shared" si="3"/>
        <v>0</v>
      </c>
      <c r="J55" s="786">
        <f t="shared" si="4"/>
        <v>4.1316000000000006</v>
      </c>
      <c r="K55" s="786">
        <f t="shared" si="5"/>
        <v>0</v>
      </c>
      <c r="L55" s="786">
        <f t="shared" si="6"/>
        <v>3.3792</v>
      </c>
      <c r="M55" s="786">
        <f t="shared" si="7"/>
        <v>0</v>
      </c>
      <c r="N55" s="786">
        <f t="shared" si="8"/>
        <v>2.8115999999999999</v>
      </c>
      <c r="O55" s="786">
        <f t="shared" si="9"/>
        <v>0</v>
      </c>
      <c r="P55" s="788"/>
    </row>
    <row r="56" spans="1:16" s="413" customFormat="1" ht="26.25" thickBot="1">
      <c r="A56" s="1182"/>
      <c r="B56" s="916"/>
      <c r="C56" s="339" t="s">
        <v>4266</v>
      </c>
      <c r="D56" s="340" t="s">
        <v>4255</v>
      </c>
      <c r="E56" s="925">
        <v>307</v>
      </c>
      <c r="F56" s="693">
        <f t="shared" si="0"/>
        <v>184.2</v>
      </c>
      <c r="G56" s="786">
        <f t="shared" si="1"/>
        <v>0</v>
      </c>
      <c r="H56" s="786">
        <f t="shared" si="2"/>
        <v>15.325439999999999</v>
      </c>
      <c r="I56" s="786">
        <f t="shared" si="3"/>
        <v>0</v>
      </c>
      <c r="J56" s="786">
        <f t="shared" si="4"/>
        <v>5.76546</v>
      </c>
      <c r="K56" s="786">
        <f t="shared" si="5"/>
        <v>0</v>
      </c>
      <c r="L56" s="786">
        <f t="shared" si="6"/>
        <v>4.7155199999999997</v>
      </c>
      <c r="M56" s="786">
        <f t="shared" si="7"/>
        <v>0</v>
      </c>
      <c r="N56" s="786">
        <f t="shared" si="8"/>
        <v>3.9234599999999995</v>
      </c>
      <c r="O56" s="786">
        <f t="shared" si="9"/>
        <v>0</v>
      </c>
      <c r="P56" s="788"/>
    </row>
    <row r="57" spans="1:16" s="413" customFormat="1" ht="13.5" thickBot="1">
      <c r="A57" s="1182"/>
      <c r="B57" s="916"/>
      <c r="C57" s="339" t="s">
        <v>3489</v>
      </c>
      <c r="D57" s="340" t="s">
        <v>3512</v>
      </c>
      <c r="E57" s="925">
        <v>934</v>
      </c>
      <c r="F57" s="693">
        <f t="shared" si="0"/>
        <v>560.4</v>
      </c>
      <c r="G57" s="786">
        <f>F57*B57</f>
        <v>0</v>
      </c>
      <c r="H57" s="786">
        <f t="shared" si="2"/>
        <v>46.625279999999997</v>
      </c>
      <c r="I57" s="786">
        <f t="shared" si="3"/>
        <v>0</v>
      </c>
      <c r="J57" s="786">
        <f t="shared" si="4"/>
        <v>17.540520000000001</v>
      </c>
      <c r="K57" s="786">
        <f t="shared" si="5"/>
        <v>0</v>
      </c>
      <c r="L57" s="786">
        <f t="shared" si="6"/>
        <v>14.34624</v>
      </c>
      <c r="M57" s="786">
        <f t="shared" si="7"/>
        <v>0</v>
      </c>
      <c r="N57" s="786">
        <f t="shared" si="8"/>
        <v>11.93652</v>
      </c>
      <c r="O57" s="786">
        <f t="shared" si="9"/>
        <v>0</v>
      </c>
      <c r="P57" s="788"/>
    </row>
    <row r="58" spans="1:16" s="413" customFormat="1" ht="13.5" thickBot="1">
      <c r="A58" s="1182"/>
      <c r="B58" s="916"/>
      <c r="C58" s="339" t="s">
        <v>3490</v>
      </c>
      <c r="D58" s="340" t="s">
        <v>723</v>
      </c>
      <c r="E58" s="925">
        <v>222.6</v>
      </c>
      <c r="F58" s="693">
        <f t="shared" si="0"/>
        <v>133.56</v>
      </c>
      <c r="G58" s="786">
        <f t="shared" si="1"/>
        <v>0</v>
      </c>
      <c r="H58" s="786">
        <f t="shared" si="2"/>
        <v>11.112192</v>
      </c>
      <c r="I58" s="786">
        <f t="shared" si="3"/>
        <v>0</v>
      </c>
      <c r="J58" s="786">
        <f t="shared" si="4"/>
        <v>4.180428</v>
      </c>
      <c r="K58" s="786">
        <f t="shared" si="5"/>
        <v>0</v>
      </c>
      <c r="L58" s="786">
        <f t="shared" si="6"/>
        <v>3.4191360000000004</v>
      </c>
      <c r="M58" s="786">
        <f t="shared" si="7"/>
        <v>0</v>
      </c>
      <c r="N58" s="786">
        <f t="shared" si="8"/>
        <v>2.8448280000000001</v>
      </c>
      <c r="O58" s="786">
        <f t="shared" si="9"/>
        <v>0</v>
      </c>
      <c r="P58" s="788"/>
    </row>
    <row r="59" spans="1:16" s="413" customFormat="1" ht="26.25" thickBot="1">
      <c r="A59" s="1182"/>
      <c r="B59" s="916"/>
      <c r="C59" s="339" t="s">
        <v>455</v>
      </c>
      <c r="D59" s="340" t="s">
        <v>3506</v>
      </c>
      <c r="E59" s="925">
        <v>1176</v>
      </c>
      <c r="F59" s="693">
        <f t="shared" si="0"/>
        <v>705.6</v>
      </c>
      <c r="G59" s="786">
        <f t="shared" si="1"/>
        <v>0</v>
      </c>
      <c r="H59" s="786">
        <f t="shared" si="2"/>
        <v>58.705919999999999</v>
      </c>
      <c r="I59" s="786">
        <f t="shared" si="3"/>
        <v>0</v>
      </c>
      <c r="J59" s="786">
        <f t="shared" si="4"/>
        <v>22.085280000000001</v>
      </c>
      <c r="K59" s="786">
        <f t="shared" si="5"/>
        <v>0</v>
      </c>
      <c r="L59" s="786">
        <f t="shared" si="6"/>
        <v>18.063360000000003</v>
      </c>
      <c r="M59" s="786">
        <f t="shared" si="7"/>
        <v>0</v>
      </c>
      <c r="N59" s="786">
        <f t="shared" si="8"/>
        <v>15.02928</v>
      </c>
      <c r="O59" s="786">
        <f t="shared" si="9"/>
        <v>0</v>
      </c>
      <c r="P59" s="788"/>
    </row>
    <row r="60" spans="1:16" s="413" customFormat="1" ht="13.5" thickBot="1">
      <c r="A60" s="1182"/>
      <c r="B60" s="916"/>
      <c r="C60" s="339" t="s">
        <v>475</v>
      </c>
      <c r="D60" s="340" t="s">
        <v>4256</v>
      </c>
      <c r="E60" s="925">
        <v>1177</v>
      </c>
      <c r="F60" s="693">
        <f t="shared" si="0"/>
        <v>706.19999999999993</v>
      </c>
      <c r="G60" s="786">
        <f t="shared" si="1"/>
        <v>0</v>
      </c>
      <c r="H60" s="786">
        <f t="shared" si="2"/>
        <v>58.755839999999992</v>
      </c>
      <c r="I60" s="786">
        <f t="shared" si="3"/>
        <v>0</v>
      </c>
      <c r="J60" s="786">
        <f t="shared" si="4"/>
        <v>22.10406</v>
      </c>
      <c r="K60" s="786">
        <f t="shared" si="5"/>
        <v>0</v>
      </c>
      <c r="L60" s="786">
        <f t="shared" si="6"/>
        <v>18.078720000000001</v>
      </c>
      <c r="M60" s="786">
        <f t="shared" si="7"/>
        <v>0</v>
      </c>
      <c r="N60" s="786">
        <f t="shared" si="8"/>
        <v>15.042059999999998</v>
      </c>
      <c r="O60" s="786">
        <f t="shared" si="9"/>
        <v>0</v>
      </c>
      <c r="P60" s="788"/>
    </row>
    <row r="61" spans="1:16" s="413" customFormat="1" ht="26.25" thickBot="1">
      <c r="A61" s="1182"/>
      <c r="B61" s="916"/>
      <c r="C61" s="339" t="s">
        <v>3782</v>
      </c>
      <c r="D61" s="340" t="s">
        <v>4257</v>
      </c>
      <c r="E61" s="925">
        <f>1925+325</f>
        <v>2250</v>
      </c>
      <c r="F61" s="693">
        <f t="shared" si="0"/>
        <v>1350</v>
      </c>
      <c r="G61" s="786">
        <f t="shared" si="1"/>
        <v>0</v>
      </c>
      <c r="H61" s="786">
        <f t="shared" si="2"/>
        <v>112.32</v>
      </c>
      <c r="I61" s="786">
        <f t="shared" si="3"/>
        <v>0</v>
      </c>
      <c r="J61" s="786">
        <f t="shared" si="4"/>
        <v>42.255000000000003</v>
      </c>
      <c r="K61" s="786">
        <f t="shared" si="5"/>
        <v>0</v>
      </c>
      <c r="L61" s="786">
        <f t="shared" si="6"/>
        <v>34.56</v>
      </c>
      <c r="M61" s="786">
        <f t="shared" si="7"/>
        <v>0</v>
      </c>
      <c r="N61" s="786">
        <f t="shared" si="8"/>
        <v>28.754999999999999</v>
      </c>
      <c r="O61" s="786">
        <f t="shared" si="9"/>
        <v>0</v>
      </c>
      <c r="P61" s="788"/>
    </row>
    <row r="62" spans="1:16" s="413" customFormat="1" ht="26.25" thickBot="1">
      <c r="A62" s="1182"/>
      <c r="B62" s="916"/>
      <c r="C62" s="339" t="s">
        <v>3783</v>
      </c>
      <c r="D62" s="340" t="s">
        <v>4258</v>
      </c>
      <c r="E62" s="925">
        <f>3515+325</f>
        <v>3840</v>
      </c>
      <c r="F62" s="693">
        <f t="shared" si="0"/>
        <v>2304</v>
      </c>
      <c r="G62" s="786">
        <f t="shared" si="1"/>
        <v>0</v>
      </c>
      <c r="H62" s="786">
        <f t="shared" si="2"/>
        <v>191.69279999999998</v>
      </c>
      <c r="I62" s="786">
        <f t="shared" si="3"/>
        <v>0</v>
      </c>
      <c r="J62" s="786">
        <f t="shared" si="4"/>
        <v>72.115200000000002</v>
      </c>
      <c r="K62" s="786">
        <f t="shared" si="5"/>
        <v>0</v>
      </c>
      <c r="L62" s="786">
        <f t="shared" si="6"/>
        <v>58.982400000000005</v>
      </c>
      <c r="M62" s="786">
        <f t="shared" si="7"/>
        <v>0</v>
      </c>
      <c r="N62" s="786">
        <f t="shared" si="8"/>
        <v>49.075199999999995</v>
      </c>
      <c r="O62" s="786">
        <f t="shared" si="9"/>
        <v>0</v>
      </c>
      <c r="P62" s="788"/>
    </row>
    <row r="63" spans="1:16" s="413" customFormat="1" ht="26.25" thickBot="1">
      <c r="A63" s="1182"/>
      <c r="B63" s="916"/>
      <c r="C63" s="339" t="s">
        <v>4267</v>
      </c>
      <c r="D63" s="340" t="s">
        <v>4259</v>
      </c>
      <c r="E63" s="925">
        <f>3432+325</f>
        <v>3757</v>
      </c>
      <c r="F63" s="693">
        <f t="shared" si="0"/>
        <v>2254.1999999999998</v>
      </c>
      <c r="G63" s="786">
        <f t="shared" si="1"/>
        <v>0</v>
      </c>
      <c r="H63" s="786">
        <f t="shared" si="2"/>
        <v>187.54943999999998</v>
      </c>
      <c r="I63" s="786">
        <f t="shared" si="3"/>
        <v>0</v>
      </c>
      <c r="J63" s="786">
        <f t="shared" si="4"/>
        <v>70.556460000000001</v>
      </c>
      <c r="K63" s="786">
        <f t="shared" si="5"/>
        <v>0</v>
      </c>
      <c r="L63" s="786">
        <f t="shared" si="6"/>
        <v>57.707519999999995</v>
      </c>
      <c r="M63" s="786">
        <f t="shared" si="7"/>
        <v>0</v>
      </c>
      <c r="N63" s="786">
        <f t="shared" si="8"/>
        <v>48.014459999999993</v>
      </c>
      <c r="O63" s="786">
        <f t="shared" si="9"/>
        <v>0</v>
      </c>
      <c r="P63" s="788"/>
    </row>
    <row r="64" spans="1:16" s="413" customFormat="1" ht="26.25" thickBot="1">
      <c r="A64" s="1182"/>
      <c r="B64" s="916"/>
      <c r="C64" s="339" t="s">
        <v>4268</v>
      </c>
      <c r="D64" s="340" t="s">
        <v>4260</v>
      </c>
      <c r="E64" s="925">
        <f>5060+325</f>
        <v>5385</v>
      </c>
      <c r="F64" s="693">
        <f t="shared" si="0"/>
        <v>3231</v>
      </c>
      <c r="G64" s="786">
        <f t="shared" si="1"/>
        <v>0</v>
      </c>
      <c r="H64" s="786">
        <f t="shared" si="2"/>
        <v>268.81919999999997</v>
      </c>
      <c r="I64" s="786">
        <f t="shared" si="3"/>
        <v>0</v>
      </c>
      <c r="J64" s="786">
        <f t="shared" si="4"/>
        <v>101.13030000000001</v>
      </c>
      <c r="K64" s="786">
        <f t="shared" si="5"/>
        <v>0</v>
      </c>
      <c r="L64" s="786">
        <f t="shared" si="6"/>
        <v>82.7136</v>
      </c>
      <c r="M64" s="786">
        <f t="shared" si="7"/>
        <v>0</v>
      </c>
      <c r="N64" s="786">
        <f t="shared" si="8"/>
        <v>68.820300000000003</v>
      </c>
      <c r="O64" s="786">
        <f t="shared" si="9"/>
        <v>0</v>
      </c>
      <c r="P64" s="788"/>
    </row>
    <row r="65" spans="1:16" s="413" customFormat="1" ht="13.5" thickBot="1">
      <c r="A65" s="1182"/>
      <c r="B65" s="916"/>
      <c r="C65" s="339" t="s">
        <v>476</v>
      </c>
      <c r="D65" s="340" t="s">
        <v>3514</v>
      </c>
      <c r="E65" s="925">
        <v>550</v>
      </c>
      <c r="F65" s="693">
        <f t="shared" si="0"/>
        <v>330</v>
      </c>
      <c r="G65" s="786">
        <f t="shared" si="1"/>
        <v>0</v>
      </c>
      <c r="H65" s="786">
        <f t="shared" si="2"/>
        <v>27.456</v>
      </c>
      <c r="I65" s="786">
        <f t="shared" si="3"/>
        <v>0</v>
      </c>
      <c r="J65" s="786">
        <f t="shared" si="4"/>
        <v>10.329000000000001</v>
      </c>
      <c r="K65" s="786">
        <f t="shared" si="5"/>
        <v>0</v>
      </c>
      <c r="L65" s="786">
        <f t="shared" si="6"/>
        <v>8.4480000000000004</v>
      </c>
      <c r="M65" s="786">
        <f t="shared" si="7"/>
        <v>0</v>
      </c>
      <c r="N65" s="786">
        <f t="shared" si="8"/>
        <v>7.0289999999999999</v>
      </c>
      <c r="O65" s="786">
        <f t="shared" si="9"/>
        <v>0</v>
      </c>
      <c r="P65" s="788"/>
    </row>
    <row r="66" spans="1:16" s="413" customFormat="1" ht="13.5" thickBot="1">
      <c r="A66" s="1182"/>
      <c r="B66" s="916"/>
      <c r="C66" s="339" t="s">
        <v>4269</v>
      </c>
      <c r="D66" s="340" t="s">
        <v>4261</v>
      </c>
      <c r="E66" s="925">
        <v>95</v>
      </c>
      <c r="F66" s="693">
        <f t="shared" si="0"/>
        <v>57</v>
      </c>
      <c r="G66" s="786">
        <f t="shared" si="1"/>
        <v>0</v>
      </c>
      <c r="H66" s="786">
        <f t="shared" si="2"/>
        <v>4.7423999999999999</v>
      </c>
      <c r="I66" s="786">
        <f t="shared" si="3"/>
        <v>0</v>
      </c>
      <c r="J66" s="786">
        <f t="shared" si="4"/>
        <v>1.7841</v>
      </c>
      <c r="K66" s="786">
        <f t="shared" si="5"/>
        <v>0</v>
      </c>
      <c r="L66" s="786">
        <f t="shared" si="6"/>
        <v>1.4592000000000001</v>
      </c>
      <c r="M66" s="786">
        <f t="shared" si="7"/>
        <v>0</v>
      </c>
      <c r="N66" s="786">
        <f t="shared" si="8"/>
        <v>1.2141</v>
      </c>
      <c r="O66" s="786">
        <f t="shared" si="9"/>
        <v>0</v>
      </c>
      <c r="P66" s="788"/>
    </row>
    <row r="67" spans="1:16" s="413" customFormat="1" ht="13.5" thickBot="1">
      <c r="A67" s="1182"/>
      <c r="B67" s="916"/>
      <c r="C67" s="339" t="s">
        <v>692</v>
      </c>
      <c r="D67" s="340" t="s">
        <v>3510</v>
      </c>
      <c r="E67" s="925">
        <v>136</v>
      </c>
      <c r="F67" s="693">
        <f t="shared" si="0"/>
        <v>81.599999999999994</v>
      </c>
      <c r="G67" s="786">
        <f t="shared" si="1"/>
        <v>0</v>
      </c>
      <c r="H67" s="786">
        <f t="shared" si="2"/>
        <v>6.7891199999999996</v>
      </c>
      <c r="I67" s="786">
        <f t="shared" si="3"/>
        <v>0</v>
      </c>
      <c r="J67" s="786">
        <f t="shared" si="4"/>
        <v>2.5540799999999999</v>
      </c>
      <c r="K67" s="786">
        <f t="shared" si="5"/>
        <v>0</v>
      </c>
      <c r="L67" s="786">
        <f t="shared" si="6"/>
        <v>2.0889600000000002</v>
      </c>
      <c r="M67" s="786">
        <f t="shared" si="7"/>
        <v>0</v>
      </c>
      <c r="N67" s="786">
        <f t="shared" si="8"/>
        <v>1.7380799999999998</v>
      </c>
      <c r="O67" s="786">
        <f t="shared" si="9"/>
        <v>0</v>
      </c>
      <c r="P67" s="788"/>
    </row>
    <row r="68" spans="1:16" s="413" customFormat="1" ht="26.25" thickBot="1">
      <c r="A68" s="1182"/>
      <c r="B68" s="916"/>
      <c r="C68" s="339" t="s">
        <v>4270</v>
      </c>
      <c r="D68" s="340" t="s">
        <v>4262</v>
      </c>
      <c r="E68" s="925">
        <v>175</v>
      </c>
      <c r="F68" s="693">
        <f t="shared" si="0"/>
        <v>105</v>
      </c>
      <c r="G68" s="786">
        <f t="shared" si="1"/>
        <v>0</v>
      </c>
      <c r="H68" s="786">
        <f t="shared" si="2"/>
        <v>8.7359999999999989</v>
      </c>
      <c r="I68" s="786">
        <f t="shared" si="3"/>
        <v>0</v>
      </c>
      <c r="J68" s="786">
        <f t="shared" si="4"/>
        <v>3.2865000000000002</v>
      </c>
      <c r="K68" s="786">
        <f t="shared" si="5"/>
        <v>0</v>
      </c>
      <c r="L68" s="786">
        <f t="shared" si="6"/>
        <v>2.6880000000000002</v>
      </c>
      <c r="M68" s="786">
        <f t="shared" si="7"/>
        <v>0</v>
      </c>
      <c r="N68" s="786">
        <f t="shared" si="8"/>
        <v>2.2364999999999999</v>
      </c>
      <c r="O68" s="786">
        <f t="shared" si="9"/>
        <v>0</v>
      </c>
      <c r="P68" s="788"/>
    </row>
    <row r="69" spans="1:16" s="413" customFormat="1" ht="13.5" thickBot="1">
      <c r="A69" s="1182"/>
      <c r="B69" s="916"/>
      <c r="C69" s="339" t="s">
        <v>693</v>
      </c>
      <c r="D69" s="340" t="s">
        <v>674</v>
      </c>
      <c r="E69" s="925">
        <v>139</v>
      </c>
      <c r="F69" s="693">
        <f t="shared" si="0"/>
        <v>83.399999999999991</v>
      </c>
      <c r="G69" s="786">
        <f t="shared" si="1"/>
        <v>0</v>
      </c>
      <c r="H69" s="786">
        <f t="shared" si="2"/>
        <v>6.9388799999999993</v>
      </c>
      <c r="I69" s="786">
        <f t="shared" si="3"/>
        <v>0</v>
      </c>
      <c r="J69" s="786">
        <f t="shared" si="4"/>
        <v>2.61042</v>
      </c>
      <c r="K69" s="786">
        <f t="shared" si="5"/>
        <v>0</v>
      </c>
      <c r="L69" s="786">
        <f t="shared" si="6"/>
        <v>2.13504</v>
      </c>
      <c r="M69" s="786">
        <f t="shared" si="7"/>
        <v>0</v>
      </c>
      <c r="N69" s="786">
        <f t="shared" si="8"/>
        <v>1.7764199999999997</v>
      </c>
      <c r="O69" s="786">
        <f t="shared" si="9"/>
        <v>0</v>
      </c>
      <c r="P69" s="788"/>
    </row>
    <row r="70" spans="1:16" s="413" customFormat="1" ht="26.25" thickBot="1">
      <c r="A70" s="1182"/>
      <c r="B70" s="916"/>
      <c r="C70" s="339" t="s">
        <v>439</v>
      </c>
      <c r="D70" s="340" t="s">
        <v>595</v>
      </c>
      <c r="E70" s="925">
        <v>785</v>
      </c>
      <c r="F70" s="693">
        <f t="shared" si="0"/>
        <v>471</v>
      </c>
      <c r="G70" s="786">
        <f t="shared" si="1"/>
        <v>0</v>
      </c>
      <c r="H70" s="786">
        <f t="shared" si="2"/>
        <v>39.187199999999997</v>
      </c>
      <c r="I70" s="786">
        <f t="shared" si="3"/>
        <v>0</v>
      </c>
      <c r="J70" s="786">
        <f t="shared" si="4"/>
        <v>14.7423</v>
      </c>
      <c r="K70" s="786">
        <f t="shared" si="5"/>
        <v>0</v>
      </c>
      <c r="L70" s="786">
        <f t="shared" si="6"/>
        <v>12.057600000000001</v>
      </c>
      <c r="M70" s="786">
        <f t="shared" si="7"/>
        <v>0</v>
      </c>
      <c r="N70" s="786">
        <f t="shared" si="8"/>
        <v>10.032299999999999</v>
      </c>
      <c r="O70" s="786">
        <f t="shared" si="9"/>
        <v>0</v>
      </c>
      <c r="P70" s="788"/>
    </row>
    <row r="71" spans="1:16" s="413" customFormat="1" ht="13.5" thickBot="1">
      <c r="A71" s="1182"/>
      <c r="B71" s="916"/>
      <c r="C71" s="339" t="s">
        <v>441</v>
      </c>
      <c r="D71" s="340" t="s">
        <v>596</v>
      </c>
      <c r="E71" s="925">
        <v>821</v>
      </c>
      <c r="F71" s="693">
        <f t="shared" si="0"/>
        <v>492.59999999999997</v>
      </c>
      <c r="G71" s="786">
        <f t="shared" si="1"/>
        <v>0</v>
      </c>
      <c r="H71" s="786">
        <f t="shared" si="2"/>
        <v>40.984319999999997</v>
      </c>
      <c r="I71" s="786">
        <f t="shared" si="3"/>
        <v>0</v>
      </c>
      <c r="J71" s="786">
        <f t="shared" si="4"/>
        <v>15.418379999999999</v>
      </c>
      <c r="K71" s="786">
        <f t="shared" si="5"/>
        <v>0</v>
      </c>
      <c r="L71" s="786">
        <f t="shared" si="6"/>
        <v>12.61056</v>
      </c>
      <c r="M71" s="786">
        <f t="shared" si="7"/>
        <v>0</v>
      </c>
      <c r="N71" s="786">
        <f t="shared" si="8"/>
        <v>10.492379999999999</v>
      </c>
      <c r="O71" s="786">
        <f t="shared" si="9"/>
        <v>0</v>
      </c>
      <c r="P71" s="788"/>
    </row>
    <row r="72" spans="1:16" s="413" customFormat="1" ht="26.25" thickBot="1">
      <c r="A72" s="1182"/>
      <c r="B72" s="916"/>
      <c r="C72" s="339" t="s">
        <v>442</v>
      </c>
      <c r="D72" s="340" t="s">
        <v>597</v>
      </c>
      <c r="E72" s="925">
        <v>690</v>
      </c>
      <c r="F72" s="693">
        <f t="shared" si="0"/>
        <v>414</v>
      </c>
      <c r="G72" s="786">
        <f t="shared" si="1"/>
        <v>0</v>
      </c>
      <c r="H72" s="786">
        <f t="shared" si="2"/>
        <v>34.444800000000001</v>
      </c>
      <c r="I72" s="786">
        <f t="shared" si="3"/>
        <v>0</v>
      </c>
      <c r="J72" s="786">
        <f t="shared" si="4"/>
        <v>12.9582</v>
      </c>
      <c r="K72" s="786">
        <f t="shared" si="5"/>
        <v>0</v>
      </c>
      <c r="L72" s="786">
        <f t="shared" si="6"/>
        <v>10.5984</v>
      </c>
      <c r="M72" s="786">
        <f t="shared" si="7"/>
        <v>0</v>
      </c>
      <c r="N72" s="786">
        <f t="shared" si="8"/>
        <v>8.8181999999999992</v>
      </c>
      <c r="O72" s="786">
        <f t="shared" si="9"/>
        <v>0</v>
      </c>
      <c r="P72" s="788"/>
    </row>
    <row r="73" spans="1:16" s="413" customFormat="1" ht="13.5" thickBot="1">
      <c r="A73" s="1182"/>
      <c r="B73" s="916"/>
      <c r="C73" s="339" t="s">
        <v>443</v>
      </c>
      <c r="D73" s="340" t="s">
        <v>598</v>
      </c>
      <c r="E73" s="925">
        <v>191</v>
      </c>
      <c r="F73" s="693">
        <f t="shared" si="0"/>
        <v>114.6</v>
      </c>
      <c r="G73" s="786">
        <f t="shared" si="1"/>
        <v>0</v>
      </c>
      <c r="H73" s="786">
        <f t="shared" si="2"/>
        <v>9.5347199999999983</v>
      </c>
      <c r="I73" s="786">
        <f t="shared" si="3"/>
        <v>0</v>
      </c>
      <c r="J73" s="786">
        <f t="shared" si="4"/>
        <v>3.5869800000000001</v>
      </c>
      <c r="K73" s="786">
        <f t="shared" si="5"/>
        <v>0</v>
      </c>
      <c r="L73" s="786">
        <f t="shared" si="6"/>
        <v>2.9337599999999999</v>
      </c>
      <c r="M73" s="786">
        <f t="shared" si="7"/>
        <v>0</v>
      </c>
      <c r="N73" s="786">
        <f t="shared" si="8"/>
        <v>2.4409799999999997</v>
      </c>
      <c r="O73" s="786">
        <f t="shared" si="9"/>
        <v>0</v>
      </c>
      <c r="P73" s="788"/>
    </row>
    <row r="74" spans="1:16" s="413" customFormat="1" ht="26.25" thickBot="1">
      <c r="A74" s="1182"/>
      <c r="B74" s="916"/>
      <c r="C74" s="339" t="s">
        <v>444</v>
      </c>
      <c r="D74" s="340" t="s">
        <v>680</v>
      </c>
      <c r="E74" s="925">
        <v>667.8</v>
      </c>
      <c r="F74" s="693">
        <f t="shared" si="0"/>
        <v>400.67999999999995</v>
      </c>
      <c r="G74" s="786">
        <f t="shared" si="1"/>
        <v>0</v>
      </c>
      <c r="H74" s="786">
        <f t="shared" si="2"/>
        <v>33.336575999999994</v>
      </c>
      <c r="I74" s="786">
        <f t="shared" si="3"/>
        <v>0</v>
      </c>
      <c r="J74" s="786">
        <f t="shared" si="4"/>
        <v>12.541283999999999</v>
      </c>
      <c r="K74" s="786">
        <f t="shared" si="5"/>
        <v>0</v>
      </c>
      <c r="L74" s="786">
        <f t="shared" si="6"/>
        <v>10.257408</v>
      </c>
      <c r="M74" s="786">
        <f t="shared" si="7"/>
        <v>0</v>
      </c>
      <c r="N74" s="786">
        <f t="shared" si="8"/>
        <v>8.5344839999999991</v>
      </c>
      <c r="O74" s="786">
        <f t="shared" si="9"/>
        <v>0</v>
      </c>
      <c r="P74" s="788"/>
    </row>
    <row r="75" spans="1:16" s="413" customFormat="1" ht="26.25" thickBot="1">
      <c r="A75" s="1182"/>
      <c r="B75" s="916"/>
      <c r="C75" s="339" t="s">
        <v>445</v>
      </c>
      <c r="D75" s="340" t="s">
        <v>117</v>
      </c>
      <c r="E75" s="925">
        <v>250</v>
      </c>
      <c r="F75" s="693">
        <f t="shared" si="0"/>
        <v>150</v>
      </c>
      <c r="G75" s="786">
        <f t="shared" si="1"/>
        <v>0</v>
      </c>
      <c r="H75" s="786">
        <f t="shared" si="2"/>
        <v>12.479999999999999</v>
      </c>
      <c r="I75" s="786">
        <f t="shared" si="3"/>
        <v>0</v>
      </c>
      <c r="J75" s="786">
        <f t="shared" si="4"/>
        <v>4.6950000000000003</v>
      </c>
      <c r="K75" s="786">
        <f t="shared" si="5"/>
        <v>0</v>
      </c>
      <c r="L75" s="786">
        <f t="shared" si="6"/>
        <v>3.8400000000000003</v>
      </c>
      <c r="M75" s="786">
        <f t="shared" si="7"/>
        <v>0</v>
      </c>
      <c r="N75" s="786">
        <f t="shared" si="8"/>
        <v>3.1949999999999998</v>
      </c>
      <c r="O75" s="786">
        <f t="shared" si="9"/>
        <v>0</v>
      </c>
      <c r="P75" s="788"/>
    </row>
    <row r="76" spans="1:16" s="413" customFormat="1" ht="13.5" thickBot="1">
      <c r="A76" s="1182"/>
      <c r="B76" s="916"/>
      <c r="C76" s="339" t="s">
        <v>3487</v>
      </c>
      <c r="D76" s="340" t="s">
        <v>3507</v>
      </c>
      <c r="E76" s="925">
        <v>250</v>
      </c>
      <c r="F76" s="693">
        <f t="shared" si="0"/>
        <v>150</v>
      </c>
      <c r="G76" s="786">
        <f t="shared" si="1"/>
        <v>0</v>
      </c>
      <c r="H76" s="786">
        <f t="shared" si="2"/>
        <v>12.479999999999999</v>
      </c>
      <c r="I76" s="786">
        <f t="shared" si="3"/>
        <v>0</v>
      </c>
      <c r="J76" s="786">
        <f t="shared" si="4"/>
        <v>4.6950000000000003</v>
      </c>
      <c r="K76" s="786">
        <f t="shared" si="5"/>
        <v>0</v>
      </c>
      <c r="L76" s="786">
        <f t="shared" si="6"/>
        <v>3.8400000000000003</v>
      </c>
      <c r="M76" s="786">
        <f t="shared" si="7"/>
        <v>0</v>
      </c>
      <c r="N76" s="786">
        <f t="shared" si="8"/>
        <v>3.1949999999999998</v>
      </c>
      <c r="O76" s="786">
        <f t="shared" si="9"/>
        <v>0</v>
      </c>
      <c r="P76" s="788"/>
    </row>
    <row r="77" spans="1:16" s="413" customFormat="1" ht="13.5" thickBot="1">
      <c r="A77" s="1182"/>
      <c r="B77" s="916"/>
      <c r="C77" s="339" t="s">
        <v>3606</v>
      </c>
      <c r="D77" s="340" t="s">
        <v>564</v>
      </c>
      <c r="E77" s="925">
        <v>3663</v>
      </c>
      <c r="F77" s="693">
        <f t="shared" si="0"/>
        <v>2197.7999999999997</v>
      </c>
      <c r="G77" s="786">
        <f t="shared" si="1"/>
        <v>0</v>
      </c>
      <c r="H77" s="786">
        <f t="shared" si="2"/>
        <v>182.85695999999996</v>
      </c>
      <c r="I77" s="786">
        <f t="shared" si="3"/>
        <v>0</v>
      </c>
      <c r="J77" s="786">
        <f t="shared" si="4"/>
        <v>68.791139999999999</v>
      </c>
      <c r="K77" s="786">
        <f t="shared" si="5"/>
        <v>0</v>
      </c>
      <c r="L77" s="786">
        <f t="shared" si="6"/>
        <v>56.263679999999994</v>
      </c>
      <c r="M77" s="786">
        <f t="shared" si="7"/>
        <v>0</v>
      </c>
      <c r="N77" s="786">
        <f t="shared" si="8"/>
        <v>46.81313999999999</v>
      </c>
      <c r="O77" s="786">
        <f t="shared" si="9"/>
        <v>0</v>
      </c>
      <c r="P77" s="788"/>
    </row>
    <row r="78" spans="1:16" s="413" customFormat="1" ht="13.5" thickBot="1">
      <c r="A78" s="1182"/>
      <c r="B78" s="916"/>
      <c r="C78" s="339" t="s">
        <v>3605</v>
      </c>
      <c r="D78" s="340" t="s">
        <v>565</v>
      </c>
      <c r="E78" s="925">
        <v>1947</v>
      </c>
      <c r="F78" s="693">
        <f t="shared" si="0"/>
        <v>1168.2</v>
      </c>
      <c r="G78" s="786">
        <f t="shared" si="1"/>
        <v>0</v>
      </c>
      <c r="H78" s="786">
        <f t="shared" si="2"/>
        <v>97.194239999999994</v>
      </c>
      <c r="I78" s="786">
        <f t="shared" si="3"/>
        <v>0</v>
      </c>
      <c r="J78" s="786">
        <f t="shared" si="4"/>
        <v>36.564660000000003</v>
      </c>
      <c r="K78" s="786">
        <f t="shared" si="5"/>
        <v>0</v>
      </c>
      <c r="L78" s="786">
        <f t="shared" si="6"/>
        <v>29.905920000000002</v>
      </c>
      <c r="M78" s="786">
        <f t="shared" si="7"/>
        <v>0</v>
      </c>
      <c r="N78" s="786">
        <f t="shared" si="8"/>
        <v>24.882660000000001</v>
      </c>
      <c r="O78" s="786">
        <f t="shared" si="9"/>
        <v>0</v>
      </c>
      <c r="P78" s="788"/>
    </row>
    <row r="79" spans="1:16" s="413" customFormat="1" ht="13.5" thickBot="1">
      <c r="A79" s="1182"/>
      <c r="B79" s="916"/>
      <c r="C79" s="339" t="s">
        <v>4271</v>
      </c>
      <c r="D79" s="340" t="s">
        <v>4263</v>
      </c>
      <c r="E79" s="925">
        <v>1790</v>
      </c>
      <c r="F79" s="693">
        <f t="shared" si="0"/>
        <v>1074</v>
      </c>
      <c r="G79" s="786">
        <f t="shared" si="1"/>
        <v>0</v>
      </c>
      <c r="H79" s="786">
        <f t="shared" si="2"/>
        <v>89.356799999999993</v>
      </c>
      <c r="I79" s="786">
        <f t="shared" si="3"/>
        <v>0</v>
      </c>
      <c r="J79" s="786">
        <f t="shared" si="4"/>
        <v>33.616199999999999</v>
      </c>
      <c r="K79" s="786">
        <f t="shared" si="5"/>
        <v>0</v>
      </c>
      <c r="L79" s="786">
        <f t="shared" si="6"/>
        <v>27.494400000000002</v>
      </c>
      <c r="M79" s="786">
        <f t="shared" si="7"/>
        <v>0</v>
      </c>
      <c r="N79" s="786">
        <f t="shared" si="8"/>
        <v>22.876200000000001</v>
      </c>
      <c r="O79" s="786">
        <f t="shared" si="9"/>
        <v>0</v>
      </c>
      <c r="P79" s="788"/>
    </row>
    <row r="80" spans="1:16" s="413" customFormat="1" ht="26.25" thickBot="1">
      <c r="A80" s="1182"/>
      <c r="B80" s="916"/>
      <c r="C80" s="339" t="s">
        <v>70</v>
      </c>
      <c r="D80" s="340" t="s">
        <v>682</v>
      </c>
      <c r="E80" s="925">
        <v>66</v>
      </c>
      <c r="F80" s="693">
        <f t="shared" si="0"/>
        <v>39.6</v>
      </c>
      <c r="G80" s="786">
        <f t="shared" si="1"/>
        <v>0</v>
      </c>
      <c r="H80" s="786">
        <f t="shared" si="2"/>
        <v>3.2947199999999999</v>
      </c>
      <c r="I80" s="786">
        <f t="shared" si="3"/>
        <v>0</v>
      </c>
      <c r="J80" s="786">
        <f t="shared" si="4"/>
        <v>1.2394800000000001</v>
      </c>
      <c r="K80" s="786">
        <f t="shared" si="5"/>
        <v>0</v>
      </c>
      <c r="L80" s="786">
        <f t="shared" si="6"/>
        <v>1.01376</v>
      </c>
      <c r="M80" s="786">
        <f t="shared" si="7"/>
        <v>0</v>
      </c>
      <c r="N80" s="786">
        <f t="shared" si="8"/>
        <v>0.84348000000000001</v>
      </c>
      <c r="O80" s="786">
        <f t="shared" si="9"/>
        <v>0</v>
      </c>
      <c r="P80" s="788"/>
    </row>
    <row r="81" spans="1:16" s="413" customFormat="1" ht="26.25" thickBot="1">
      <c r="A81" s="1182"/>
      <c r="B81" s="916"/>
      <c r="C81" s="339" t="s">
        <v>456</v>
      </c>
      <c r="D81" s="340" t="s">
        <v>683</v>
      </c>
      <c r="E81" s="925">
        <v>132</v>
      </c>
      <c r="F81" s="693">
        <f t="shared" si="0"/>
        <v>79.2</v>
      </c>
      <c r="G81" s="786">
        <f t="shared" si="1"/>
        <v>0</v>
      </c>
      <c r="H81" s="786">
        <f t="shared" si="2"/>
        <v>6.5894399999999997</v>
      </c>
      <c r="I81" s="786">
        <f t="shared" si="3"/>
        <v>0</v>
      </c>
      <c r="J81" s="786">
        <f t="shared" si="4"/>
        <v>2.4789600000000003</v>
      </c>
      <c r="K81" s="786">
        <f t="shared" si="5"/>
        <v>0</v>
      </c>
      <c r="L81" s="786">
        <f t="shared" si="6"/>
        <v>2.02752</v>
      </c>
      <c r="M81" s="786">
        <f t="shared" si="7"/>
        <v>0</v>
      </c>
      <c r="N81" s="786">
        <f t="shared" si="8"/>
        <v>1.68696</v>
      </c>
      <c r="O81" s="786">
        <f t="shared" si="9"/>
        <v>0</v>
      </c>
      <c r="P81" s="788"/>
    </row>
    <row r="82" spans="1:16" s="413" customFormat="1" ht="13.5" thickBot="1">
      <c r="A82" s="1182"/>
      <c r="B82" s="916"/>
      <c r="C82" s="339" t="s">
        <v>4272</v>
      </c>
      <c r="D82" s="340" t="s">
        <v>480</v>
      </c>
      <c r="E82" s="925">
        <v>495</v>
      </c>
      <c r="F82" s="693">
        <f t="shared" si="0"/>
        <v>297</v>
      </c>
      <c r="G82" s="786">
        <f t="shared" si="1"/>
        <v>0</v>
      </c>
      <c r="H82" s="786">
        <f t="shared" si="2"/>
        <v>24.7104</v>
      </c>
      <c r="I82" s="786">
        <f t="shared" si="3"/>
        <v>0</v>
      </c>
      <c r="J82" s="786">
        <f t="shared" si="4"/>
        <v>9.2961000000000009</v>
      </c>
      <c r="K82" s="786">
        <f t="shared" si="5"/>
        <v>0</v>
      </c>
      <c r="L82" s="786">
        <f t="shared" si="6"/>
        <v>7.6032000000000002</v>
      </c>
      <c r="M82" s="786">
        <f t="shared" si="7"/>
        <v>0</v>
      </c>
      <c r="N82" s="786">
        <f t="shared" si="8"/>
        <v>6.3261000000000003</v>
      </c>
      <c r="O82" s="786">
        <f t="shared" si="9"/>
        <v>0</v>
      </c>
      <c r="P82" s="788"/>
    </row>
    <row r="83" spans="1:16" s="413" customFormat="1" ht="13.5" thickBot="1">
      <c r="A83" s="1182"/>
      <c r="B83" s="916"/>
      <c r="C83" s="339" t="s">
        <v>4273</v>
      </c>
      <c r="D83" s="340" t="s">
        <v>4264</v>
      </c>
      <c r="E83" s="925">
        <v>33</v>
      </c>
      <c r="F83" s="693">
        <f t="shared" si="0"/>
        <v>19.8</v>
      </c>
      <c r="G83" s="786">
        <f t="shared" si="1"/>
        <v>0</v>
      </c>
      <c r="H83" s="786">
        <f t="shared" si="2"/>
        <v>1.6473599999999999</v>
      </c>
      <c r="I83" s="786">
        <f t="shared" si="3"/>
        <v>0</v>
      </c>
      <c r="J83" s="786">
        <f t="shared" si="4"/>
        <v>0.61974000000000007</v>
      </c>
      <c r="K83" s="786">
        <f t="shared" si="5"/>
        <v>0</v>
      </c>
      <c r="L83" s="786">
        <f t="shared" si="6"/>
        <v>0.50688</v>
      </c>
      <c r="M83" s="786">
        <f t="shared" si="7"/>
        <v>0</v>
      </c>
      <c r="N83" s="786">
        <f t="shared" si="8"/>
        <v>0.42174</v>
      </c>
      <c r="O83" s="786">
        <f t="shared" si="9"/>
        <v>0</v>
      </c>
      <c r="P83" s="788"/>
    </row>
    <row r="84" spans="1:16" s="413" customFormat="1" ht="13.5" thickBot="1">
      <c r="A84" s="1182"/>
      <c r="B84" s="916"/>
      <c r="C84" s="339" t="s">
        <v>4274</v>
      </c>
      <c r="D84" s="340" t="s">
        <v>3517</v>
      </c>
      <c r="E84" s="925">
        <v>1221</v>
      </c>
      <c r="F84" s="693">
        <f t="shared" si="0"/>
        <v>732.6</v>
      </c>
      <c r="G84" s="786">
        <f t="shared" si="1"/>
        <v>0</v>
      </c>
      <c r="H84" s="786">
        <f t="shared" si="2"/>
        <v>60.95232</v>
      </c>
      <c r="I84" s="786">
        <f t="shared" si="3"/>
        <v>0</v>
      </c>
      <c r="J84" s="786">
        <f t="shared" si="4"/>
        <v>22.930380000000003</v>
      </c>
      <c r="K84" s="786">
        <f t="shared" si="5"/>
        <v>0</v>
      </c>
      <c r="L84" s="786">
        <f t="shared" si="6"/>
        <v>18.754560000000001</v>
      </c>
      <c r="M84" s="786">
        <f t="shared" si="7"/>
        <v>0</v>
      </c>
      <c r="N84" s="786">
        <f t="shared" si="8"/>
        <v>15.604380000000001</v>
      </c>
      <c r="O84" s="786">
        <f t="shared" si="9"/>
        <v>0</v>
      </c>
      <c r="P84" s="788"/>
    </row>
    <row r="85" spans="1:16" s="413" customFormat="1" ht="26.25" thickBot="1">
      <c r="A85" s="1182"/>
      <c r="B85" s="916"/>
      <c r="C85" s="339" t="s">
        <v>3499</v>
      </c>
      <c r="D85" s="340" t="s">
        <v>3522</v>
      </c>
      <c r="E85" s="925">
        <v>645</v>
      </c>
      <c r="F85" s="693">
        <f t="shared" si="0"/>
        <v>387</v>
      </c>
      <c r="G85" s="786">
        <f t="shared" si="1"/>
        <v>0</v>
      </c>
      <c r="H85" s="786">
        <f t="shared" si="2"/>
        <v>32.198399999999999</v>
      </c>
      <c r="I85" s="786">
        <f t="shared" si="3"/>
        <v>0</v>
      </c>
      <c r="J85" s="786">
        <f t="shared" si="4"/>
        <v>12.113100000000001</v>
      </c>
      <c r="K85" s="786">
        <f t="shared" si="5"/>
        <v>0</v>
      </c>
      <c r="L85" s="786">
        <f t="shared" si="6"/>
        <v>9.9072000000000013</v>
      </c>
      <c r="M85" s="786">
        <f t="shared" si="7"/>
        <v>0</v>
      </c>
      <c r="N85" s="786">
        <f t="shared" si="8"/>
        <v>8.2431000000000001</v>
      </c>
      <c r="O85" s="786">
        <f t="shared" si="9"/>
        <v>0</v>
      </c>
      <c r="P85" s="788"/>
    </row>
    <row r="86" spans="1:16" s="413" customFormat="1" ht="26.25" thickBot="1">
      <c r="A86" s="1182"/>
      <c r="B86" s="916"/>
      <c r="C86" s="339" t="s">
        <v>3500</v>
      </c>
      <c r="D86" s="340" t="s">
        <v>3590</v>
      </c>
      <c r="E86" s="925">
        <v>935</v>
      </c>
      <c r="F86" s="693">
        <f t="shared" si="0"/>
        <v>561</v>
      </c>
      <c r="G86" s="786">
        <f t="shared" si="1"/>
        <v>0</v>
      </c>
      <c r="H86" s="786">
        <f t="shared" si="2"/>
        <v>46.675199999999997</v>
      </c>
      <c r="I86" s="786">
        <f t="shared" si="3"/>
        <v>0</v>
      </c>
      <c r="J86" s="786">
        <f t="shared" si="4"/>
        <v>17.5593</v>
      </c>
      <c r="K86" s="786">
        <f t="shared" si="5"/>
        <v>0</v>
      </c>
      <c r="L86" s="786">
        <f t="shared" si="6"/>
        <v>14.361600000000001</v>
      </c>
      <c r="M86" s="786">
        <f t="shared" si="7"/>
        <v>0</v>
      </c>
      <c r="N86" s="786">
        <f t="shared" si="8"/>
        <v>11.949299999999999</v>
      </c>
      <c r="O86" s="786">
        <f t="shared" si="9"/>
        <v>0</v>
      </c>
      <c r="P86" s="788"/>
    </row>
    <row r="87" spans="1:16" s="413" customFormat="1" ht="13.5" thickBot="1">
      <c r="A87" s="1182"/>
      <c r="B87" s="916"/>
      <c r="C87" s="339" t="s">
        <v>4275</v>
      </c>
      <c r="D87" s="340" t="s">
        <v>685</v>
      </c>
      <c r="E87" s="925">
        <v>1348</v>
      </c>
      <c r="F87" s="693">
        <f t="shared" si="0"/>
        <v>808.8</v>
      </c>
      <c r="G87" s="786">
        <f t="shared" si="1"/>
        <v>0</v>
      </c>
      <c r="H87" s="786">
        <f t="shared" si="2"/>
        <v>67.292159999999996</v>
      </c>
      <c r="I87" s="786">
        <f t="shared" si="3"/>
        <v>0</v>
      </c>
      <c r="J87" s="786">
        <f t="shared" si="4"/>
        <v>25.315439999999999</v>
      </c>
      <c r="K87" s="786">
        <f t="shared" si="5"/>
        <v>0</v>
      </c>
      <c r="L87" s="786">
        <f t="shared" si="6"/>
        <v>20.705279999999998</v>
      </c>
      <c r="M87" s="786">
        <f t="shared" si="7"/>
        <v>0</v>
      </c>
      <c r="N87" s="786">
        <f t="shared" si="8"/>
        <v>17.227439999999998</v>
      </c>
      <c r="O87" s="786">
        <f t="shared" si="9"/>
        <v>0</v>
      </c>
      <c r="P87" s="788"/>
    </row>
    <row r="88" spans="1:16" s="413" customFormat="1" ht="13.5" thickBot="1">
      <c r="A88" s="1182"/>
      <c r="B88" s="916"/>
      <c r="C88" s="339" t="s">
        <v>493</v>
      </c>
      <c r="D88" s="340" t="s">
        <v>52</v>
      </c>
      <c r="E88" s="925">
        <v>53</v>
      </c>
      <c r="F88" s="693">
        <f t="shared" si="0"/>
        <v>31.799999999999997</v>
      </c>
      <c r="G88" s="786">
        <f t="shared" si="1"/>
        <v>0</v>
      </c>
      <c r="H88" s="786">
        <f t="shared" si="2"/>
        <v>2.6457599999999997</v>
      </c>
      <c r="I88" s="786">
        <f t="shared" si="3"/>
        <v>0</v>
      </c>
      <c r="J88" s="786">
        <f t="shared" si="4"/>
        <v>0.99534</v>
      </c>
      <c r="K88" s="786">
        <f t="shared" si="5"/>
        <v>0</v>
      </c>
      <c r="L88" s="786">
        <f t="shared" si="6"/>
        <v>0.81407999999999991</v>
      </c>
      <c r="M88" s="786">
        <f t="shared" si="7"/>
        <v>0</v>
      </c>
      <c r="N88" s="786">
        <f t="shared" si="8"/>
        <v>0.67733999999999994</v>
      </c>
      <c r="O88" s="786">
        <f t="shared" si="9"/>
        <v>0</v>
      </c>
      <c r="P88" s="788"/>
    </row>
    <row r="89" spans="1:16" s="413" customFormat="1" ht="13.5" thickBot="1">
      <c r="A89" s="1182"/>
      <c r="B89" s="916"/>
      <c r="C89" s="339" t="s">
        <v>478</v>
      </c>
      <c r="D89" s="340" t="s">
        <v>3560</v>
      </c>
      <c r="E89" s="925">
        <v>30</v>
      </c>
      <c r="F89" s="693">
        <f t="shared" si="0"/>
        <v>18</v>
      </c>
      <c r="G89" s="786">
        <f t="shared" si="1"/>
        <v>0</v>
      </c>
      <c r="H89" s="786">
        <f t="shared" si="2"/>
        <v>1.4975999999999998</v>
      </c>
      <c r="I89" s="786">
        <f t="shared" si="3"/>
        <v>0</v>
      </c>
      <c r="J89" s="786">
        <f t="shared" si="4"/>
        <v>0.56340000000000001</v>
      </c>
      <c r="K89" s="786">
        <f t="shared" si="5"/>
        <v>0</v>
      </c>
      <c r="L89" s="786">
        <f t="shared" si="6"/>
        <v>0.46080000000000004</v>
      </c>
      <c r="M89" s="786">
        <f t="shared" si="7"/>
        <v>0</v>
      </c>
      <c r="N89" s="786">
        <f t="shared" si="8"/>
        <v>0.38339999999999996</v>
      </c>
      <c r="O89" s="786">
        <f t="shared" si="9"/>
        <v>0</v>
      </c>
      <c r="P89" s="788"/>
    </row>
    <row r="90" spans="1:16" s="413" customFormat="1" ht="13.5" thickBot="1">
      <c r="A90" s="1182"/>
      <c r="B90" s="916"/>
      <c r="C90" s="339" t="s">
        <v>4276</v>
      </c>
      <c r="D90" s="340" t="s">
        <v>4265</v>
      </c>
      <c r="E90" s="925">
        <v>286</v>
      </c>
      <c r="F90" s="693">
        <f t="shared" si="0"/>
        <v>171.6</v>
      </c>
      <c r="G90" s="786">
        <f t="shared" si="1"/>
        <v>0</v>
      </c>
      <c r="H90" s="786">
        <f t="shared" si="2"/>
        <v>14.277119999999998</v>
      </c>
      <c r="I90" s="786">
        <f t="shared" si="3"/>
        <v>0</v>
      </c>
      <c r="J90" s="786">
        <f t="shared" si="4"/>
        <v>5.3710800000000001</v>
      </c>
      <c r="K90" s="786">
        <f t="shared" si="5"/>
        <v>0</v>
      </c>
      <c r="L90" s="786">
        <f t="shared" si="6"/>
        <v>4.3929600000000004</v>
      </c>
      <c r="M90" s="786">
        <f t="shared" si="7"/>
        <v>0</v>
      </c>
      <c r="N90" s="786">
        <f t="shared" si="8"/>
        <v>3.6550799999999999</v>
      </c>
      <c r="O90" s="786">
        <f t="shared" si="9"/>
        <v>0</v>
      </c>
      <c r="P90" s="788"/>
    </row>
    <row r="91" spans="1:16" s="413" customFormat="1" ht="13.5" thickBot="1">
      <c r="A91" s="1182"/>
      <c r="B91" s="916"/>
      <c r="C91" s="339" t="s">
        <v>453</v>
      </c>
      <c r="D91" s="340" t="s">
        <v>3562</v>
      </c>
      <c r="E91" s="925">
        <v>124</v>
      </c>
      <c r="F91" s="693">
        <f t="shared" si="0"/>
        <v>74.399999999999991</v>
      </c>
      <c r="G91" s="786">
        <f t="shared" si="1"/>
        <v>0</v>
      </c>
      <c r="H91" s="786">
        <f t="shared" si="2"/>
        <v>6.1900799999999991</v>
      </c>
      <c r="I91" s="786">
        <f t="shared" si="3"/>
        <v>0</v>
      </c>
      <c r="J91" s="786">
        <f t="shared" si="4"/>
        <v>2.3287199999999997</v>
      </c>
      <c r="K91" s="786">
        <f t="shared" si="5"/>
        <v>0</v>
      </c>
      <c r="L91" s="786">
        <f t="shared" si="6"/>
        <v>1.9046399999999999</v>
      </c>
      <c r="M91" s="786">
        <f t="shared" si="7"/>
        <v>0</v>
      </c>
      <c r="N91" s="786">
        <f t="shared" si="8"/>
        <v>1.5847199999999997</v>
      </c>
      <c r="O91" s="786">
        <f t="shared" si="9"/>
        <v>0</v>
      </c>
      <c r="P91" s="788"/>
    </row>
    <row r="92" spans="1:16" s="413" customFormat="1" ht="13.5" thickBot="1">
      <c r="A92" s="1182"/>
      <c r="B92" s="916"/>
      <c r="C92" s="339" t="s">
        <v>4277</v>
      </c>
      <c r="D92" s="340" t="s">
        <v>3598</v>
      </c>
      <c r="E92" s="925">
        <v>2750</v>
      </c>
      <c r="F92" s="693">
        <f t="shared" si="0"/>
        <v>1650</v>
      </c>
      <c r="G92" s="786">
        <f t="shared" si="1"/>
        <v>0</v>
      </c>
      <c r="H92" s="786">
        <f t="shared" si="2"/>
        <v>137.28</v>
      </c>
      <c r="I92" s="786">
        <f t="shared" si="3"/>
        <v>0</v>
      </c>
      <c r="J92" s="786">
        <f t="shared" si="4"/>
        <v>51.645000000000003</v>
      </c>
      <c r="K92" s="786">
        <f t="shared" si="5"/>
        <v>0</v>
      </c>
      <c r="L92" s="786">
        <f t="shared" si="6"/>
        <v>42.24</v>
      </c>
      <c r="M92" s="786">
        <f t="shared" si="7"/>
        <v>0</v>
      </c>
      <c r="N92" s="786">
        <f t="shared" si="8"/>
        <v>35.144999999999996</v>
      </c>
      <c r="O92" s="786">
        <f t="shared" si="9"/>
        <v>0</v>
      </c>
      <c r="P92" s="788"/>
    </row>
    <row r="93" spans="1:16" s="437" customFormat="1" ht="13.5" thickBot="1">
      <c r="A93" s="1183"/>
      <c r="B93" s="916"/>
      <c r="C93" s="339" t="s">
        <v>3493</v>
      </c>
      <c r="D93" s="340" t="s">
        <v>3516</v>
      </c>
      <c r="E93" s="925">
        <v>5511</v>
      </c>
      <c r="F93" s="693">
        <f t="shared" si="0"/>
        <v>3306.6</v>
      </c>
      <c r="G93" s="786">
        <f t="shared" si="1"/>
        <v>0</v>
      </c>
      <c r="H93" s="786">
        <f t="shared" si="2"/>
        <v>275.10911999999996</v>
      </c>
      <c r="I93" s="786">
        <f t="shared" si="3"/>
        <v>0</v>
      </c>
      <c r="J93" s="786">
        <f t="shared" si="4"/>
        <v>103.49658000000001</v>
      </c>
      <c r="K93" s="786">
        <f t="shared" si="5"/>
        <v>0</v>
      </c>
      <c r="L93" s="786">
        <f t="shared" si="6"/>
        <v>84.648960000000002</v>
      </c>
      <c r="M93" s="786">
        <f t="shared" si="7"/>
        <v>0</v>
      </c>
      <c r="N93" s="786">
        <f t="shared" si="8"/>
        <v>70.430579999999992</v>
      </c>
      <c r="O93" s="786">
        <f t="shared" si="9"/>
        <v>0</v>
      </c>
      <c r="P93" s="788"/>
    </row>
    <row r="94" spans="1:16" s="437" customFormat="1" ht="15">
      <c r="C94" s="918"/>
      <c r="D94" s="1059" t="s">
        <v>183</v>
      </c>
      <c r="E94" s="1124"/>
      <c r="F94" s="1124"/>
      <c r="G94" s="450" t="e">
        <f t="array" ref="G94">SUM(G49:G93)+G40:G49:G93+G43:G49:G93+G46</f>
        <v>#VALUE!</v>
      </c>
      <c r="H94" s="451" t="s">
        <v>184</v>
      </c>
      <c r="I94" s="450">
        <f t="array" ref="I94">SUM(I49:I93)+I40:I49:I93+I43:I49:I93+I46</f>
        <v>0</v>
      </c>
      <c r="J94" s="451" t="s">
        <v>185</v>
      </c>
      <c r="K94" s="450">
        <f t="array" ref="K94">SUM(K49:K93)+K40:K49:K93+K43:K49:K93+K46</f>
        <v>0</v>
      </c>
      <c r="L94" s="451" t="s">
        <v>186</v>
      </c>
      <c r="M94" s="450">
        <f t="array" ref="M94">SUM(M49:M93)+M40:M49:M93+M43:M49:M93+M46</f>
        <v>0</v>
      </c>
      <c r="N94" s="451" t="s">
        <v>187</v>
      </c>
      <c r="O94" s="450">
        <f t="array" ref="O94">SUM(O49:O93)+O40:O49:O93+O43:O49:O93+O46</f>
        <v>0</v>
      </c>
    </row>
    <row r="95" spans="1:16" s="437" customFormat="1" ht="14.25">
      <c r="C95" s="919"/>
      <c r="F95" s="626"/>
    </row>
    <row r="109" spans="3:3">
      <c r="C109" s="920"/>
    </row>
  </sheetData>
  <mergeCells count="55">
    <mergeCell ref="A48:O48"/>
    <mergeCell ref="A49:A93"/>
    <mergeCell ref="D94:F94"/>
    <mergeCell ref="O43:O44"/>
    <mergeCell ref="A46:A47"/>
    <mergeCell ref="B46:B47"/>
    <mergeCell ref="G46:G47"/>
    <mergeCell ref="I46:I47"/>
    <mergeCell ref="K46:K47"/>
    <mergeCell ref="M46:M47"/>
    <mergeCell ref="O46:O47"/>
    <mergeCell ref="A43:A44"/>
    <mergeCell ref="B43:B44"/>
    <mergeCell ref="G43:G44"/>
    <mergeCell ref="I43:I44"/>
    <mergeCell ref="K43:K44"/>
    <mergeCell ref="M43:M44"/>
    <mergeCell ref="I34:K36"/>
    <mergeCell ref="F38:G38"/>
    <mergeCell ref="H38:O38"/>
    <mergeCell ref="A40:A41"/>
    <mergeCell ref="B40:B41"/>
    <mergeCell ref="G40:G41"/>
    <mergeCell ref="I40:I41"/>
    <mergeCell ref="K40:K41"/>
    <mergeCell ref="M40:M41"/>
    <mergeCell ref="O40:O41"/>
    <mergeCell ref="A31:C31"/>
    <mergeCell ref="E31:H31"/>
    <mergeCell ref="I31:J31"/>
    <mergeCell ref="K31:M31"/>
    <mergeCell ref="N31:O31"/>
    <mergeCell ref="A32:C32"/>
    <mergeCell ref="E32:H32"/>
    <mergeCell ref="I32:J32"/>
    <mergeCell ref="K32:M32"/>
    <mergeCell ref="N32:O32"/>
    <mergeCell ref="A29:C29"/>
    <mergeCell ref="E29:H29"/>
    <mergeCell ref="I29:J29"/>
    <mergeCell ref="K29:M29"/>
    <mergeCell ref="N29:O29"/>
    <mergeCell ref="A30:C30"/>
    <mergeCell ref="E30:H30"/>
    <mergeCell ref="I30:J30"/>
    <mergeCell ref="K30:M30"/>
    <mergeCell ref="N30:O30"/>
    <mergeCell ref="A28:D28"/>
    <mergeCell ref="E28:J28"/>
    <mergeCell ref="K28:O28"/>
    <mergeCell ref="A4:O4"/>
    <mergeCell ref="A5:O5"/>
    <mergeCell ref="H8:J8"/>
    <mergeCell ref="D24:D25"/>
    <mergeCell ref="A27:O2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indexed="62"/>
  </sheetPr>
  <dimension ref="A1:M64"/>
  <sheetViews>
    <sheetView tabSelected="1" topLeftCell="D1" zoomScale="65" zoomScaleNormal="65" workbookViewId="0">
      <selection activeCell="D24" sqref="D24"/>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8.28515625" style="165" customWidth="1"/>
    <col min="7" max="7" width="23.140625" style="165" customWidth="1"/>
    <col min="8" max="8" width="57.7109375" style="104" customWidth="1"/>
    <col min="9" max="9" width="20.85546875" style="104" customWidth="1"/>
    <col min="10" max="10" width="23" style="104" customWidth="1"/>
    <col min="11" max="11" width="20.42578125" style="104" customWidth="1"/>
    <col min="12" max="12" width="11.5703125" style="104" bestFit="1" customWidth="1"/>
    <col min="13" max="16384" width="8.85546875" style="104"/>
  </cols>
  <sheetData>
    <row r="1" spans="1:11" ht="13.5" thickBot="1">
      <c r="B1" s="105"/>
      <c r="C1" s="105"/>
      <c r="D1" s="106"/>
      <c r="E1" s="106"/>
      <c r="F1" s="107"/>
      <c r="G1" s="107"/>
      <c r="H1" s="107"/>
      <c r="I1" s="107"/>
      <c r="J1" s="107"/>
      <c r="K1" s="107"/>
    </row>
    <row r="2" spans="1:11" ht="9" customHeight="1">
      <c r="A2" s="108"/>
      <c r="B2" s="109"/>
      <c r="C2" s="109"/>
      <c r="D2" s="110"/>
      <c r="E2" s="110"/>
      <c r="F2" s="111"/>
      <c r="G2" s="111"/>
      <c r="H2" s="111"/>
      <c r="I2" s="112"/>
      <c r="J2" s="112"/>
      <c r="K2" s="112"/>
    </row>
    <row r="3" spans="1:11" ht="10.5" customHeight="1">
      <c r="B3" s="105"/>
      <c r="C3" s="105"/>
      <c r="D3" s="106"/>
      <c r="E3" s="106"/>
      <c r="F3" s="107"/>
      <c r="G3" s="107"/>
      <c r="H3" s="107"/>
      <c r="I3" s="113"/>
      <c r="J3" s="113"/>
      <c r="K3" s="113"/>
    </row>
    <row r="4" spans="1:11" ht="34.5">
      <c r="A4" s="1242" t="s">
        <v>4048</v>
      </c>
      <c r="B4" s="979"/>
      <c r="C4" s="979"/>
      <c r="D4" s="979"/>
      <c r="E4" s="979"/>
      <c r="F4" s="979"/>
      <c r="G4" s="979"/>
      <c r="H4" s="979"/>
      <c r="I4" s="979"/>
      <c r="J4" s="979"/>
      <c r="K4" s="979"/>
    </row>
    <row r="5" spans="1:11" s="114" customFormat="1" ht="58.5" customHeight="1">
      <c r="A5" s="1243" t="s">
        <v>4047</v>
      </c>
      <c r="B5" s="1244"/>
      <c r="C5" s="1244"/>
      <c r="D5" s="1244"/>
      <c r="E5" s="1244"/>
      <c r="F5" s="1244"/>
      <c r="G5" s="1244"/>
      <c r="H5" s="1244"/>
      <c r="I5" s="1244"/>
      <c r="J5" s="1244"/>
      <c r="K5" s="1244"/>
    </row>
    <row r="6" spans="1:11" ht="9" customHeight="1" thickBot="1">
      <c r="A6" s="115"/>
      <c r="B6" s="116"/>
      <c r="C6" s="116"/>
      <c r="D6" s="117"/>
      <c r="E6" s="117"/>
      <c r="F6" s="118"/>
      <c r="G6" s="118"/>
      <c r="H6" s="118"/>
      <c r="I6" s="119"/>
      <c r="J6" s="119"/>
      <c r="K6" s="119"/>
    </row>
    <row r="9" spans="1:11" s="113" customFormat="1" ht="14.25">
      <c r="B9" s="120"/>
      <c r="C9" s="120"/>
      <c r="D9" s="121"/>
      <c r="E9" s="121"/>
      <c r="F9" s="121"/>
      <c r="G9" s="121"/>
      <c r="H9" s="121"/>
      <c r="I9" s="121"/>
      <c r="J9" s="121"/>
      <c r="K9" s="121"/>
    </row>
    <row r="10" spans="1:11" s="113" customFormat="1" ht="18">
      <c r="F10" s="173"/>
      <c r="G10" s="1245" t="s">
        <v>3</v>
      </c>
      <c r="H10" s="1245"/>
      <c r="I10" s="1245"/>
    </row>
    <row r="11" spans="1:11" s="113" customFormat="1" ht="18">
      <c r="F11" s="156"/>
      <c r="G11" s="146" t="s">
        <v>4</v>
      </c>
      <c r="H11" s="284" t="s">
        <v>812</v>
      </c>
      <c r="I11" s="285"/>
    </row>
    <row r="12" spans="1:11" s="113" customFormat="1" ht="18">
      <c r="F12" s="286"/>
      <c r="G12" s="146" t="s">
        <v>8</v>
      </c>
      <c r="H12" s="287">
        <v>100000</v>
      </c>
      <c r="I12" s="288"/>
      <c r="K12" s="129"/>
    </row>
    <row r="13" spans="1:11" s="113" customFormat="1" ht="18">
      <c r="F13" s="286"/>
      <c r="G13" s="146" t="s">
        <v>9</v>
      </c>
      <c r="H13" s="284" t="s">
        <v>4055</v>
      </c>
      <c r="I13" s="285"/>
    </row>
    <row r="14" spans="1:11" s="113" customFormat="1" ht="18">
      <c r="A14" s="128"/>
      <c r="B14" s="104"/>
      <c r="C14" s="104"/>
      <c r="D14" s="104"/>
      <c r="E14" s="104"/>
      <c r="F14" s="162"/>
      <c r="G14" s="146" t="s">
        <v>10</v>
      </c>
      <c r="H14" s="284" t="s">
        <v>128</v>
      </c>
      <c r="I14" s="285"/>
    </row>
    <row r="15" spans="1:11" s="113" customFormat="1" ht="18">
      <c r="A15" s="130"/>
      <c r="B15" s="104"/>
      <c r="C15" s="104"/>
      <c r="E15" s="104"/>
      <c r="F15" s="162"/>
      <c r="G15" s="146" t="s">
        <v>12</v>
      </c>
      <c r="H15" s="284" t="s">
        <v>4043</v>
      </c>
      <c r="I15" s="285"/>
    </row>
    <row r="16" spans="1:11" s="113" customFormat="1" ht="18">
      <c r="F16" s="286"/>
      <c r="G16" s="146" t="s">
        <v>16</v>
      </c>
      <c r="H16" s="284" t="s">
        <v>17</v>
      </c>
      <c r="I16" s="285"/>
    </row>
    <row r="17" spans="1:13" s="113" customFormat="1" ht="18">
      <c r="F17" s="286"/>
      <c r="G17" s="146" t="s">
        <v>18</v>
      </c>
      <c r="H17" s="284" t="s">
        <v>4056</v>
      </c>
      <c r="I17" s="285"/>
    </row>
    <row r="18" spans="1:13" s="113" customFormat="1" ht="18">
      <c r="F18" s="121"/>
      <c r="G18" s="146" t="s">
        <v>19</v>
      </c>
      <c r="H18" s="284" t="s">
        <v>4045</v>
      </c>
      <c r="I18" s="285"/>
      <c r="K18" s="124"/>
    </row>
    <row r="19" spans="1:13" s="113" customFormat="1" ht="15.75" customHeight="1">
      <c r="D19" s="136"/>
      <c r="E19" s="136"/>
      <c r="F19" s="121"/>
      <c r="G19" s="146" t="s">
        <v>20</v>
      </c>
      <c r="H19" s="284" t="s">
        <v>4057</v>
      </c>
      <c r="I19" s="285"/>
    </row>
    <row r="20" spans="1:13" s="113" customFormat="1" ht="18">
      <c r="D20" s="136"/>
      <c r="E20" s="136"/>
      <c r="F20" s="121"/>
      <c r="G20" s="146" t="s">
        <v>21</v>
      </c>
      <c r="H20" s="284" t="s">
        <v>4058</v>
      </c>
      <c r="I20" s="285"/>
    </row>
    <row r="21" spans="1:13" s="113" customFormat="1" ht="18">
      <c r="D21" s="136"/>
      <c r="E21" s="136"/>
      <c r="F21" s="121"/>
      <c r="G21" s="146" t="s">
        <v>22</v>
      </c>
      <c r="H21" s="284" t="s">
        <v>4059</v>
      </c>
      <c r="I21" s="285"/>
    </row>
    <row r="22" spans="1:13" ht="13.5" thickBot="1"/>
    <row r="23" spans="1:13" s="301" customFormat="1" ht="18">
      <c r="A23" s="130"/>
      <c r="B23" s="130"/>
      <c r="C23" s="130"/>
      <c r="D23" s="669"/>
      <c r="E23" s="1231" t="s">
        <v>23</v>
      </c>
      <c r="F23" s="1232"/>
      <c r="G23" s="1232"/>
      <c r="H23" s="1233"/>
      <c r="I23" s="669"/>
      <c r="J23" s="669"/>
      <c r="K23" s="669"/>
      <c r="L23" s="669"/>
      <c r="M23" s="669"/>
    </row>
    <row r="24" spans="1:13" s="301" customFormat="1" ht="17.45" customHeight="1">
      <c r="A24" s="130"/>
      <c r="B24" s="130"/>
      <c r="C24" s="130"/>
      <c r="D24" s="105"/>
      <c r="E24" s="1237" t="s">
        <v>3554</v>
      </c>
      <c r="F24" s="1238"/>
      <c r="G24" s="1238"/>
      <c r="H24" s="1239"/>
      <c r="I24" s="104"/>
      <c r="J24" s="104"/>
      <c r="K24" s="104"/>
    </row>
    <row r="25" spans="1:13" s="301" customFormat="1" ht="17.45" customHeight="1">
      <c r="A25" s="130"/>
      <c r="B25" s="130"/>
      <c r="C25" s="130"/>
      <c r="D25" s="105"/>
      <c r="E25" s="1240" t="s">
        <v>160</v>
      </c>
      <c r="F25" s="1241"/>
      <c r="G25" s="1241"/>
      <c r="H25" s="675" t="s">
        <v>161</v>
      </c>
      <c r="I25" s="668"/>
      <c r="J25" s="668"/>
      <c r="K25" s="668"/>
    </row>
    <row r="26" spans="1:13" s="301" customFormat="1" ht="18">
      <c r="A26" s="130"/>
      <c r="B26" s="130"/>
      <c r="C26" s="130"/>
      <c r="D26" s="105"/>
      <c r="E26" s="1240" t="s">
        <v>163</v>
      </c>
      <c r="F26" s="1241"/>
      <c r="G26" s="1241"/>
      <c r="H26" s="676">
        <v>65</v>
      </c>
      <c r="I26" s="104"/>
      <c r="J26" s="104"/>
      <c r="K26" s="104"/>
    </row>
    <row r="27" spans="1:13" s="301" customFormat="1" ht="18">
      <c r="A27" s="130"/>
      <c r="B27" s="130"/>
      <c r="C27" s="130"/>
      <c r="D27" s="105"/>
      <c r="E27" s="1240" t="s">
        <v>164</v>
      </c>
      <c r="F27" s="1241"/>
      <c r="G27" s="1241"/>
      <c r="H27" s="675" t="s">
        <v>4060</v>
      </c>
      <c r="I27" s="519"/>
      <c r="J27" s="519"/>
      <c r="K27" s="519"/>
    </row>
    <row r="28" spans="1:13" s="301" customFormat="1" ht="18.75" thickBot="1">
      <c r="A28" s="130"/>
      <c r="B28" s="130"/>
      <c r="C28" s="130"/>
      <c r="D28" s="130"/>
      <c r="E28" s="1234" t="s">
        <v>92</v>
      </c>
      <c r="F28" s="1235"/>
      <c r="G28" s="1235"/>
      <c r="H28" s="1236"/>
      <c r="I28" s="130"/>
      <c r="J28" s="130"/>
      <c r="K28" s="130"/>
    </row>
    <row r="29" spans="1:13" s="301" customFormat="1" ht="18">
      <c r="A29" s="130"/>
      <c r="B29" s="130"/>
      <c r="C29" s="130"/>
      <c r="D29" s="130"/>
      <c r="E29" s="519"/>
      <c r="F29" s="519"/>
      <c r="G29" s="519"/>
      <c r="H29" s="104"/>
      <c r="I29" s="130"/>
      <c r="J29" s="130"/>
      <c r="K29" s="130"/>
    </row>
    <row r="30" spans="1:13" s="301" customFormat="1" ht="18">
      <c r="A30" s="130"/>
      <c r="B30" s="130"/>
      <c r="C30" s="130"/>
      <c r="D30" s="130"/>
      <c r="E30" s="519"/>
      <c r="F30" s="519"/>
      <c r="G30" s="519"/>
      <c r="H30" s="104"/>
      <c r="I30" s="130"/>
      <c r="J30" s="130"/>
      <c r="K30" s="130"/>
    </row>
    <row r="31" spans="1:13" s="301" customFormat="1" ht="18.75" thickBot="1">
      <c r="A31" s="113"/>
      <c r="B31" s="113"/>
      <c r="C31" s="136"/>
      <c r="D31" s="135"/>
      <c r="E31" s="146"/>
      <c r="F31" s="104"/>
      <c r="G31" s="1013"/>
      <c r="H31" s="998"/>
      <c r="I31" s="149"/>
      <c r="J31" s="150"/>
      <c r="K31" s="113"/>
    </row>
    <row r="32" spans="1:13" s="301" customFormat="1" ht="18.75" thickBot="1">
      <c r="A32" s="113"/>
      <c r="B32" s="113"/>
      <c r="C32" s="113"/>
      <c r="D32" s="113"/>
      <c r="E32" s="113"/>
      <c r="F32" s="1007" t="s">
        <v>167</v>
      </c>
      <c r="G32" s="1089"/>
      <c r="H32" s="1002"/>
      <c r="I32" s="1002"/>
      <c r="J32" s="1002"/>
      <c r="K32" s="1003"/>
    </row>
    <row r="33" spans="1:12" s="301" customFormat="1" ht="98.25" thickBot="1">
      <c r="A33" s="291"/>
      <c r="B33" s="291"/>
      <c r="C33" s="291"/>
      <c r="D33" s="291"/>
      <c r="E33" s="292" t="s">
        <v>123</v>
      </c>
      <c r="F33" s="292" t="s">
        <v>169</v>
      </c>
      <c r="G33" s="292" t="s">
        <v>170</v>
      </c>
      <c r="H33" s="292" t="s">
        <v>171</v>
      </c>
      <c r="I33" s="292" t="s">
        <v>172</v>
      </c>
      <c r="J33" s="292" t="s">
        <v>173</v>
      </c>
      <c r="K33" s="292" t="s">
        <v>174</v>
      </c>
    </row>
    <row r="34" spans="1:12" s="301" customFormat="1" ht="21" thickBot="1">
      <c r="A34" s="293"/>
      <c r="B34" s="293"/>
      <c r="C34" s="293"/>
      <c r="D34" s="293"/>
      <c r="E34" s="294">
        <v>24</v>
      </c>
      <c r="F34" s="294"/>
      <c r="G34" s="294" t="s">
        <v>4038</v>
      </c>
      <c r="H34" s="312" t="s">
        <v>4037</v>
      </c>
      <c r="I34" s="297">
        <v>446</v>
      </c>
      <c r="J34" s="76">
        <f>I34*(1-25%)</f>
        <v>334.5</v>
      </c>
      <c r="K34" s="76">
        <f>J34*F34</f>
        <v>0</v>
      </c>
    </row>
    <row r="35" spans="1:12" s="301" customFormat="1" ht="19.5" thickBot="1">
      <c r="A35" s="299"/>
      <c r="B35" s="300"/>
      <c r="C35" s="300"/>
      <c r="D35" s="300"/>
      <c r="E35" s="1246" t="s">
        <v>182</v>
      </c>
      <c r="F35" s="1247"/>
      <c r="G35" s="1247"/>
      <c r="H35" s="1247"/>
      <c r="I35" s="1247"/>
      <c r="J35" s="1247"/>
      <c r="K35" s="1247"/>
    </row>
    <row r="36" spans="1:12" s="301" customFormat="1" ht="19.5" thickBot="1">
      <c r="A36" s="299"/>
      <c r="B36" s="300"/>
      <c r="C36" s="300"/>
      <c r="D36" s="300"/>
      <c r="E36" s="1248"/>
      <c r="F36" s="670"/>
      <c r="G36" s="671" t="s">
        <v>462</v>
      </c>
      <c r="H36" s="679" t="s">
        <v>667</v>
      </c>
      <c r="I36" s="673">
        <v>91.75257731958763</v>
      </c>
      <c r="J36" s="674">
        <f>I36*(1-10%)</f>
        <v>82.577319587628864</v>
      </c>
      <c r="K36" s="674">
        <f>J36*F36</f>
        <v>0</v>
      </c>
      <c r="L36" s="739"/>
    </row>
    <row r="37" spans="1:12" ht="37.5" thickBot="1">
      <c r="A37" s="299"/>
      <c r="B37" s="300"/>
      <c r="C37" s="300"/>
      <c r="D37" s="300"/>
      <c r="E37" s="1248"/>
      <c r="F37" s="30"/>
      <c r="G37" s="309">
        <v>7640013463</v>
      </c>
      <c r="H37" s="596" t="s">
        <v>815</v>
      </c>
      <c r="I37" s="311">
        <v>339.17525773195877</v>
      </c>
      <c r="J37" s="27">
        <f>I37*(1-10%)</f>
        <v>305.25773195876292</v>
      </c>
      <c r="K37" s="27">
        <f>J37*F37</f>
        <v>0</v>
      </c>
      <c r="L37" s="739"/>
    </row>
    <row r="38" spans="1:12" ht="37.5" thickBot="1">
      <c r="A38" s="299"/>
      <c r="B38" s="300"/>
      <c r="C38" s="300"/>
      <c r="D38" s="300"/>
      <c r="E38" s="1248"/>
      <c r="F38" s="30"/>
      <c r="G38" s="31" t="s">
        <v>4002</v>
      </c>
      <c r="H38" s="599" t="s">
        <v>4049</v>
      </c>
      <c r="I38" s="33">
        <v>178.35051546391753</v>
      </c>
      <c r="J38" s="27">
        <f>I38*(1-10%)</f>
        <v>160.51546391752578</v>
      </c>
      <c r="K38" s="27">
        <f>J38*F38</f>
        <v>0</v>
      </c>
      <c r="L38" s="739"/>
    </row>
    <row r="39" spans="1:12" ht="37.5" thickBot="1">
      <c r="A39" s="299"/>
      <c r="B39" s="300"/>
      <c r="C39" s="300"/>
      <c r="D39" s="300"/>
      <c r="E39" s="1249"/>
      <c r="F39" s="30"/>
      <c r="G39" s="31" t="s">
        <v>4004</v>
      </c>
      <c r="H39" s="599" t="s">
        <v>4050</v>
      </c>
      <c r="I39" s="33">
        <v>271.13402061855669</v>
      </c>
      <c r="J39" s="27">
        <f>I39*(1-10%)</f>
        <v>244.02061855670104</v>
      </c>
      <c r="K39" s="27">
        <f>J39*F39</f>
        <v>0</v>
      </c>
      <c r="L39" s="739"/>
    </row>
    <row r="40" spans="1:12" ht="23.25">
      <c r="C40" s="166"/>
      <c r="D40" s="308"/>
      <c r="E40" s="1229" t="s">
        <v>183</v>
      </c>
      <c r="F40" s="1229"/>
      <c r="G40" s="1230"/>
      <c r="H40" s="1230"/>
      <c r="I40" s="1230"/>
      <c r="J40" s="1230"/>
      <c r="K40" s="29">
        <f>SUM(K34:K39)</f>
        <v>0</v>
      </c>
    </row>
    <row r="42" spans="1:12">
      <c r="F42" s="7"/>
      <c r="G42" s="7"/>
      <c r="H42" s="8"/>
      <c r="I42" s="8"/>
      <c r="J42" s="8"/>
      <c r="K42" s="8"/>
    </row>
    <row r="43" spans="1:12">
      <c r="G43" s="7"/>
      <c r="H43" s="8"/>
      <c r="I43" s="8"/>
      <c r="J43" s="8"/>
      <c r="K43" s="8"/>
    </row>
    <row r="45" spans="1:12" ht="15.75">
      <c r="C45" s="166"/>
      <c r="D45" s="167"/>
      <c r="E45" s="168"/>
      <c r="F45" s="28"/>
      <c r="G45" s="7"/>
      <c r="H45" s="8"/>
      <c r="I45" s="8"/>
      <c r="J45" s="8"/>
      <c r="K45" s="8"/>
    </row>
    <row r="46" spans="1:12" ht="15.75">
      <c r="C46" s="166"/>
      <c r="D46" s="167"/>
      <c r="E46" s="168"/>
      <c r="F46" s="28"/>
      <c r="G46" s="7"/>
      <c r="H46" s="8"/>
      <c r="I46" s="8"/>
      <c r="J46" s="8"/>
      <c r="K46" s="8"/>
    </row>
    <row r="47" spans="1:12" ht="15.75">
      <c r="C47" s="166"/>
      <c r="D47" s="167"/>
      <c r="E47" s="168"/>
      <c r="F47" s="28"/>
      <c r="G47" s="7"/>
      <c r="H47" s="8"/>
      <c r="I47" s="8"/>
      <c r="J47" s="8"/>
      <c r="K47" s="8"/>
    </row>
    <row r="48" spans="1:12" ht="15.75">
      <c r="C48" s="166"/>
      <c r="D48" s="167"/>
      <c r="E48" s="168"/>
      <c r="F48" s="28"/>
      <c r="G48" s="7"/>
      <c r="H48" s="8"/>
      <c r="I48" s="8"/>
      <c r="J48" s="8"/>
      <c r="K48" s="8"/>
    </row>
    <row r="49" spans="2:11" ht="15.75">
      <c r="C49" s="166"/>
      <c r="D49" s="167"/>
      <c r="E49" s="168"/>
      <c r="F49" s="28"/>
      <c r="G49" s="7"/>
      <c r="H49" s="8"/>
      <c r="I49" s="8"/>
      <c r="J49" s="8"/>
      <c r="K49" s="8"/>
    </row>
    <row r="50" spans="2:11" ht="15.75">
      <c r="C50" s="166"/>
      <c r="D50" s="167"/>
      <c r="E50" s="168"/>
      <c r="F50" s="28"/>
      <c r="G50" s="7"/>
      <c r="H50" s="8"/>
      <c r="I50" s="8"/>
      <c r="J50" s="8"/>
      <c r="K50" s="8"/>
    </row>
    <row r="51" spans="2:11">
      <c r="G51" s="7"/>
      <c r="I51" s="8"/>
      <c r="K51" s="8"/>
    </row>
    <row r="54" spans="2:11">
      <c r="B54" s="106"/>
      <c r="C54" s="106"/>
    </row>
    <row r="61" spans="2:11">
      <c r="F61" s="104"/>
      <c r="G61" s="104"/>
    </row>
    <row r="62" spans="2:11">
      <c r="F62" s="104"/>
      <c r="G62" s="104"/>
    </row>
    <row r="63" spans="2:11">
      <c r="F63" s="104"/>
      <c r="G63" s="104"/>
    </row>
    <row r="64" spans="2:11">
      <c r="F64" s="104"/>
      <c r="G64" s="104"/>
    </row>
  </sheetData>
  <mergeCells count="14">
    <mergeCell ref="A4:K4"/>
    <mergeCell ref="A5:K5"/>
    <mergeCell ref="G10:I10"/>
    <mergeCell ref="E35:K35"/>
    <mergeCell ref="E36:E39"/>
    <mergeCell ref="E40:J40"/>
    <mergeCell ref="G31:H31"/>
    <mergeCell ref="F32:K32"/>
    <mergeCell ref="E23:H23"/>
    <mergeCell ref="E28:H28"/>
    <mergeCell ref="E24:H24"/>
    <mergeCell ref="E26:G26"/>
    <mergeCell ref="E27:G27"/>
    <mergeCell ref="E25:G25"/>
  </mergeCells>
  <phoneticPr fontId="0" type="noConversion"/>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rgb="FF006600"/>
  </sheetPr>
  <dimension ref="A1:M77"/>
  <sheetViews>
    <sheetView topLeftCell="C22" zoomScale="65" zoomScaleNormal="65" workbookViewId="0">
      <selection activeCell="E31" sqref="E31"/>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8.28515625" style="165" customWidth="1"/>
    <col min="7" max="7" width="23.140625" style="165" customWidth="1"/>
    <col min="8" max="8" width="57.7109375" style="104" customWidth="1"/>
    <col min="9" max="9" width="20.85546875" style="104" customWidth="1"/>
    <col min="10" max="10" width="23" style="104" customWidth="1"/>
    <col min="11" max="11" width="20.42578125" style="104" customWidth="1"/>
    <col min="12" max="12" width="13.140625" style="104" bestFit="1" customWidth="1"/>
    <col min="13" max="16384" width="8.85546875" style="104"/>
  </cols>
  <sheetData>
    <row r="1" spans="1:11" ht="13.5" thickBot="1">
      <c r="B1" s="105"/>
      <c r="C1" s="105"/>
      <c r="D1" s="106"/>
      <c r="E1" s="106"/>
      <c r="F1" s="107"/>
      <c r="G1" s="107"/>
      <c r="H1" s="107"/>
      <c r="I1" s="107"/>
      <c r="J1" s="107"/>
      <c r="K1" s="107"/>
    </row>
    <row r="2" spans="1:11" ht="9" customHeight="1">
      <c r="A2" s="108"/>
      <c r="B2" s="109"/>
      <c r="C2" s="109"/>
      <c r="D2" s="110"/>
      <c r="E2" s="110"/>
      <c r="F2" s="111"/>
      <c r="G2" s="111"/>
      <c r="H2" s="111"/>
      <c r="I2" s="112"/>
      <c r="J2" s="112"/>
      <c r="K2" s="112"/>
    </row>
    <row r="3" spans="1:11" ht="10.5" customHeight="1">
      <c r="B3" s="105"/>
      <c r="C3" s="105"/>
      <c r="D3" s="106"/>
      <c r="E3" s="106"/>
      <c r="F3" s="107"/>
      <c r="G3" s="107"/>
      <c r="H3" s="107"/>
      <c r="I3" s="113"/>
      <c r="J3" s="113"/>
      <c r="K3" s="113"/>
    </row>
    <row r="4" spans="1:11" ht="34.5">
      <c r="A4" s="1242" t="s">
        <v>999</v>
      </c>
      <c r="B4" s="979"/>
      <c r="C4" s="979"/>
      <c r="D4" s="979"/>
      <c r="E4" s="979"/>
      <c r="F4" s="979"/>
      <c r="G4" s="979"/>
      <c r="H4" s="979"/>
      <c r="I4" s="979"/>
      <c r="J4" s="979"/>
      <c r="K4" s="979"/>
    </row>
    <row r="5" spans="1:11" s="114" customFormat="1" ht="58.5" customHeight="1">
      <c r="A5" s="1243" t="s">
        <v>1063</v>
      </c>
      <c r="B5" s="1244"/>
      <c r="C5" s="1244"/>
      <c r="D5" s="1244"/>
      <c r="E5" s="1244"/>
      <c r="F5" s="1244"/>
      <c r="G5" s="1244"/>
      <c r="H5" s="1244"/>
      <c r="I5" s="1244"/>
      <c r="J5" s="1244"/>
      <c r="K5" s="1244"/>
    </row>
    <row r="6" spans="1:11" ht="9" customHeight="1" thickBot="1">
      <c r="A6" s="115"/>
      <c r="B6" s="116"/>
      <c r="C6" s="116"/>
      <c r="D6" s="117"/>
      <c r="E6" s="117"/>
      <c r="F6" s="118"/>
      <c r="G6" s="118"/>
      <c r="H6" s="118"/>
      <c r="I6" s="119"/>
      <c r="J6" s="119"/>
      <c r="K6" s="119"/>
    </row>
    <row r="9" spans="1:11" s="113" customFormat="1" ht="14.25">
      <c r="B9" s="120"/>
      <c r="C9" s="120"/>
      <c r="D9" s="121"/>
      <c r="E9" s="121"/>
      <c r="F9" s="121"/>
      <c r="G9" s="121"/>
      <c r="H9" s="121"/>
      <c r="I9" s="121"/>
      <c r="J9" s="121"/>
      <c r="K9" s="121"/>
    </row>
    <row r="10" spans="1:11" s="113" customFormat="1" ht="18">
      <c r="F10" s="173"/>
      <c r="G10" s="1245" t="s">
        <v>3</v>
      </c>
      <c r="H10" s="1245"/>
      <c r="I10" s="1245"/>
    </row>
    <row r="11" spans="1:11" s="113" customFormat="1" ht="18">
      <c r="F11" s="156"/>
      <c r="G11" s="146" t="s">
        <v>4</v>
      </c>
      <c r="H11" s="284" t="s">
        <v>90</v>
      </c>
      <c r="I11" s="285"/>
    </row>
    <row r="12" spans="1:11" s="113" customFormat="1" ht="18">
      <c r="F12" s="156"/>
      <c r="G12" s="146" t="s">
        <v>5</v>
      </c>
      <c r="H12" s="284" t="s">
        <v>3413</v>
      </c>
      <c r="I12" s="285"/>
      <c r="K12" s="124"/>
    </row>
    <row r="13" spans="1:11" s="113" customFormat="1" ht="18">
      <c r="F13" s="286"/>
      <c r="G13" s="146" t="s">
        <v>8</v>
      </c>
      <c r="H13" s="287">
        <v>120000</v>
      </c>
      <c r="I13" s="288"/>
      <c r="K13" s="129"/>
    </row>
    <row r="14" spans="1:11" s="113" customFormat="1" ht="18">
      <c r="F14" s="286"/>
      <c r="G14" s="146" t="s">
        <v>9</v>
      </c>
      <c r="H14" s="284" t="s">
        <v>813</v>
      </c>
      <c r="I14" s="285"/>
    </row>
    <row r="15" spans="1:11" s="113" customFormat="1" ht="18">
      <c r="A15" s="128"/>
      <c r="B15" s="104"/>
      <c r="C15" s="104"/>
      <c r="D15" s="104"/>
      <c r="E15" s="104"/>
      <c r="F15" s="162"/>
      <c r="G15" s="146" t="s">
        <v>10</v>
      </c>
      <c r="H15" s="284" t="s">
        <v>128</v>
      </c>
      <c r="I15" s="285"/>
    </row>
    <row r="16" spans="1:11" s="113" customFormat="1" ht="18">
      <c r="A16" s="130"/>
      <c r="B16" s="104"/>
      <c r="C16" s="104"/>
      <c r="E16" s="104"/>
      <c r="F16" s="162"/>
      <c r="G16" s="146" t="s">
        <v>12</v>
      </c>
      <c r="H16" s="284" t="s">
        <v>3414</v>
      </c>
      <c r="I16" s="285"/>
    </row>
    <row r="17" spans="1:13" s="113" customFormat="1" ht="18">
      <c r="F17" s="286"/>
      <c r="G17" s="146" t="s">
        <v>16</v>
      </c>
      <c r="H17" s="284" t="s">
        <v>17</v>
      </c>
      <c r="I17" s="285"/>
    </row>
    <row r="18" spans="1:13" s="113" customFormat="1" ht="18">
      <c r="F18" s="286"/>
      <c r="G18" s="146" t="s">
        <v>18</v>
      </c>
      <c r="H18" s="284" t="s">
        <v>247</v>
      </c>
      <c r="I18" s="285"/>
    </row>
    <row r="19" spans="1:13" s="113" customFormat="1" ht="18">
      <c r="F19" s="121"/>
      <c r="G19" s="146" t="s">
        <v>19</v>
      </c>
      <c r="H19" s="284" t="s">
        <v>263</v>
      </c>
      <c r="I19" s="285"/>
      <c r="K19" s="124"/>
    </row>
    <row r="20" spans="1:13" s="113" customFormat="1" ht="15.75" customHeight="1">
      <c r="D20" s="136"/>
      <c r="E20" s="136"/>
      <c r="F20" s="121"/>
      <c r="G20" s="146" t="s">
        <v>20</v>
      </c>
      <c r="H20" s="284" t="s">
        <v>191</v>
      </c>
      <c r="I20" s="285"/>
    </row>
    <row r="21" spans="1:13" s="113" customFormat="1" ht="18">
      <c r="D21" s="136"/>
      <c r="E21" s="136"/>
      <c r="F21" s="121"/>
      <c r="G21" s="146" t="s">
        <v>21</v>
      </c>
      <c r="H21" s="284" t="s">
        <v>3415</v>
      </c>
      <c r="I21" s="285"/>
    </row>
    <row r="22" spans="1:13" s="113" customFormat="1" ht="18">
      <c r="D22" s="136"/>
      <c r="E22" s="136"/>
      <c r="F22" s="121"/>
      <c r="G22" s="146" t="s">
        <v>22</v>
      </c>
      <c r="H22" s="284" t="s">
        <v>3416</v>
      </c>
      <c r="I22" s="285"/>
    </row>
    <row r="23" spans="1:13" s="113" customFormat="1" ht="12.75" customHeight="1" thickBot="1">
      <c r="D23" s="136"/>
      <c r="E23" s="136"/>
      <c r="F23" s="289"/>
      <c r="G23" s="290"/>
      <c r="H23" s="284"/>
      <c r="I23" s="285"/>
    </row>
    <row r="24" spans="1:13" s="301" customFormat="1" ht="18">
      <c r="A24" s="130"/>
      <c r="B24" s="130"/>
      <c r="C24" s="130"/>
      <c r="D24" s="669"/>
      <c r="E24" s="1231" t="s">
        <v>23</v>
      </c>
      <c r="F24" s="1232"/>
      <c r="G24" s="1232"/>
      <c r="H24" s="1233"/>
      <c r="I24" s="669"/>
      <c r="J24" s="669"/>
      <c r="K24" s="669"/>
      <c r="L24" s="669"/>
      <c r="M24" s="669"/>
    </row>
    <row r="25" spans="1:13" s="301" customFormat="1" ht="17.45" customHeight="1">
      <c r="A25" s="130"/>
      <c r="B25" s="130"/>
      <c r="C25" s="130"/>
      <c r="D25" s="105"/>
      <c r="E25" s="1237" t="s">
        <v>3554</v>
      </c>
      <c r="F25" s="1238"/>
      <c r="G25" s="1238"/>
      <c r="H25" s="1239"/>
      <c r="I25" s="104"/>
      <c r="J25" s="104"/>
      <c r="K25" s="104"/>
    </row>
    <row r="26" spans="1:13" s="301" customFormat="1" ht="17.45" customHeight="1">
      <c r="A26" s="130"/>
      <c r="B26" s="130"/>
      <c r="C26" s="130"/>
      <c r="D26" s="105"/>
      <c r="E26" s="1240" t="s">
        <v>160</v>
      </c>
      <c r="F26" s="1241"/>
      <c r="G26" s="1241"/>
      <c r="H26" s="675" t="s">
        <v>161</v>
      </c>
      <c r="I26" s="668"/>
      <c r="J26" s="668"/>
      <c r="K26" s="668"/>
    </row>
    <row r="27" spans="1:13" s="301" customFormat="1" ht="18">
      <c r="A27" s="130"/>
      <c r="B27" s="130"/>
      <c r="C27" s="130"/>
      <c r="D27" s="105"/>
      <c r="E27" s="1240" t="s">
        <v>163</v>
      </c>
      <c r="F27" s="1241"/>
      <c r="G27" s="1241"/>
      <c r="H27" s="676">
        <v>110</v>
      </c>
      <c r="I27" s="104"/>
      <c r="J27" s="104"/>
      <c r="K27" s="104"/>
    </row>
    <row r="28" spans="1:13" s="301" customFormat="1" ht="18">
      <c r="A28" s="130"/>
      <c r="B28" s="130"/>
      <c r="C28" s="130"/>
      <c r="D28" s="105"/>
      <c r="E28" s="1240" t="s">
        <v>164</v>
      </c>
      <c r="F28" s="1241"/>
      <c r="G28" s="1241"/>
      <c r="H28" s="675" t="s">
        <v>4060</v>
      </c>
      <c r="I28" s="519"/>
      <c r="J28" s="519"/>
      <c r="K28" s="519"/>
    </row>
    <row r="29" spans="1:13" s="301" customFormat="1" ht="18.75" thickBot="1">
      <c r="A29" s="130"/>
      <c r="B29" s="130"/>
      <c r="C29" s="130"/>
      <c r="D29" s="130"/>
      <c r="E29" s="1234" t="s">
        <v>92</v>
      </c>
      <c r="F29" s="1235"/>
      <c r="G29" s="1235"/>
      <c r="H29" s="1236"/>
      <c r="I29" s="130"/>
      <c r="J29" s="130"/>
      <c r="K29" s="130"/>
    </row>
    <row r="30" spans="1:13" s="301" customFormat="1" ht="18">
      <c r="A30" s="130"/>
      <c r="B30" s="130"/>
      <c r="C30" s="130"/>
      <c r="D30" s="130"/>
      <c r="E30" s="519"/>
      <c r="F30" s="519"/>
      <c r="G30" s="519"/>
      <c r="H30" s="104"/>
      <c r="I30" s="130"/>
      <c r="J30" s="130"/>
      <c r="K30" s="130"/>
    </row>
    <row r="31" spans="1:13" s="301" customFormat="1" ht="18">
      <c r="A31" s="130"/>
      <c r="B31" s="130"/>
      <c r="C31" s="130"/>
      <c r="D31" s="130"/>
      <c r="E31" s="519"/>
      <c r="F31" s="519"/>
      <c r="G31" s="519"/>
      <c r="H31" s="104"/>
      <c r="I31" s="130"/>
      <c r="J31" s="130"/>
      <c r="K31" s="130"/>
    </row>
    <row r="32" spans="1:13" s="301" customFormat="1" ht="18">
      <c r="A32" s="113"/>
      <c r="B32" s="113"/>
      <c r="C32" s="136"/>
      <c r="D32" s="135"/>
      <c r="E32" s="146"/>
      <c r="F32" s="104"/>
      <c r="G32" s="1013"/>
      <c r="H32" s="998"/>
      <c r="I32" s="149"/>
      <c r="J32" s="150"/>
      <c r="K32" s="113"/>
    </row>
    <row r="33" spans="1:12" s="113" customFormat="1" ht="12.75" customHeight="1">
      <c r="D33" s="136"/>
      <c r="E33" s="136"/>
      <c r="F33" s="143"/>
      <c r="G33" s="104"/>
      <c r="H33" s="104"/>
      <c r="I33" s="104"/>
      <c r="J33" s="104"/>
      <c r="K33" s="144"/>
    </row>
    <row r="34" spans="1:12" s="113" customFormat="1" ht="12.75" customHeight="1">
      <c r="D34" s="136"/>
      <c r="E34" s="136"/>
      <c r="F34" s="143"/>
      <c r="G34" s="104"/>
      <c r="H34" s="104"/>
      <c r="I34" s="104"/>
      <c r="J34" s="104"/>
      <c r="K34" s="145"/>
    </row>
    <row r="35" spans="1:12" s="113" customFormat="1" ht="18" customHeight="1" thickBot="1">
      <c r="C35" s="136"/>
      <c r="D35" s="135"/>
      <c r="E35" s="146"/>
      <c r="F35" s="104"/>
      <c r="G35" s="1013"/>
      <c r="H35" s="998"/>
      <c r="I35" s="149"/>
      <c r="J35" s="150"/>
    </row>
    <row r="36" spans="1:12" s="113" customFormat="1" ht="15.75" customHeight="1" thickBot="1">
      <c r="F36" s="1007" t="s">
        <v>167</v>
      </c>
      <c r="G36" s="1089"/>
      <c r="H36" s="1002"/>
      <c r="I36" s="1002"/>
      <c r="J36" s="1002"/>
      <c r="K36" s="1003"/>
    </row>
    <row r="37" spans="1:12" s="291" customFormat="1" ht="98.25" thickBot="1">
      <c r="E37" s="292" t="s">
        <v>123</v>
      </c>
      <c r="F37" s="292" t="s">
        <v>169</v>
      </c>
      <c r="G37" s="292" t="s">
        <v>170</v>
      </c>
      <c r="H37" s="292" t="s">
        <v>171</v>
      </c>
      <c r="I37" s="292" t="s">
        <v>172</v>
      </c>
      <c r="J37" s="292" t="s">
        <v>173</v>
      </c>
      <c r="K37" s="292" t="s">
        <v>174</v>
      </c>
    </row>
    <row r="38" spans="1:12" s="293" customFormat="1" ht="66.75" customHeight="1" thickBot="1">
      <c r="E38" s="294">
        <v>24</v>
      </c>
      <c r="F38" s="294"/>
      <c r="G38" s="294" t="s">
        <v>1061</v>
      </c>
      <c r="H38" s="312" t="s">
        <v>1062</v>
      </c>
      <c r="I38" s="297">
        <v>985.26</v>
      </c>
      <c r="J38" s="76">
        <f>SUM(I38:I38)*(1-40%)</f>
        <v>591.15599999999995</v>
      </c>
      <c r="K38" s="76">
        <f>J38*F38</f>
        <v>0</v>
      </c>
    </row>
    <row r="39" spans="1:12" s="301" customFormat="1" ht="19.5" thickBot="1">
      <c r="A39" s="299"/>
      <c r="B39" s="300"/>
      <c r="C39" s="300"/>
      <c r="D39" s="300"/>
      <c r="E39" s="1246" t="s">
        <v>182</v>
      </c>
      <c r="F39" s="1247"/>
      <c r="G39" s="1247"/>
      <c r="H39" s="1247"/>
      <c r="I39" s="1247"/>
      <c r="J39" s="1247"/>
      <c r="K39" s="1247"/>
    </row>
    <row r="40" spans="1:12" s="301" customFormat="1" ht="19.5" thickBot="1">
      <c r="A40" s="299"/>
      <c r="B40" s="300"/>
      <c r="C40" s="300"/>
      <c r="D40" s="300"/>
      <c r="E40" s="1248"/>
      <c r="F40" s="670"/>
      <c r="G40" s="671" t="s">
        <v>1077</v>
      </c>
      <c r="H40" s="679" t="s">
        <v>1064</v>
      </c>
      <c r="I40" s="673">
        <v>169.37113402061854</v>
      </c>
      <c r="J40" s="674">
        <f t="shared" ref="J40:J52" si="0">I40*(1-10%)</f>
        <v>152.4340206185567</v>
      </c>
      <c r="K40" s="674">
        <f t="shared" ref="K40:K52" si="1">J40*F40</f>
        <v>0</v>
      </c>
      <c r="L40" s="739"/>
    </row>
    <row r="41" spans="1:12" s="301" customFormat="1" ht="19.5" thickBot="1">
      <c r="A41" s="299"/>
      <c r="B41" s="300"/>
      <c r="C41" s="300"/>
      <c r="D41" s="300"/>
      <c r="E41" s="1248"/>
      <c r="F41" s="302"/>
      <c r="G41" s="309" t="s">
        <v>1078</v>
      </c>
      <c r="H41" s="596" t="s">
        <v>1065</v>
      </c>
      <c r="I41" s="311">
        <v>260.68041237113403</v>
      </c>
      <c r="J41" s="27">
        <f t="shared" si="0"/>
        <v>234.61237113402063</v>
      </c>
      <c r="K41" s="27">
        <f t="shared" si="1"/>
        <v>0</v>
      </c>
      <c r="L41" s="739"/>
    </row>
    <row r="42" spans="1:12" s="301" customFormat="1" ht="19.5" thickBot="1">
      <c r="A42" s="299"/>
      <c r="B42" s="300"/>
      <c r="C42" s="300"/>
      <c r="D42" s="300"/>
      <c r="E42" s="1248"/>
      <c r="F42" s="30"/>
      <c r="G42" s="309" t="s">
        <v>1079</v>
      </c>
      <c r="H42" s="597" t="s">
        <v>1066</v>
      </c>
      <c r="I42" s="311">
        <v>326.94845360824741</v>
      </c>
      <c r="J42" s="27">
        <f t="shared" si="0"/>
        <v>294.25360824742268</v>
      </c>
      <c r="K42" s="27">
        <f t="shared" si="1"/>
        <v>0</v>
      </c>
      <c r="L42" s="739"/>
    </row>
    <row r="43" spans="1:12" s="301" customFormat="1" ht="19.5" thickBot="1">
      <c r="A43" s="299"/>
      <c r="B43" s="300"/>
      <c r="C43" s="300"/>
      <c r="D43" s="300"/>
      <c r="E43" s="1248"/>
      <c r="F43" s="30"/>
      <c r="G43" s="309" t="s">
        <v>1080</v>
      </c>
      <c r="H43" s="597" t="s">
        <v>1067</v>
      </c>
      <c r="I43" s="311">
        <v>78.051546391752566</v>
      </c>
      <c r="J43" s="27">
        <f t="shared" si="0"/>
        <v>70.24639175257731</v>
      </c>
      <c r="K43" s="27">
        <f t="shared" si="1"/>
        <v>0</v>
      </c>
      <c r="L43" s="739"/>
    </row>
    <row r="44" spans="1:12" s="301" customFormat="1" ht="19.5" thickBot="1">
      <c r="A44" s="299"/>
      <c r="B44" s="300"/>
      <c r="C44" s="300"/>
      <c r="D44" s="300"/>
      <c r="E44" s="1248"/>
      <c r="F44" s="30"/>
      <c r="G44" s="31" t="s">
        <v>1081</v>
      </c>
      <c r="H44" s="598" t="s">
        <v>1068</v>
      </c>
      <c r="I44" s="33">
        <v>64.80412371134021</v>
      </c>
      <c r="J44" s="27">
        <f t="shared" si="0"/>
        <v>58.323711340206188</v>
      </c>
      <c r="K44" s="27">
        <f t="shared" si="1"/>
        <v>0</v>
      </c>
      <c r="L44" s="739"/>
    </row>
    <row r="45" spans="1:12" s="301" customFormat="1" ht="19.5" thickBot="1">
      <c r="A45" s="299"/>
      <c r="B45" s="300"/>
      <c r="C45" s="300"/>
      <c r="D45" s="300"/>
      <c r="E45" s="1248"/>
      <c r="F45" s="302"/>
      <c r="G45" s="309" t="s">
        <v>1082</v>
      </c>
      <c r="H45" s="596" t="s">
        <v>1069</v>
      </c>
      <c r="I45" s="311">
        <v>447.7216494845361</v>
      </c>
      <c r="J45" s="27">
        <f t="shared" ref="J45:J51" si="2">I45*(1-10%)</f>
        <v>402.94948453608248</v>
      </c>
      <c r="K45" s="27">
        <f t="shared" ref="K45:K51" si="3">J45*F45</f>
        <v>0</v>
      </c>
      <c r="L45" s="739"/>
    </row>
    <row r="46" spans="1:12" s="301" customFormat="1" ht="19.5" thickBot="1">
      <c r="A46" s="299"/>
      <c r="B46" s="300"/>
      <c r="C46" s="300"/>
      <c r="D46" s="300"/>
      <c r="E46" s="1248"/>
      <c r="F46" s="30"/>
      <c r="G46" s="309" t="s">
        <v>1083</v>
      </c>
      <c r="H46" s="597" t="s">
        <v>1070</v>
      </c>
      <c r="I46" s="311">
        <v>665.68041237113403</v>
      </c>
      <c r="J46" s="27">
        <f t="shared" si="2"/>
        <v>599.11237113402069</v>
      </c>
      <c r="K46" s="27">
        <f t="shared" si="3"/>
        <v>0</v>
      </c>
      <c r="L46" s="739"/>
    </row>
    <row r="47" spans="1:12" s="301" customFormat="1" ht="19.5" thickBot="1">
      <c r="A47" s="299"/>
      <c r="B47" s="300"/>
      <c r="C47" s="300"/>
      <c r="D47" s="300"/>
      <c r="E47" s="1248"/>
      <c r="F47" s="30"/>
      <c r="G47" s="309" t="s">
        <v>1084</v>
      </c>
      <c r="H47" s="597" t="s">
        <v>1071</v>
      </c>
      <c r="I47" s="311">
        <v>234.16494845360825</v>
      </c>
      <c r="J47" s="27">
        <f t="shared" si="2"/>
        <v>210.74845360824742</v>
      </c>
      <c r="K47" s="27">
        <f t="shared" si="3"/>
        <v>0</v>
      </c>
      <c r="L47" s="739"/>
    </row>
    <row r="48" spans="1:12" s="301" customFormat="1" ht="19.5" thickBot="1">
      <c r="A48" s="299"/>
      <c r="B48" s="300"/>
      <c r="C48" s="300"/>
      <c r="D48" s="300"/>
      <c r="E48" s="1248"/>
      <c r="F48" s="302"/>
      <c r="G48" s="309" t="s">
        <v>1085</v>
      </c>
      <c r="H48" s="596" t="s">
        <v>1072</v>
      </c>
      <c r="I48" s="311">
        <v>297.49484536082474</v>
      </c>
      <c r="J48" s="27">
        <f>I48*(1-10%)</f>
        <v>267.74536082474225</v>
      </c>
      <c r="K48" s="27">
        <f>J48*F48</f>
        <v>0</v>
      </c>
      <c r="L48" s="739"/>
    </row>
    <row r="49" spans="1:12" s="301" customFormat="1" ht="19.5" thickBot="1">
      <c r="A49" s="299"/>
      <c r="B49" s="300"/>
      <c r="C49" s="300"/>
      <c r="D49" s="300"/>
      <c r="E49" s="1248"/>
      <c r="F49" s="30"/>
      <c r="G49" s="309" t="s">
        <v>1086</v>
      </c>
      <c r="H49" s="597" t="s">
        <v>1073</v>
      </c>
      <c r="I49" s="311">
        <v>297.49484536082474</v>
      </c>
      <c r="J49" s="27">
        <f>I49*(1-10%)</f>
        <v>267.74536082474225</v>
      </c>
      <c r="K49" s="27">
        <f>J49*F49</f>
        <v>0</v>
      </c>
      <c r="L49" s="739"/>
    </row>
    <row r="50" spans="1:12" s="301" customFormat="1" ht="19.5" thickBot="1">
      <c r="A50" s="299"/>
      <c r="B50" s="300"/>
      <c r="C50" s="300"/>
      <c r="D50" s="300"/>
      <c r="E50" s="1248"/>
      <c r="F50" s="30"/>
      <c r="G50" s="309" t="s">
        <v>1087</v>
      </c>
      <c r="H50" s="597" t="s">
        <v>1074</v>
      </c>
      <c r="I50" s="311">
        <v>297.49484536082474</v>
      </c>
      <c r="J50" s="27">
        <f>I50*(1-10%)</f>
        <v>267.74536082474225</v>
      </c>
      <c r="K50" s="27">
        <f>J50*F50</f>
        <v>0</v>
      </c>
      <c r="L50" s="739"/>
    </row>
    <row r="51" spans="1:12" s="301" customFormat="1" ht="19.5" thickBot="1">
      <c r="A51" s="299"/>
      <c r="B51" s="300"/>
      <c r="C51" s="300"/>
      <c r="D51" s="300"/>
      <c r="E51" s="1248"/>
      <c r="F51" s="30"/>
      <c r="G51" s="31" t="s">
        <v>1088</v>
      </c>
      <c r="H51" s="598" t="s">
        <v>1075</v>
      </c>
      <c r="I51" s="33">
        <v>297.49484536082474</v>
      </c>
      <c r="J51" s="27">
        <f t="shared" si="2"/>
        <v>267.74536082474225</v>
      </c>
      <c r="K51" s="27">
        <f t="shared" si="3"/>
        <v>0</v>
      </c>
      <c r="L51" s="739"/>
    </row>
    <row r="52" spans="1:12" s="301" customFormat="1" ht="19.5" thickBot="1">
      <c r="A52" s="299"/>
      <c r="B52" s="300"/>
      <c r="C52" s="300"/>
      <c r="D52" s="300"/>
      <c r="E52" s="1249"/>
      <c r="F52" s="30"/>
      <c r="G52" s="31" t="s">
        <v>1089</v>
      </c>
      <c r="H52" s="599" t="s">
        <v>1076</v>
      </c>
      <c r="I52" s="33">
        <v>41.237113402061858</v>
      </c>
      <c r="J52" s="27">
        <f t="shared" si="0"/>
        <v>37.113402061855673</v>
      </c>
      <c r="K52" s="27">
        <f t="shared" si="1"/>
        <v>0</v>
      </c>
      <c r="L52" s="739"/>
    </row>
    <row r="53" spans="1:12" ht="23.25">
      <c r="C53" s="166"/>
      <c r="D53" s="308"/>
      <c r="E53" s="1229" t="s">
        <v>183</v>
      </c>
      <c r="F53" s="1229"/>
      <c r="G53" s="1230"/>
      <c r="H53" s="1230"/>
      <c r="I53" s="1230"/>
      <c r="J53" s="1230"/>
      <c r="K53" s="29">
        <f>SUM(K38:K52)</f>
        <v>0</v>
      </c>
    </row>
    <row r="55" spans="1:12">
      <c r="F55" s="7"/>
      <c r="G55" s="7"/>
      <c r="H55" s="8"/>
      <c r="I55" s="8"/>
      <c r="J55" s="8"/>
      <c r="K55" s="8"/>
    </row>
    <row r="56" spans="1:12">
      <c r="G56" s="7"/>
      <c r="H56" s="8"/>
      <c r="I56" s="8"/>
      <c r="J56" s="8"/>
      <c r="K56" s="8"/>
    </row>
    <row r="58" spans="1:12" ht="15.75">
      <c r="C58" s="166"/>
      <c r="D58" s="167"/>
      <c r="E58" s="168"/>
      <c r="F58" s="28"/>
      <c r="G58" s="7"/>
      <c r="H58" s="8"/>
      <c r="I58" s="8"/>
      <c r="J58" s="8"/>
      <c r="K58" s="8"/>
    </row>
    <row r="59" spans="1:12" ht="15.75">
      <c r="C59" s="166"/>
      <c r="D59" s="167"/>
      <c r="E59" s="168"/>
      <c r="F59" s="28"/>
      <c r="G59" s="7"/>
      <c r="H59" s="8"/>
      <c r="I59" s="8"/>
      <c r="J59" s="8"/>
      <c r="K59" s="8"/>
    </row>
    <row r="60" spans="1:12" ht="15.75">
      <c r="C60" s="166"/>
      <c r="D60" s="167"/>
      <c r="E60" s="168"/>
      <c r="F60" s="28"/>
      <c r="G60" s="7"/>
      <c r="H60" s="8"/>
      <c r="I60" s="8"/>
      <c r="J60" s="8"/>
      <c r="K60" s="8"/>
    </row>
    <row r="61" spans="1:12" ht="15.75">
      <c r="C61" s="166"/>
      <c r="D61" s="167"/>
      <c r="E61" s="168"/>
      <c r="F61" s="28"/>
      <c r="G61" s="7"/>
      <c r="H61" s="8"/>
      <c r="I61" s="8"/>
      <c r="J61" s="8"/>
      <c r="K61" s="8"/>
    </row>
    <row r="62" spans="1:12" ht="15.75">
      <c r="C62" s="166"/>
      <c r="D62" s="167"/>
      <c r="E62" s="168"/>
      <c r="F62" s="28"/>
      <c r="G62" s="7"/>
      <c r="H62" s="8"/>
      <c r="I62" s="8"/>
      <c r="J62" s="8"/>
      <c r="K62" s="8"/>
    </row>
    <row r="63" spans="1:12" ht="15.75">
      <c r="C63" s="166"/>
      <c r="D63" s="167"/>
      <c r="E63" s="168"/>
      <c r="F63" s="28"/>
      <c r="G63" s="7"/>
      <c r="H63" s="8"/>
      <c r="I63" s="8"/>
      <c r="J63" s="8"/>
      <c r="K63" s="8"/>
    </row>
    <row r="64" spans="1:12">
      <c r="G64" s="7"/>
      <c r="I64" s="8"/>
      <c r="K64" s="8"/>
    </row>
    <row r="67" spans="2:7">
      <c r="B67" s="106"/>
      <c r="C67" s="106"/>
    </row>
    <row r="74" spans="2:7">
      <c r="F74" s="104"/>
      <c r="G74" s="104"/>
    </row>
    <row r="75" spans="2:7">
      <c r="F75" s="104"/>
      <c r="G75" s="104"/>
    </row>
    <row r="76" spans="2:7">
      <c r="F76" s="104"/>
      <c r="G76" s="104"/>
    </row>
    <row r="77" spans="2:7">
      <c r="F77" s="104"/>
      <c r="G77" s="104"/>
    </row>
  </sheetData>
  <mergeCells count="15">
    <mergeCell ref="E27:G27"/>
    <mergeCell ref="A4:K4"/>
    <mergeCell ref="A5:K5"/>
    <mergeCell ref="G10:I10"/>
    <mergeCell ref="E24:H24"/>
    <mergeCell ref="E25:H25"/>
    <mergeCell ref="E26:G26"/>
    <mergeCell ref="E53:J53"/>
    <mergeCell ref="G35:H35"/>
    <mergeCell ref="F36:K36"/>
    <mergeCell ref="E28:G28"/>
    <mergeCell ref="G32:H32"/>
    <mergeCell ref="E29:H29"/>
    <mergeCell ref="E39:K39"/>
    <mergeCell ref="E40:E52"/>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0">
    <tabColor rgb="FFFF0000"/>
  </sheetPr>
  <dimension ref="A1:M58"/>
  <sheetViews>
    <sheetView topLeftCell="C1" zoomScale="65" zoomScaleNormal="65" workbookViewId="0">
      <selection activeCell="F40" sqref="F40:F41"/>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8.28515625" style="165" customWidth="1"/>
    <col min="7" max="7" width="23.140625" style="165" customWidth="1"/>
    <col min="8" max="8" width="57.7109375" style="104" customWidth="1"/>
    <col min="9" max="9" width="20.85546875" style="104" customWidth="1"/>
    <col min="10" max="10" width="23" style="104" customWidth="1"/>
    <col min="11" max="11" width="20.42578125" style="104" customWidth="1"/>
    <col min="12" max="16384" width="8.85546875" style="104"/>
  </cols>
  <sheetData>
    <row r="1" spans="1:11" ht="13.5" thickBot="1">
      <c r="B1" s="105"/>
      <c r="C1" s="105"/>
      <c r="D1" s="106"/>
      <c r="E1" s="106"/>
      <c r="F1" s="107"/>
      <c r="G1" s="107"/>
      <c r="H1" s="107"/>
      <c r="I1" s="107"/>
      <c r="J1" s="107"/>
      <c r="K1" s="107"/>
    </row>
    <row r="2" spans="1:11" ht="9" customHeight="1">
      <c r="A2" s="108"/>
      <c r="B2" s="109"/>
      <c r="C2" s="109"/>
      <c r="D2" s="110"/>
      <c r="E2" s="110"/>
      <c r="F2" s="111"/>
      <c r="G2" s="111"/>
      <c r="H2" s="111"/>
      <c r="I2" s="112"/>
      <c r="J2" s="112"/>
      <c r="K2" s="112"/>
    </row>
    <row r="3" spans="1:11" ht="10.5" customHeight="1">
      <c r="B3" s="105"/>
      <c r="C3" s="105"/>
      <c r="D3" s="106"/>
      <c r="E3" s="106"/>
      <c r="F3" s="107"/>
      <c r="G3" s="107"/>
      <c r="H3" s="107"/>
      <c r="I3" s="113"/>
      <c r="J3" s="113"/>
      <c r="K3" s="113"/>
    </row>
    <row r="4" spans="1:11" ht="34.5">
      <c r="A4" s="1242" t="s">
        <v>918</v>
      </c>
      <c r="B4" s="979"/>
      <c r="C4" s="979"/>
      <c r="D4" s="979"/>
      <c r="E4" s="979"/>
      <c r="F4" s="979"/>
      <c r="G4" s="979"/>
      <c r="H4" s="979"/>
      <c r="I4" s="979"/>
      <c r="J4" s="979"/>
      <c r="K4" s="979"/>
    </row>
    <row r="5" spans="1:11" s="114" customFormat="1" ht="58.5" customHeight="1">
      <c r="A5" s="1243" t="s">
        <v>917</v>
      </c>
      <c r="B5" s="1244"/>
      <c r="C5" s="1244"/>
      <c r="D5" s="1244"/>
      <c r="E5" s="1244"/>
      <c r="F5" s="1244"/>
      <c r="G5" s="1244"/>
      <c r="H5" s="1244"/>
      <c r="I5" s="1244"/>
      <c r="J5" s="1244"/>
      <c r="K5" s="1244"/>
    </row>
    <row r="6" spans="1:11" ht="9" customHeight="1" thickBot="1">
      <c r="A6" s="115"/>
      <c r="B6" s="116"/>
      <c r="C6" s="116"/>
      <c r="D6" s="117"/>
      <c r="E6" s="117"/>
      <c r="F6" s="118"/>
      <c r="G6" s="118"/>
      <c r="H6" s="118"/>
      <c r="I6" s="119"/>
      <c r="J6" s="119"/>
      <c r="K6" s="119"/>
    </row>
    <row r="9" spans="1:11" s="113" customFormat="1" ht="14.25">
      <c r="B9" s="120"/>
      <c r="C9" s="120"/>
      <c r="D9" s="121"/>
      <c r="E9" s="121"/>
      <c r="F9" s="121"/>
      <c r="G9" s="121"/>
      <c r="H9" s="121"/>
      <c r="I9" s="121"/>
      <c r="J9" s="121"/>
      <c r="K9" s="121"/>
    </row>
    <row r="10" spans="1:11" s="113" customFormat="1" ht="18">
      <c r="F10" s="173"/>
      <c r="G10" s="1245" t="s">
        <v>3</v>
      </c>
      <c r="H10" s="1245"/>
      <c r="I10" s="1245"/>
    </row>
    <row r="11" spans="1:11" s="113" customFormat="1" ht="18">
      <c r="F11" s="156"/>
      <c r="G11" s="146" t="s">
        <v>4</v>
      </c>
      <c r="H11" s="284" t="s">
        <v>920</v>
      </c>
      <c r="I11" s="285"/>
    </row>
    <row r="12" spans="1:11" s="113" customFormat="1" ht="18">
      <c r="F12" s="286"/>
      <c r="G12" s="146" t="s">
        <v>8</v>
      </c>
      <c r="H12" s="287">
        <v>10000</v>
      </c>
      <c r="I12" s="288"/>
    </row>
    <row r="13" spans="1:11" s="113" customFormat="1" ht="18">
      <c r="A13" s="128"/>
      <c r="B13" s="104"/>
      <c r="C13" s="104"/>
      <c r="D13" s="104"/>
      <c r="E13" s="104"/>
      <c r="F13" s="162"/>
      <c r="G13" s="146" t="s">
        <v>9</v>
      </c>
      <c r="H13" s="284" t="s">
        <v>921</v>
      </c>
      <c r="I13" s="285"/>
    </row>
    <row r="14" spans="1:11" s="113" customFormat="1" ht="18">
      <c r="A14" s="130"/>
      <c r="B14" s="104"/>
      <c r="C14" s="104"/>
      <c r="E14" s="104"/>
      <c r="F14" s="162"/>
      <c r="G14" s="146" t="s">
        <v>10</v>
      </c>
      <c r="H14" s="284" t="s">
        <v>270</v>
      </c>
      <c r="I14" s="285"/>
    </row>
    <row r="15" spans="1:11" s="113" customFormat="1" ht="18">
      <c r="F15" s="286"/>
      <c r="G15" s="146" t="s">
        <v>12</v>
      </c>
      <c r="H15" s="284" t="s">
        <v>922</v>
      </c>
      <c r="I15" s="285"/>
    </row>
    <row r="16" spans="1:11" s="113" customFormat="1" ht="18">
      <c r="F16" s="286"/>
      <c r="G16" s="146" t="s">
        <v>16</v>
      </c>
      <c r="H16" s="284" t="s">
        <v>271</v>
      </c>
      <c r="I16" s="285"/>
    </row>
    <row r="17" spans="1:13" s="113" customFormat="1" ht="18">
      <c r="F17" s="121"/>
      <c r="G17" s="146" t="s">
        <v>19</v>
      </c>
      <c r="H17" s="284" t="s">
        <v>923</v>
      </c>
      <c r="I17" s="285"/>
      <c r="K17" s="124"/>
    </row>
    <row r="18" spans="1:13" s="113" customFormat="1" ht="15.75" customHeight="1">
      <c r="D18" s="136"/>
      <c r="E18" s="136"/>
      <c r="F18" s="121"/>
      <c r="G18" s="146" t="s">
        <v>20</v>
      </c>
      <c r="H18" s="284" t="s">
        <v>924</v>
      </c>
      <c r="I18" s="285"/>
    </row>
    <row r="19" spans="1:13" s="113" customFormat="1" ht="18">
      <c r="D19" s="136"/>
      <c r="E19" s="136"/>
      <c r="F19" s="121"/>
      <c r="G19" s="146" t="s">
        <v>21</v>
      </c>
      <c r="H19" s="284" t="s">
        <v>925</v>
      </c>
      <c r="I19" s="285"/>
    </row>
    <row r="20" spans="1:13" s="113" customFormat="1" ht="18">
      <c r="D20" s="136"/>
      <c r="E20" s="136"/>
      <c r="F20" s="121"/>
      <c r="G20" s="146" t="s">
        <v>22</v>
      </c>
      <c r="H20" s="591" t="s">
        <v>926</v>
      </c>
    </row>
    <row r="21" spans="1:13" s="113" customFormat="1" ht="12.75" customHeight="1" thickBot="1">
      <c r="D21" s="136"/>
      <c r="E21" s="136"/>
      <c r="F21" s="143"/>
      <c r="G21" s="104"/>
      <c r="H21" s="104"/>
      <c r="I21" s="104"/>
      <c r="J21" s="104"/>
      <c r="K21" s="145"/>
    </row>
    <row r="22" spans="1:13" s="301" customFormat="1" ht="18">
      <c r="A22" s="130"/>
      <c r="B22" s="130"/>
      <c r="C22" s="130"/>
      <c r="D22" s="669"/>
      <c r="E22" s="1231" t="s">
        <v>23</v>
      </c>
      <c r="F22" s="1232"/>
      <c r="G22" s="1232"/>
      <c r="H22" s="1233"/>
      <c r="I22" s="669"/>
      <c r="J22" s="669"/>
      <c r="K22" s="669"/>
      <c r="L22" s="669"/>
      <c r="M22" s="669"/>
    </row>
    <row r="23" spans="1:13" s="301" customFormat="1" ht="17.45" customHeight="1">
      <c r="A23" s="130"/>
      <c r="B23" s="130"/>
      <c r="C23" s="130"/>
      <c r="D23" s="105"/>
      <c r="E23" s="1237" t="s">
        <v>3554</v>
      </c>
      <c r="F23" s="1238"/>
      <c r="G23" s="1238"/>
      <c r="H23" s="1239"/>
      <c r="I23" s="104"/>
      <c r="J23" s="104"/>
      <c r="K23" s="104"/>
    </row>
    <row r="24" spans="1:13" s="301" customFormat="1" ht="17.45" customHeight="1">
      <c r="A24" s="130"/>
      <c r="B24" s="130"/>
      <c r="C24" s="130"/>
      <c r="D24" s="105"/>
      <c r="E24" s="1240" t="s">
        <v>160</v>
      </c>
      <c r="F24" s="1241"/>
      <c r="G24" s="1241"/>
      <c r="H24" s="675" t="s">
        <v>161</v>
      </c>
      <c r="I24" s="668"/>
      <c r="J24" s="668"/>
      <c r="K24" s="668"/>
    </row>
    <row r="25" spans="1:13" s="301" customFormat="1" ht="18">
      <c r="A25" s="130"/>
      <c r="B25" s="130"/>
      <c r="C25" s="130"/>
      <c r="D25" s="105"/>
      <c r="E25" s="1240" t="s">
        <v>163</v>
      </c>
      <c r="F25" s="1241"/>
      <c r="G25" s="1241"/>
      <c r="H25" s="676">
        <v>50</v>
      </c>
      <c r="I25" s="104"/>
      <c r="J25" s="104"/>
      <c r="K25" s="104"/>
    </row>
    <row r="26" spans="1:13" s="301" customFormat="1" ht="18">
      <c r="A26" s="130"/>
      <c r="B26" s="130"/>
      <c r="C26" s="130"/>
      <c r="D26" s="105"/>
      <c r="E26" s="1240" t="s">
        <v>164</v>
      </c>
      <c r="F26" s="1241"/>
      <c r="G26" s="1241"/>
      <c r="H26" s="675" t="s">
        <v>4060</v>
      </c>
      <c r="I26" s="519"/>
      <c r="J26" s="519"/>
      <c r="K26" s="519"/>
    </row>
    <row r="27" spans="1:13" s="301" customFormat="1" ht="18.75" thickBot="1">
      <c r="A27" s="130"/>
      <c r="B27" s="130"/>
      <c r="C27" s="130"/>
      <c r="D27" s="130"/>
      <c r="E27" s="1234" t="s">
        <v>92</v>
      </c>
      <c r="F27" s="1235"/>
      <c r="G27" s="1235"/>
      <c r="H27" s="1236"/>
      <c r="I27" s="130"/>
      <c r="J27" s="130"/>
      <c r="K27" s="130"/>
    </row>
    <row r="28" spans="1:13" s="301" customFormat="1" ht="18">
      <c r="A28" s="130"/>
      <c r="B28" s="130"/>
      <c r="C28" s="130"/>
      <c r="D28" s="130"/>
      <c r="E28" s="519"/>
      <c r="F28" s="519"/>
      <c r="G28" s="519"/>
      <c r="H28" s="104"/>
      <c r="I28" s="130"/>
      <c r="J28" s="130"/>
      <c r="K28" s="130"/>
    </row>
    <row r="29" spans="1:13" s="301" customFormat="1" ht="18">
      <c r="A29" s="130"/>
      <c r="B29" s="130"/>
      <c r="C29" s="130"/>
      <c r="D29" s="130"/>
      <c r="E29" s="519"/>
      <c r="F29" s="519"/>
      <c r="G29" s="519"/>
      <c r="H29" s="104"/>
      <c r="I29" s="130"/>
      <c r="J29" s="130"/>
      <c r="K29" s="130"/>
    </row>
    <row r="30" spans="1:13" s="113" customFormat="1" ht="18" customHeight="1" thickBot="1">
      <c r="C30" s="136"/>
      <c r="D30" s="135"/>
      <c r="E30" s="146"/>
      <c r="F30" s="104"/>
      <c r="G30" s="1013"/>
      <c r="H30" s="998"/>
      <c r="I30" s="149"/>
      <c r="J30" s="150"/>
    </row>
    <row r="31" spans="1:13" s="113" customFormat="1" ht="15.75" customHeight="1" thickBot="1">
      <c r="F31" s="1250" t="s">
        <v>167</v>
      </c>
      <c r="G31" s="1251"/>
      <c r="H31" s="1252"/>
      <c r="I31" s="1252"/>
      <c r="J31" s="1252"/>
      <c r="K31" s="1253"/>
    </row>
    <row r="32" spans="1:13" s="291" customFormat="1" ht="98.25" thickBot="1">
      <c r="E32" s="292" t="s">
        <v>123</v>
      </c>
      <c r="F32" s="292" t="s">
        <v>169</v>
      </c>
      <c r="G32" s="292" t="s">
        <v>170</v>
      </c>
      <c r="H32" s="292" t="s">
        <v>171</v>
      </c>
      <c r="I32" s="292" t="s">
        <v>172</v>
      </c>
      <c r="J32" s="292" t="s">
        <v>173</v>
      </c>
      <c r="K32" s="292" t="s">
        <v>174</v>
      </c>
    </row>
    <row r="33" spans="2:11" s="293" customFormat="1" ht="66.75" customHeight="1" thickBot="1">
      <c r="E33" s="294">
        <v>24</v>
      </c>
      <c r="F33" s="294"/>
      <c r="G33" s="294" t="s">
        <v>916</v>
      </c>
      <c r="H33" s="312" t="s">
        <v>919</v>
      </c>
      <c r="I33" s="297">
        <v>156.77000000000001</v>
      </c>
      <c r="J33" s="76">
        <f>SUM(I33:I33)*(1-10%)</f>
        <v>141.09300000000002</v>
      </c>
      <c r="K33" s="76">
        <f>J33*F33</f>
        <v>0</v>
      </c>
    </row>
    <row r="34" spans="2:11" ht="23.25">
      <c r="C34" s="166"/>
      <c r="D34" s="308"/>
      <c r="E34" s="1229" t="s">
        <v>183</v>
      </c>
      <c r="F34" s="1229"/>
      <c r="G34" s="1230"/>
      <c r="H34" s="1230"/>
      <c r="I34" s="1230"/>
      <c r="J34" s="1230"/>
      <c r="K34" s="29">
        <f>SUM(K33:K33)</f>
        <v>0</v>
      </c>
    </row>
    <row r="36" spans="2:11">
      <c r="F36" s="7"/>
      <c r="G36" s="7"/>
      <c r="H36" s="8"/>
      <c r="I36" s="8"/>
      <c r="J36" s="8"/>
      <c r="K36" s="8"/>
    </row>
    <row r="37" spans="2:11">
      <c r="G37" s="7"/>
      <c r="H37" s="8"/>
      <c r="I37" s="8"/>
      <c r="J37" s="8"/>
      <c r="K37" s="8"/>
    </row>
    <row r="39" spans="2:11" ht="15.75">
      <c r="C39" s="166"/>
      <c r="D39" s="167"/>
      <c r="E39" s="168"/>
      <c r="F39" s="28"/>
      <c r="G39" s="7"/>
      <c r="H39" s="8"/>
      <c r="I39" s="8"/>
      <c r="J39" s="8"/>
      <c r="K39" s="8"/>
    </row>
    <row r="40" spans="2:11" ht="15.75">
      <c r="C40" s="166"/>
      <c r="D40" s="167"/>
      <c r="E40" s="168"/>
      <c r="F40" s="28"/>
      <c r="G40" s="7"/>
      <c r="H40" s="8"/>
      <c r="I40" s="8"/>
      <c r="J40" s="8"/>
      <c r="K40" s="8"/>
    </row>
    <row r="41" spans="2:11" ht="15.75">
      <c r="C41" s="166"/>
      <c r="D41" s="167"/>
      <c r="E41" s="168"/>
      <c r="F41" s="28"/>
      <c r="G41" s="7"/>
      <c r="H41" s="8"/>
      <c r="I41" s="8"/>
      <c r="J41" s="8"/>
      <c r="K41" s="8"/>
    </row>
    <row r="42" spans="2:11" ht="15.75">
      <c r="C42" s="166"/>
      <c r="D42" s="167"/>
      <c r="E42" s="168"/>
      <c r="F42" s="28"/>
      <c r="G42" s="7"/>
      <c r="H42" s="8"/>
      <c r="I42" s="8"/>
      <c r="J42" s="8"/>
      <c r="K42" s="8"/>
    </row>
    <row r="43" spans="2:11" ht="15.75">
      <c r="C43" s="166"/>
      <c r="D43" s="167"/>
      <c r="E43" s="168"/>
      <c r="F43" s="28"/>
      <c r="G43" s="7"/>
      <c r="H43" s="8"/>
      <c r="I43" s="8"/>
      <c r="J43" s="8"/>
      <c r="K43" s="8"/>
    </row>
    <row r="44" spans="2:11" ht="15.75">
      <c r="C44" s="166"/>
      <c r="D44" s="167"/>
      <c r="E44" s="168"/>
      <c r="F44" s="28"/>
      <c r="G44" s="7"/>
      <c r="H44" s="8"/>
      <c r="I44" s="8"/>
      <c r="J44" s="8"/>
      <c r="K44" s="8"/>
    </row>
    <row r="45" spans="2:11">
      <c r="G45" s="7"/>
      <c r="I45" s="8"/>
      <c r="K45" s="8"/>
    </row>
    <row r="48" spans="2:11">
      <c r="B48" s="106"/>
      <c r="C48" s="106"/>
    </row>
    <row r="55" s="104" customFormat="1"/>
    <row r="56" s="104" customFormat="1"/>
    <row r="57" s="104" customFormat="1"/>
    <row r="58" s="104" customFormat="1"/>
  </sheetData>
  <mergeCells count="12">
    <mergeCell ref="E25:G25"/>
    <mergeCell ref="E26:G26"/>
    <mergeCell ref="E34:J34"/>
    <mergeCell ref="A4:K4"/>
    <mergeCell ref="A5:K5"/>
    <mergeCell ref="G10:I10"/>
    <mergeCell ref="G30:H30"/>
    <mergeCell ref="F31:K31"/>
    <mergeCell ref="E22:H22"/>
    <mergeCell ref="E27:H27"/>
    <mergeCell ref="E23:H23"/>
    <mergeCell ref="E24:G2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tabColor indexed="62"/>
  </sheetPr>
  <dimension ref="A1:K49"/>
  <sheetViews>
    <sheetView topLeftCell="D10" zoomScale="65" zoomScaleNormal="65" workbookViewId="0">
      <selection activeCell="E36" sqref="E36:K36"/>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8.28515625" style="165" customWidth="1"/>
    <col min="7" max="7" width="23.140625" style="165" customWidth="1"/>
    <col min="8" max="8" width="51.7109375" style="104" customWidth="1"/>
    <col min="9" max="9" width="20.85546875" style="104" customWidth="1"/>
    <col min="10" max="10" width="23" style="104" customWidth="1"/>
    <col min="11" max="11" width="21" style="104" customWidth="1"/>
    <col min="12" max="16384" width="8.85546875" style="104"/>
  </cols>
  <sheetData>
    <row r="1" spans="1:11" ht="13.5" thickBot="1">
      <c r="B1" s="105"/>
      <c r="C1" s="105"/>
      <c r="D1" s="106"/>
      <c r="E1" s="106"/>
      <c r="F1" s="107"/>
      <c r="G1" s="107"/>
      <c r="H1" s="107"/>
      <c r="I1" s="107"/>
      <c r="J1" s="107"/>
      <c r="K1" s="107"/>
    </row>
    <row r="2" spans="1:11" ht="9" customHeight="1">
      <c r="A2" s="108"/>
      <c r="B2" s="109"/>
      <c r="C2" s="109"/>
      <c r="D2" s="110"/>
      <c r="E2" s="110"/>
      <c r="F2" s="111"/>
      <c r="G2" s="111"/>
      <c r="H2" s="111"/>
      <c r="I2" s="112"/>
      <c r="J2" s="112"/>
      <c r="K2" s="112"/>
    </row>
    <row r="3" spans="1:11" ht="10.5" customHeight="1">
      <c r="B3" s="105"/>
      <c r="C3" s="105"/>
      <c r="D3" s="106"/>
      <c r="E3" s="106"/>
      <c r="F3" s="107"/>
      <c r="G3" s="107"/>
      <c r="H3" s="107"/>
      <c r="I3" s="113"/>
      <c r="J3" s="113"/>
      <c r="K3" s="113"/>
    </row>
    <row r="4" spans="1:11" ht="34.5">
      <c r="A4" s="1242" t="s">
        <v>4048</v>
      </c>
      <c r="B4" s="979"/>
      <c r="C4" s="979"/>
      <c r="D4" s="979"/>
      <c r="E4" s="979"/>
      <c r="F4" s="979"/>
      <c r="G4" s="979"/>
      <c r="H4" s="979"/>
      <c r="I4" s="979"/>
      <c r="J4" s="979"/>
      <c r="K4" s="979"/>
    </row>
    <row r="5" spans="1:11" s="114" customFormat="1" ht="58.5" customHeight="1">
      <c r="A5" s="1243" t="s">
        <v>4047</v>
      </c>
      <c r="B5" s="1244"/>
      <c r="C5" s="1244"/>
      <c r="D5" s="1244"/>
      <c r="E5" s="1244"/>
      <c r="F5" s="1244"/>
      <c r="G5" s="1244"/>
      <c r="H5" s="1244"/>
      <c r="I5" s="1244"/>
      <c r="J5" s="1244"/>
      <c r="K5" s="1244"/>
    </row>
    <row r="6" spans="1:11" ht="9" customHeight="1" thickBot="1">
      <c r="A6" s="115"/>
      <c r="B6" s="116"/>
      <c r="C6" s="116"/>
      <c r="D6" s="117"/>
      <c r="E6" s="117"/>
      <c r="F6" s="118"/>
      <c r="G6" s="118"/>
      <c r="H6" s="118"/>
      <c r="I6" s="119"/>
      <c r="J6" s="119"/>
      <c r="K6" s="119"/>
    </row>
    <row r="9" spans="1:11" s="113" customFormat="1" ht="14.25">
      <c r="B9" s="120"/>
      <c r="C9" s="120"/>
      <c r="D9" s="121"/>
      <c r="E9" s="121"/>
      <c r="F9" s="121"/>
      <c r="G9" s="121"/>
      <c r="H9" s="121"/>
      <c r="I9" s="121"/>
      <c r="J9" s="121"/>
      <c r="K9" s="121"/>
    </row>
    <row r="10" spans="1:11" s="113" customFormat="1" ht="18">
      <c r="F10" s="173"/>
      <c r="G10" s="1245" t="s">
        <v>3</v>
      </c>
      <c r="H10" s="1245"/>
      <c r="I10" s="1245"/>
    </row>
    <row r="11" spans="1:11" s="113" customFormat="1" ht="18">
      <c r="F11" s="156"/>
      <c r="G11" s="146" t="s">
        <v>4</v>
      </c>
      <c r="H11" s="284" t="s">
        <v>812</v>
      </c>
      <c r="I11" s="285"/>
    </row>
    <row r="12" spans="1:11" s="113" customFormat="1" ht="18">
      <c r="F12" s="156"/>
      <c r="G12" s="146" t="s">
        <v>8</v>
      </c>
      <c r="H12" s="287">
        <v>100000</v>
      </c>
      <c r="I12" s="288"/>
      <c r="K12" s="124"/>
    </row>
    <row r="13" spans="1:11" s="113" customFormat="1" ht="18">
      <c r="F13" s="286"/>
      <c r="G13" s="146" t="s">
        <v>9</v>
      </c>
      <c r="H13" s="284" t="s">
        <v>4055</v>
      </c>
      <c r="I13" s="285"/>
      <c r="K13" s="129"/>
    </row>
    <row r="14" spans="1:11" s="113" customFormat="1" ht="18">
      <c r="F14" s="286"/>
      <c r="G14" s="146" t="s">
        <v>10</v>
      </c>
      <c r="H14" s="284" t="s">
        <v>128</v>
      </c>
      <c r="I14" s="285"/>
    </row>
    <row r="15" spans="1:11" s="113" customFormat="1" ht="18">
      <c r="A15" s="128"/>
      <c r="B15" s="104"/>
      <c r="C15" s="104"/>
      <c r="D15" s="104"/>
      <c r="E15" s="104"/>
      <c r="F15" s="162"/>
      <c r="G15" s="146" t="s">
        <v>12</v>
      </c>
      <c r="H15" s="284" t="s">
        <v>4043</v>
      </c>
      <c r="I15" s="285"/>
    </row>
    <row r="16" spans="1:11" s="113" customFormat="1" ht="18">
      <c r="A16" s="130"/>
      <c r="B16" s="104"/>
      <c r="C16" s="104"/>
      <c r="E16" s="104"/>
      <c r="F16" s="162"/>
      <c r="G16" s="146" t="s">
        <v>16</v>
      </c>
      <c r="H16" s="284" t="s">
        <v>17</v>
      </c>
      <c r="I16" s="285"/>
    </row>
    <row r="17" spans="1:11" s="113" customFormat="1" ht="18">
      <c r="A17" s="130"/>
      <c r="B17" s="104"/>
      <c r="C17" s="104"/>
      <c r="E17" s="104"/>
      <c r="F17" s="162"/>
      <c r="G17" s="146" t="s">
        <v>18</v>
      </c>
      <c r="H17" s="284" t="s">
        <v>4056</v>
      </c>
      <c r="I17" s="285"/>
    </row>
    <row r="18" spans="1:11" s="113" customFormat="1" ht="18">
      <c r="F18" s="286"/>
      <c r="G18" s="146" t="s">
        <v>19</v>
      </c>
      <c r="H18" s="284" t="s">
        <v>4045</v>
      </c>
      <c r="I18" s="285"/>
    </row>
    <row r="19" spans="1:11" s="113" customFormat="1" ht="18">
      <c r="F19" s="286"/>
      <c r="G19" s="146" t="s">
        <v>20</v>
      </c>
      <c r="H19" s="284" t="s">
        <v>4057</v>
      </c>
      <c r="I19" s="285"/>
    </row>
    <row r="20" spans="1:11" s="113" customFormat="1" ht="18">
      <c r="F20" s="121"/>
      <c r="G20" s="146" t="s">
        <v>21</v>
      </c>
      <c r="H20" s="284" t="s">
        <v>4058</v>
      </c>
      <c r="I20" s="285"/>
      <c r="K20" s="124"/>
    </row>
    <row r="21" spans="1:11" s="113" customFormat="1" ht="15.75" customHeight="1">
      <c r="D21" s="136"/>
      <c r="E21" s="136"/>
      <c r="F21" s="121"/>
      <c r="G21" s="146" t="s">
        <v>22</v>
      </c>
      <c r="H21" s="284" t="s">
        <v>4059</v>
      </c>
      <c r="I21" s="285"/>
    </row>
    <row r="22" spans="1:11" s="113" customFormat="1" ht="12.6" customHeight="1" thickBot="1">
      <c r="D22" s="136"/>
      <c r="E22" s="136"/>
      <c r="F22" s="289"/>
      <c r="G22" s="290"/>
      <c r="H22" s="284"/>
      <c r="I22" s="285"/>
    </row>
    <row r="23" spans="1:11" s="301" customFormat="1" ht="18">
      <c r="A23" s="130"/>
      <c r="B23" s="130"/>
      <c r="C23" s="130"/>
      <c r="D23" s="669"/>
      <c r="E23" s="1231" t="s">
        <v>23</v>
      </c>
      <c r="F23" s="1232"/>
      <c r="G23" s="1232"/>
      <c r="H23" s="1233"/>
      <c r="I23" s="669"/>
      <c r="J23" s="669"/>
      <c r="K23" s="669"/>
    </row>
    <row r="24" spans="1:11" s="301" customFormat="1" ht="17.45" customHeight="1">
      <c r="A24" s="130"/>
      <c r="B24" s="130"/>
      <c r="C24" s="130"/>
      <c r="D24" s="105"/>
      <c r="E24" s="1237" t="s">
        <v>3555</v>
      </c>
      <c r="F24" s="1238"/>
      <c r="G24" s="1238"/>
      <c r="H24" s="1239"/>
      <c r="I24" s="104"/>
      <c r="J24" s="104"/>
      <c r="K24" s="104"/>
    </row>
    <row r="25" spans="1:11" s="301" customFormat="1" ht="17.45" customHeight="1">
      <c r="A25" s="130"/>
      <c r="B25" s="130"/>
      <c r="C25" s="130"/>
      <c r="D25" s="105"/>
      <c r="E25" s="1240" t="s">
        <v>160</v>
      </c>
      <c r="F25" s="1241"/>
      <c r="G25" s="1241"/>
      <c r="H25" s="675" t="s">
        <v>161</v>
      </c>
      <c r="I25" s="668"/>
      <c r="J25" s="668"/>
      <c r="K25" s="668"/>
    </row>
    <row r="26" spans="1:11" s="301" customFormat="1" ht="18">
      <c r="A26" s="130"/>
      <c r="B26" s="130"/>
      <c r="C26" s="130"/>
      <c r="D26" s="105"/>
      <c r="E26" s="1240" t="s">
        <v>163</v>
      </c>
      <c r="F26" s="1241"/>
      <c r="G26" s="1241"/>
      <c r="H26" s="676">
        <v>65</v>
      </c>
      <c r="I26" s="104"/>
      <c r="J26" s="104"/>
      <c r="K26" s="104"/>
    </row>
    <row r="27" spans="1:11" s="301" customFormat="1" ht="18">
      <c r="A27" s="130"/>
      <c r="B27" s="130"/>
      <c r="C27" s="130"/>
      <c r="D27" s="105"/>
      <c r="E27" s="1240" t="s">
        <v>164</v>
      </c>
      <c r="F27" s="1241"/>
      <c r="G27" s="1241"/>
      <c r="H27" s="675" t="s">
        <v>4060</v>
      </c>
      <c r="I27" s="519"/>
      <c r="J27" s="519"/>
      <c r="K27" s="519"/>
    </row>
    <row r="28" spans="1:11" s="301" customFormat="1" ht="18.75" thickBot="1">
      <c r="A28" s="130"/>
      <c r="B28" s="130"/>
      <c r="C28" s="130"/>
      <c r="D28" s="130"/>
      <c r="E28" s="1234" t="s">
        <v>92</v>
      </c>
      <c r="F28" s="1235"/>
      <c r="G28" s="1235"/>
      <c r="H28" s="1236"/>
      <c r="I28" s="130"/>
      <c r="J28" s="130"/>
      <c r="K28" s="130"/>
    </row>
    <row r="29" spans="1:11" s="301" customFormat="1" ht="18">
      <c r="A29" s="130"/>
      <c r="B29" s="130"/>
      <c r="C29" s="130"/>
      <c r="D29" s="130"/>
      <c r="E29" s="519"/>
      <c r="F29" s="519"/>
      <c r="G29" s="519"/>
      <c r="H29" s="104"/>
      <c r="I29" s="130"/>
      <c r="J29" s="130"/>
      <c r="K29" s="130"/>
    </row>
    <row r="30" spans="1:11" s="301" customFormat="1" ht="18">
      <c r="A30" s="130"/>
      <c r="B30" s="130"/>
      <c r="C30" s="130"/>
      <c r="D30" s="130"/>
      <c r="E30" s="519"/>
      <c r="F30" s="519"/>
      <c r="G30" s="519"/>
      <c r="H30" s="104"/>
      <c r="I30" s="130"/>
      <c r="J30" s="130"/>
      <c r="K30" s="130"/>
    </row>
    <row r="31" spans="1:11" s="113" customFormat="1" ht="12.75" customHeight="1">
      <c r="D31" s="136"/>
      <c r="E31" s="136"/>
      <c r="F31" s="143"/>
      <c r="G31" s="104"/>
      <c r="H31" s="104"/>
      <c r="I31" s="104"/>
      <c r="J31" s="104"/>
      <c r="K31" s="145"/>
    </row>
    <row r="32" spans="1:11" s="113" customFormat="1" ht="18" customHeight="1" thickBot="1">
      <c r="C32" s="136"/>
      <c r="D32" s="135"/>
      <c r="E32" s="146"/>
      <c r="F32" s="104"/>
      <c r="G32" s="1013"/>
      <c r="H32" s="998"/>
      <c r="I32" s="149"/>
      <c r="J32" s="150"/>
    </row>
    <row r="33" spans="3:11" s="113" customFormat="1" ht="15.75" customHeight="1" thickBot="1">
      <c r="F33" s="1007" t="s">
        <v>167</v>
      </c>
      <c r="G33" s="1089"/>
      <c r="H33" s="1002"/>
      <c r="I33" s="1002"/>
      <c r="J33" s="1002"/>
      <c r="K33" s="1003"/>
    </row>
    <row r="34" spans="3:11" s="291" customFormat="1" ht="98.25" thickBot="1">
      <c r="E34" s="292" t="s">
        <v>123</v>
      </c>
      <c r="F34" s="292" t="s">
        <v>169</v>
      </c>
      <c r="G34" s="292" t="s">
        <v>170</v>
      </c>
      <c r="H34" s="292" t="s">
        <v>171</v>
      </c>
      <c r="I34" s="292" t="s">
        <v>172</v>
      </c>
      <c r="J34" s="292" t="s">
        <v>173</v>
      </c>
      <c r="K34" s="292" t="s">
        <v>174</v>
      </c>
    </row>
    <row r="35" spans="3:11" s="293" customFormat="1" ht="64.5" customHeight="1" thickBot="1">
      <c r="E35" s="294">
        <v>25</v>
      </c>
      <c r="F35" s="294"/>
      <c r="G35" s="294" t="s">
        <v>4038</v>
      </c>
      <c r="H35" s="312" t="s">
        <v>4037</v>
      </c>
      <c r="I35" s="749">
        <v>446</v>
      </c>
      <c r="J35" s="76">
        <f>I35*(1-25%)</f>
        <v>334.5</v>
      </c>
      <c r="K35" s="76">
        <f>J35*F35</f>
        <v>0</v>
      </c>
    </row>
    <row r="36" spans="3:11" s="314" customFormat="1" ht="24" thickBot="1">
      <c r="E36" s="1246" t="s">
        <v>182</v>
      </c>
      <c r="F36" s="1247"/>
      <c r="G36" s="1247"/>
      <c r="H36" s="1247"/>
      <c r="I36" s="1247"/>
      <c r="J36" s="1247"/>
      <c r="K36" s="1247"/>
    </row>
    <row r="37" spans="3:11" ht="18.75" thickBot="1">
      <c r="E37" s="1248"/>
      <c r="F37" s="670"/>
      <c r="G37" s="671" t="s">
        <v>462</v>
      </c>
      <c r="H37" s="679" t="s">
        <v>667</v>
      </c>
      <c r="I37" s="673">
        <v>91.75257731958763</v>
      </c>
      <c r="J37" s="674">
        <f>I37*(1-10%)</f>
        <v>82.577319587628864</v>
      </c>
      <c r="K37" s="674">
        <f>J37*F37</f>
        <v>0</v>
      </c>
    </row>
    <row r="38" spans="3:11" ht="36.75" thickBot="1">
      <c r="E38" s="1248"/>
      <c r="F38" s="302"/>
      <c r="G38" s="309">
        <v>7640013463</v>
      </c>
      <c r="H38" s="596" t="s">
        <v>815</v>
      </c>
      <c r="I38" s="311">
        <v>339.17525773195877</v>
      </c>
      <c r="J38" s="27">
        <f>I38*(1-10%)</f>
        <v>305.25773195876292</v>
      </c>
      <c r="K38" s="27">
        <f>J38*F38</f>
        <v>0</v>
      </c>
    </row>
    <row r="39" spans="3:11" ht="36.75" thickBot="1">
      <c r="E39" s="1248"/>
      <c r="F39" s="30"/>
      <c r="G39" s="31" t="s">
        <v>4002</v>
      </c>
      <c r="H39" s="599" t="s">
        <v>4049</v>
      </c>
      <c r="I39" s="33">
        <v>178.35051546391753</v>
      </c>
      <c r="J39" s="27">
        <f>I39*(1-10%)</f>
        <v>160.51546391752578</v>
      </c>
      <c r="K39" s="27">
        <f>J39*F39</f>
        <v>0</v>
      </c>
    </row>
    <row r="40" spans="3:11" ht="36.75" thickBot="1">
      <c r="E40" s="1249"/>
      <c r="F40" s="302"/>
      <c r="G40" s="31" t="s">
        <v>4004</v>
      </c>
      <c r="H40" s="599" t="s">
        <v>4050</v>
      </c>
      <c r="I40" s="33">
        <v>271.13402061855669</v>
      </c>
      <c r="J40" s="27">
        <f>I40*(1-10%)</f>
        <v>244.02061855670104</v>
      </c>
      <c r="K40" s="27">
        <f>J40*F40</f>
        <v>0</v>
      </c>
    </row>
    <row r="41" spans="3:11" ht="23.25">
      <c r="C41" s="166"/>
      <c r="D41" s="167"/>
      <c r="E41" s="1229" t="s">
        <v>183</v>
      </c>
      <c r="F41" s="1229"/>
      <c r="G41" s="1229"/>
      <c r="H41" s="1229"/>
      <c r="I41" s="1229"/>
      <c r="J41" s="1229"/>
      <c r="K41" s="29">
        <f>SUM(K35:K40)</f>
        <v>0</v>
      </c>
    </row>
    <row r="42" spans="3:11" ht="15.75">
      <c r="C42" s="166"/>
      <c r="D42" s="167"/>
      <c r="E42" s="168"/>
      <c r="F42" s="28"/>
      <c r="G42" s="7"/>
      <c r="H42" s="8"/>
      <c r="I42" s="8"/>
      <c r="J42" s="8"/>
      <c r="K42" s="8"/>
    </row>
    <row r="43" spans="3:11" ht="15.75">
      <c r="C43" s="166"/>
      <c r="D43" s="167"/>
      <c r="E43" s="168"/>
      <c r="F43" s="28"/>
      <c r="G43" s="7"/>
      <c r="H43" s="8"/>
      <c r="I43" s="8"/>
      <c r="J43" s="8"/>
      <c r="K43" s="8"/>
    </row>
    <row r="44" spans="3:11" ht="15.75">
      <c r="C44" s="166"/>
      <c r="D44" s="167"/>
      <c r="E44" s="168"/>
      <c r="F44" s="28"/>
      <c r="G44" s="7"/>
      <c r="H44" s="8"/>
      <c r="I44" s="8"/>
      <c r="J44" s="8"/>
      <c r="K44" s="8"/>
    </row>
    <row r="45" spans="3:11" ht="15.75">
      <c r="C45" s="166"/>
      <c r="D45" s="167"/>
      <c r="E45" s="168"/>
      <c r="F45" s="28"/>
      <c r="G45" s="7"/>
      <c r="H45" s="8"/>
      <c r="I45" s="8"/>
      <c r="J45" s="8"/>
      <c r="K45" s="8"/>
    </row>
    <row r="46" spans="3:11" ht="15.75">
      <c r="C46" s="166"/>
      <c r="D46" s="167"/>
      <c r="E46" s="168"/>
      <c r="F46" s="28"/>
      <c r="G46" s="7"/>
      <c r="H46" s="8"/>
      <c r="I46" s="8"/>
      <c r="J46" s="8"/>
      <c r="K46" s="8"/>
    </row>
    <row r="47" spans="3:11">
      <c r="F47" s="7"/>
      <c r="G47" s="7"/>
      <c r="H47" s="8"/>
      <c r="I47" s="8"/>
      <c r="J47" s="8"/>
      <c r="K47" s="8"/>
    </row>
    <row r="48" spans="3:11">
      <c r="G48" s="7"/>
      <c r="I48" s="8"/>
      <c r="K48" s="8"/>
    </row>
    <row r="49" spans="2:3">
      <c r="B49" s="106"/>
      <c r="C49" s="106"/>
    </row>
  </sheetData>
  <mergeCells count="14">
    <mergeCell ref="E26:G26"/>
    <mergeCell ref="E27:G27"/>
    <mergeCell ref="A4:K4"/>
    <mergeCell ref="A5:K5"/>
    <mergeCell ref="G10:I10"/>
    <mergeCell ref="E23:H23"/>
    <mergeCell ref="E24:H24"/>
    <mergeCell ref="E25:G25"/>
    <mergeCell ref="G32:H32"/>
    <mergeCell ref="F33:K33"/>
    <mergeCell ref="E37:E40"/>
    <mergeCell ref="E41:J41"/>
    <mergeCell ref="E28:H28"/>
    <mergeCell ref="E36:K36"/>
  </mergeCells>
  <phoneticPr fontId="0" type="noConversion"/>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006600"/>
  </sheetPr>
  <dimension ref="A1:L65"/>
  <sheetViews>
    <sheetView topLeftCell="D19" zoomScale="65" zoomScaleNormal="65" workbookViewId="0">
      <selection activeCell="L33" sqref="L33"/>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8.28515625" style="165" customWidth="1"/>
    <col min="7" max="7" width="23.140625" style="165" customWidth="1"/>
    <col min="8" max="8" width="51.7109375" style="104" customWidth="1"/>
    <col min="9" max="9" width="20.85546875" style="104" customWidth="1"/>
    <col min="10" max="10" width="23" style="104" customWidth="1"/>
    <col min="11" max="11" width="20.42578125" style="104" customWidth="1"/>
    <col min="12" max="12" width="15.42578125" style="104" customWidth="1"/>
    <col min="13" max="16384" width="8.85546875" style="104"/>
  </cols>
  <sheetData>
    <row r="1" spans="1:11" ht="13.5" thickBot="1">
      <c r="B1" s="105"/>
      <c r="C1" s="105"/>
      <c r="D1" s="106"/>
      <c r="E1" s="106"/>
      <c r="F1" s="107"/>
      <c r="G1" s="107"/>
      <c r="H1" s="107"/>
      <c r="I1" s="107"/>
      <c r="J1" s="107"/>
      <c r="K1" s="107"/>
    </row>
    <row r="2" spans="1:11" ht="9" customHeight="1">
      <c r="A2" s="108"/>
      <c r="B2" s="109"/>
      <c r="C2" s="109"/>
      <c r="D2" s="110"/>
      <c r="E2" s="110"/>
      <c r="F2" s="111"/>
      <c r="G2" s="111"/>
      <c r="H2" s="111"/>
      <c r="I2" s="112"/>
      <c r="J2" s="112"/>
      <c r="K2" s="112"/>
    </row>
    <row r="3" spans="1:11" ht="10.5" customHeight="1">
      <c r="B3" s="105"/>
      <c r="C3" s="105"/>
      <c r="D3" s="106"/>
      <c r="E3" s="106"/>
      <c r="F3" s="107"/>
      <c r="G3" s="107"/>
      <c r="H3" s="107"/>
      <c r="I3" s="113"/>
      <c r="J3" s="113"/>
      <c r="K3" s="113"/>
    </row>
    <row r="4" spans="1:11" ht="34.5">
      <c r="A4" s="1242" t="s">
        <v>1090</v>
      </c>
      <c r="B4" s="979"/>
      <c r="C4" s="979"/>
      <c r="D4" s="979"/>
      <c r="E4" s="979"/>
      <c r="F4" s="979"/>
      <c r="G4" s="979"/>
      <c r="H4" s="979"/>
      <c r="I4" s="979"/>
      <c r="J4" s="979"/>
      <c r="K4" s="979"/>
    </row>
    <row r="5" spans="1:11" s="114" customFormat="1" ht="58.5" customHeight="1">
      <c r="A5" s="1243" t="s">
        <v>1093</v>
      </c>
      <c r="B5" s="1244"/>
      <c r="C5" s="1244"/>
      <c r="D5" s="1244"/>
      <c r="E5" s="1244"/>
      <c r="F5" s="1244"/>
      <c r="G5" s="1244"/>
      <c r="H5" s="1244"/>
      <c r="I5" s="1244"/>
      <c r="J5" s="1244"/>
      <c r="K5" s="1244"/>
    </row>
    <row r="6" spans="1:11" ht="9" customHeight="1" thickBot="1">
      <c r="A6" s="115"/>
      <c r="B6" s="116"/>
      <c r="C6" s="116"/>
      <c r="D6" s="117"/>
      <c r="E6" s="117"/>
      <c r="F6" s="118"/>
      <c r="G6" s="118"/>
      <c r="H6" s="118"/>
      <c r="I6" s="119"/>
      <c r="J6" s="119"/>
      <c r="K6" s="119"/>
    </row>
    <row r="9" spans="1:11" s="113" customFormat="1" ht="14.25">
      <c r="B9" s="120"/>
      <c r="C9" s="120"/>
      <c r="D9" s="121"/>
      <c r="E9" s="121"/>
      <c r="F9" s="121"/>
      <c r="G9" s="121"/>
      <c r="H9" s="121"/>
      <c r="I9" s="121"/>
      <c r="J9" s="121"/>
      <c r="K9" s="121"/>
    </row>
    <row r="10" spans="1:11" s="113" customFormat="1" ht="18">
      <c r="F10" s="173"/>
      <c r="G10" s="1245" t="s">
        <v>3</v>
      </c>
      <c r="H10" s="1245"/>
      <c r="I10" s="1245"/>
    </row>
    <row r="11" spans="1:11" s="113" customFormat="1" ht="18">
      <c r="F11" s="156"/>
      <c r="G11" s="146" t="s">
        <v>4</v>
      </c>
      <c r="H11" s="284" t="s">
        <v>90</v>
      </c>
      <c r="I11" s="285"/>
    </row>
    <row r="12" spans="1:11" s="113" customFormat="1" ht="18">
      <c r="F12" s="156"/>
      <c r="G12" s="146" t="s">
        <v>5</v>
      </c>
      <c r="H12" s="284" t="s">
        <v>3413</v>
      </c>
      <c r="I12" s="285"/>
      <c r="K12" s="124"/>
    </row>
    <row r="13" spans="1:11" s="113" customFormat="1" ht="18">
      <c r="F13" s="286"/>
      <c r="G13" s="146" t="s">
        <v>8</v>
      </c>
      <c r="H13" s="287">
        <v>175000</v>
      </c>
      <c r="I13" s="288"/>
      <c r="K13" s="129"/>
    </row>
    <row r="14" spans="1:11" s="113" customFormat="1" ht="18">
      <c r="F14" s="286"/>
      <c r="G14" s="146" t="s">
        <v>9</v>
      </c>
      <c r="H14" s="284" t="s">
        <v>248</v>
      </c>
      <c r="I14" s="285"/>
    </row>
    <row r="15" spans="1:11" s="113" customFormat="1" ht="18">
      <c r="A15" s="128"/>
      <c r="B15" s="104"/>
      <c r="C15" s="104"/>
      <c r="D15" s="104"/>
      <c r="E15" s="104"/>
      <c r="F15" s="162"/>
      <c r="G15" s="146" t="s">
        <v>10</v>
      </c>
      <c r="H15" s="284" t="s">
        <v>128</v>
      </c>
      <c r="I15" s="285"/>
    </row>
    <row r="16" spans="1:11" s="113" customFormat="1" ht="18">
      <c r="A16" s="130"/>
      <c r="B16" s="104"/>
      <c r="C16" s="104"/>
      <c r="E16" s="104"/>
      <c r="F16" s="162"/>
      <c r="G16" s="146" t="s">
        <v>12</v>
      </c>
      <c r="H16" s="284" t="s">
        <v>3414</v>
      </c>
      <c r="I16" s="285"/>
    </row>
    <row r="17" spans="1:11" s="113" customFormat="1" ht="18">
      <c r="A17" s="130"/>
      <c r="B17" s="104"/>
      <c r="C17" s="104"/>
      <c r="E17" s="104"/>
      <c r="F17" s="162"/>
      <c r="G17" s="146" t="s">
        <v>16</v>
      </c>
      <c r="H17" s="284" t="s">
        <v>17</v>
      </c>
      <c r="I17" s="285"/>
    </row>
    <row r="18" spans="1:11" s="113" customFormat="1" ht="18">
      <c r="F18" s="286"/>
      <c r="G18" s="146" t="s">
        <v>18</v>
      </c>
      <c r="H18" s="284" t="s">
        <v>249</v>
      </c>
      <c r="I18" s="285"/>
    </row>
    <row r="19" spans="1:11" s="113" customFormat="1" ht="18">
      <c r="F19" s="286"/>
      <c r="G19" s="146" t="s">
        <v>19</v>
      </c>
      <c r="H19" s="284" t="s">
        <v>3417</v>
      </c>
      <c r="I19" s="285"/>
    </row>
    <row r="20" spans="1:11" s="113" customFormat="1" ht="18">
      <c r="F20" s="121"/>
      <c r="G20" s="146" t="s">
        <v>20</v>
      </c>
      <c r="H20" s="284" t="s">
        <v>191</v>
      </c>
      <c r="I20" s="285"/>
      <c r="K20" s="124"/>
    </row>
    <row r="21" spans="1:11" s="113" customFormat="1" ht="15.75" customHeight="1">
      <c r="D21" s="136"/>
      <c r="E21" s="136"/>
      <c r="F21" s="121"/>
      <c r="G21" s="146" t="s">
        <v>21</v>
      </c>
      <c r="H21" s="284" t="s">
        <v>3418</v>
      </c>
      <c r="I21" s="285"/>
    </row>
    <row r="22" spans="1:11" s="113" customFormat="1" ht="18">
      <c r="D22" s="136"/>
      <c r="E22" s="136"/>
      <c r="F22" s="121"/>
      <c r="G22" s="146" t="s">
        <v>22</v>
      </c>
      <c r="H22" s="284" t="s">
        <v>3419</v>
      </c>
      <c r="I22" s="285"/>
    </row>
    <row r="23" spans="1:11" s="113" customFormat="1" ht="18">
      <c r="D23" s="136"/>
      <c r="E23" s="136"/>
      <c r="F23" s="121"/>
      <c r="G23" s="146"/>
      <c r="H23" s="284"/>
      <c r="I23" s="285"/>
    </row>
    <row r="24" spans="1:11" s="113" customFormat="1" ht="12.75" customHeight="1" thickBot="1">
      <c r="D24" s="136"/>
      <c r="E24" s="136"/>
      <c r="F24" s="289"/>
      <c r="G24" s="290"/>
      <c r="H24" s="284"/>
      <c r="I24" s="285"/>
    </row>
    <row r="25" spans="1:11" s="301" customFormat="1" ht="18">
      <c r="A25" s="130"/>
      <c r="B25" s="130"/>
      <c r="C25" s="130"/>
      <c r="D25" s="669"/>
      <c r="E25" s="1231" t="s">
        <v>23</v>
      </c>
      <c r="F25" s="1232"/>
      <c r="G25" s="1232"/>
      <c r="H25" s="1233"/>
      <c r="I25" s="669"/>
      <c r="J25" s="669"/>
      <c r="K25" s="669"/>
    </row>
    <row r="26" spans="1:11" s="301" customFormat="1" ht="17.45" customHeight="1">
      <c r="A26" s="130"/>
      <c r="B26" s="130"/>
      <c r="C26" s="130"/>
      <c r="D26" s="105"/>
      <c r="E26" s="1237" t="s">
        <v>3555</v>
      </c>
      <c r="F26" s="1238"/>
      <c r="G26" s="1238"/>
      <c r="H26" s="1239"/>
      <c r="I26" s="104"/>
      <c r="J26" s="104"/>
      <c r="K26" s="104"/>
    </row>
    <row r="27" spans="1:11" s="301" customFormat="1" ht="17.45" customHeight="1">
      <c r="A27" s="130"/>
      <c r="B27" s="130"/>
      <c r="C27" s="130"/>
      <c r="D27" s="105"/>
      <c r="E27" s="1240" t="s">
        <v>160</v>
      </c>
      <c r="F27" s="1241"/>
      <c r="G27" s="1241"/>
      <c r="H27" s="675" t="s">
        <v>161</v>
      </c>
      <c r="I27" s="668"/>
      <c r="J27" s="668"/>
      <c r="K27" s="668"/>
    </row>
    <row r="28" spans="1:11" s="301" customFormat="1" ht="18">
      <c r="A28" s="130"/>
      <c r="B28" s="130"/>
      <c r="C28" s="130"/>
      <c r="D28" s="105"/>
      <c r="E28" s="1240" t="s">
        <v>163</v>
      </c>
      <c r="F28" s="1241"/>
      <c r="G28" s="1241"/>
      <c r="H28" s="676">
        <v>150</v>
      </c>
      <c r="I28" s="104"/>
      <c r="J28" s="104"/>
      <c r="K28" s="104"/>
    </row>
    <row r="29" spans="1:11" s="301" customFormat="1" ht="18">
      <c r="A29" s="130"/>
      <c r="B29" s="130"/>
      <c r="C29" s="130"/>
      <c r="D29" s="105"/>
      <c r="E29" s="1240" t="s">
        <v>164</v>
      </c>
      <c r="F29" s="1241"/>
      <c r="G29" s="1241"/>
      <c r="H29" s="675" t="s">
        <v>4060</v>
      </c>
      <c r="I29" s="519"/>
      <c r="J29" s="519"/>
      <c r="K29" s="519"/>
    </row>
    <row r="30" spans="1:11" s="301" customFormat="1" ht="18.75" thickBot="1">
      <c r="A30" s="130"/>
      <c r="B30" s="130"/>
      <c r="C30" s="130"/>
      <c r="D30" s="130"/>
      <c r="E30" s="1234" t="s">
        <v>92</v>
      </c>
      <c r="F30" s="1235"/>
      <c r="G30" s="1235"/>
      <c r="H30" s="1236"/>
      <c r="I30" s="130"/>
      <c r="J30" s="130"/>
      <c r="K30" s="130"/>
    </row>
    <row r="31" spans="1:11" s="301" customFormat="1" ht="18">
      <c r="A31" s="130"/>
      <c r="B31" s="130"/>
      <c r="C31" s="130"/>
      <c r="D31" s="130"/>
      <c r="E31" s="519"/>
      <c r="F31" s="519"/>
      <c r="G31" s="519"/>
      <c r="H31" s="104"/>
      <c r="I31" s="130"/>
      <c r="J31" s="130"/>
      <c r="K31" s="130"/>
    </row>
    <row r="32" spans="1:11" s="301" customFormat="1" ht="18">
      <c r="A32" s="130"/>
      <c r="B32" s="130"/>
      <c r="C32" s="130"/>
      <c r="D32" s="130"/>
      <c r="E32" s="519"/>
      <c r="F32" s="519"/>
      <c r="G32" s="519"/>
      <c r="H32" s="104"/>
      <c r="I32" s="130"/>
      <c r="J32" s="130"/>
      <c r="K32" s="130"/>
    </row>
    <row r="33" spans="3:12" s="113" customFormat="1" ht="12.75" customHeight="1">
      <c r="D33" s="136"/>
      <c r="E33" s="136"/>
      <c r="F33" s="143"/>
      <c r="G33" s="104"/>
      <c r="H33" s="104"/>
      <c r="I33" s="104"/>
      <c r="J33" s="104"/>
      <c r="K33" s="145"/>
    </row>
    <row r="34" spans="3:12" s="113" customFormat="1" ht="12.75" customHeight="1">
      <c r="D34" s="136"/>
      <c r="E34" s="136"/>
      <c r="F34" s="143"/>
      <c r="G34" s="104"/>
      <c r="H34" s="104"/>
      <c r="I34" s="104"/>
      <c r="J34" s="104"/>
      <c r="K34" s="145"/>
    </row>
    <row r="35" spans="3:12" s="113" customFormat="1" ht="18" customHeight="1" thickBot="1">
      <c r="C35" s="136"/>
      <c r="D35" s="135"/>
      <c r="E35" s="146"/>
      <c r="F35" s="104"/>
      <c r="G35" s="1013"/>
      <c r="H35" s="998"/>
      <c r="I35" s="149"/>
      <c r="J35" s="150"/>
    </row>
    <row r="36" spans="3:12" s="113" customFormat="1" ht="15.75" customHeight="1" thickBot="1">
      <c r="F36" s="1007" t="s">
        <v>167</v>
      </c>
      <c r="G36" s="1089"/>
      <c r="H36" s="1002"/>
      <c r="I36" s="1002"/>
      <c r="J36" s="1002"/>
      <c r="K36" s="1003"/>
    </row>
    <row r="37" spans="3:12" s="291" customFormat="1" ht="98.25" thickBot="1">
      <c r="E37" s="292" t="s">
        <v>123</v>
      </c>
      <c r="F37" s="292" t="s">
        <v>169</v>
      </c>
      <c r="G37" s="292" t="s">
        <v>170</v>
      </c>
      <c r="H37" s="292" t="s">
        <v>171</v>
      </c>
      <c r="I37" s="292" t="s">
        <v>172</v>
      </c>
      <c r="J37" s="292" t="s">
        <v>173</v>
      </c>
      <c r="K37" s="292" t="s">
        <v>174</v>
      </c>
    </row>
    <row r="38" spans="3:12" s="293" customFormat="1" ht="64.5" customHeight="1" thickBot="1">
      <c r="E38" s="294">
        <v>25</v>
      </c>
      <c r="F38" s="294"/>
      <c r="G38" s="294" t="s">
        <v>1091</v>
      </c>
      <c r="H38" s="312" t="s">
        <v>1092</v>
      </c>
      <c r="I38" s="297">
        <v>1557.18</v>
      </c>
      <c r="J38" s="76">
        <f>SUM(I38:I38)*(1-50%)</f>
        <v>778.59</v>
      </c>
      <c r="K38" s="76">
        <f>J38*F38</f>
        <v>0</v>
      </c>
    </row>
    <row r="39" spans="3:12" s="314" customFormat="1" ht="24" thickBot="1">
      <c r="E39" s="1254" t="s">
        <v>182</v>
      </c>
      <c r="F39" s="1255"/>
      <c r="G39" s="1255"/>
      <c r="H39" s="1255"/>
      <c r="I39" s="1255"/>
      <c r="J39" s="1255"/>
      <c r="K39" s="1255"/>
    </row>
    <row r="40" spans="3:12" ht="18.75" thickBot="1">
      <c r="E40" s="1248"/>
      <c r="F40" s="670"/>
      <c r="G40" s="671" t="s">
        <v>1077</v>
      </c>
      <c r="H40" s="672" t="s">
        <v>1064</v>
      </c>
      <c r="I40" s="673">
        <v>169.37113402061854</v>
      </c>
      <c r="J40" s="674">
        <f t="shared" ref="J40:J47" si="0">I40*(1-10%)</f>
        <v>152.4340206185567</v>
      </c>
      <c r="K40" s="674">
        <f>J40*F40</f>
        <v>0</v>
      </c>
      <c r="L40" s="562"/>
    </row>
    <row r="41" spans="3:12" ht="18.75" thickBot="1">
      <c r="E41" s="1248"/>
      <c r="F41" s="302"/>
      <c r="G41" s="309" t="s">
        <v>1078</v>
      </c>
      <c r="H41" s="315" t="s">
        <v>1065</v>
      </c>
      <c r="I41" s="311">
        <v>260.68041237113403</v>
      </c>
      <c r="J41" s="27">
        <f t="shared" si="0"/>
        <v>234.61237113402063</v>
      </c>
      <c r="K41" s="27">
        <f t="shared" ref="K41:K46" si="1">J41*F41</f>
        <v>0</v>
      </c>
      <c r="L41" s="562"/>
    </row>
    <row r="42" spans="3:12" ht="18.75" thickBot="1">
      <c r="E42" s="1248"/>
      <c r="F42" s="302"/>
      <c r="G42" s="309" t="s">
        <v>1079</v>
      </c>
      <c r="H42" s="315" t="s">
        <v>1066</v>
      </c>
      <c r="I42" s="311">
        <v>326.94845360824741</v>
      </c>
      <c r="J42" s="27">
        <f t="shared" si="0"/>
        <v>294.25360824742268</v>
      </c>
      <c r="K42" s="27">
        <f t="shared" si="1"/>
        <v>0</v>
      </c>
      <c r="L42" s="562"/>
    </row>
    <row r="43" spans="3:12" ht="18.75" thickBot="1">
      <c r="E43" s="1248"/>
      <c r="F43" s="30"/>
      <c r="G43" s="31" t="s">
        <v>1099</v>
      </c>
      <c r="H43" s="32" t="s">
        <v>1094</v>
      </c>
      <c r="I43" s="33">
        <v>627.39175257731961</v>
      </c>
      <c r="J43" s="27">
        <f t="shared" si="0"/>
        <v>564.65257731958764</v>
      </c>
      <c r="K43" s="27">
        <f t="shared" si="1"/>
        <v>0</v>
      </c>
      <c r="L43" s="562"/>
    </row>
    <row r="44" spans="3:12" ht="18.75" thickBot="1">
      <c r="E44" s="1248"/>
      <c r="F44" s="302"/>
      <c r="G44" s="31" t="s">
        <v>1080</v>
      </c>
      <c r="H44" s="32" t="s">
        <v>1067</v>
      </c>
      <c r="I44" s="33">
        <v>78.051546391752566</v>
      </c>
      <c r="J44" s="27">
        <f t="shared" si="0"/>
        <v>70.24639175257731</v>
      </c>
      <c r="K44" s="27">
        <f t="shared" si="1"/>
        <v>0</v>
      </c>
      <c r="L44" s="562"/>
    </row>
    <row r="45" spans="3:12" ht="18.75" thickBot="1">
      <c r="E45" s="1248"/>
      <c r="F45" s="302"/>
      <c r="G45" s="309" t="s">
        <v>1082</v>
      </c>
      <c r="H45" s="310" t="s">
        <v>1069</v>
      </c>
      <c r="I45" s="311">
        <v>447.7216494845361</v>
      </c>
      <c r="J45" s="27">
        <f t="shared" si="0"/>
        <v>402.94948453608248</v>
      </c>
      <c r="K45" s="27">
        <f t="shared" si="1"/>
        <v>0</v>
      </c>
      <c r="L45" s="562"/>
    </row>
    <row r="46" spans="3:12" ht="18.75" thickBot="1">
      <c r="E46" s="1248"/>
      <c r="F46" s="30"/>
      <c r="G46" s="31" t="s">
        <v>1083</v>
      </c>
      <c r="H46" s="34" t="s">
        <v>1070</v>
      </c>
      <c r="I46" s="33">
        <v>665.68041237113403</v>
      </c>
      <c r="J46" s="27">
        <f t="shared" si="0"/>
        <v>599.11237113402069</v>
      </c>
      <c r="K46" s="27">
        <f t="shared" si="1"/>
        <v>0</v>
      </c>
      <c r="L46" s="562"/>
    </row>
    <row r="47" spans="3:12" ht="18.75" thickBot="1">
      <c r="E47" s="1248"/>
      <c r="F47" s="302"/>
      <c r="G47" s="309" t="s">
        <v>1084</v>
      </c>
      <c r="H47" s="315" t="s">
        <v>1071</v>
      </c>
      <c r="I47" s="311">
        <v>234.16494845360825</v>
      </c>
      <c r="J47" s="27">
        <f t="shared" si="0"/>
        <v>210.74845360824742</v>
      </c>
      <c r="K47" s="27">
        <f>J47*F47</f>
        <v>0</v>
      </c>
      <c r="L47" s="562"/>
    </row>
    <row r="48" spans="3:12" ht="18.75" thickBot="1">
      <c r="E48" s="1248"/>
      <c r="F48" s="302"/>
      <c r="G48" s="309" t="s">
        <v>1085</v>
      </c>
      <c r="H48" s="315" t="s">
        <v>1072</v>
      </c>
      <c r="I48" s="311">
        <v>297.49484536082474</v>
      </c>
      <c r="J48" s="27">
        <f t="shared" ref="J48:J55" si="2">I48*(1-10%)</f>
        <v>267.74536082474225</v>
      </c>
      <c r="K48" s="27">
        <f t="shared" ref="K48:K55" si="3">J48*F48</f>
        <v>0</v>
      </c>
      <c r="L48" s="562"/>
    </row>
    <row r="49" spans="3:12" ht="18.75" thickBot="1">
      <c r="E49" s="1248"/>
      <c r="F49" s="302"/>
      <c r="G49" s="309" t="s">
        <v>1086</v>
      </c>
      <c r="H49" s="315" t="s">
        <v>1073</v>
      </c>
      <c r="I49" s="311">
        <v>297.49484536082474</v>
      </c>
      <c r="J49" s="27">
        <f t="shared" si="2"/>
        <v>267.74536082474225</v>
      </c>
      <c r="K49" s="27">
        <f t="shared" si="3"/>
        <v>0</v>
      </c>
      <c r="L49" s="562"/>
    </row>
    <row r="50" spans="3:12" ht="18.75" thickBot="1">
      <c r="E50" s="1248"/>
      <c r="F50" s="302"/>
      <c r="G50" s="309" t="s">
        <v>1087</v>
      </c>
      <c r="H50" s="315" t="s">
        <v>1074</v>
      </c>
      <c r="I50" s="311">
        <v>297.49484536082474</v>
      </c>
      <c r="J50" s="27">
        <f>I50*(1-10%)</f>
        <v>267.74536082474225</v>
      </c>
      <c r="K50" s="27">
        <f>J50*F50</f>
        <v>0</v>
      </c>
      <c r="L50" s="562"/>
    </row>
    <row r="51" spans="3:12" ht="18.75" thickBot="1">
      <c r="E51" s="1248"/>
      <c r="F51" s="302"/>
      <c r="G51" s="309" t="s">
        <v>1088</v>
      </c>
      <c r="H51" s="315" t="s">
        <v>1075</v>
      </c>
      <c r="I51" s="311">
        <v>297.49484536082474</v>
      </c>
      <c r="J51" s="27">
        <f>I51*(1-10%)</f>
        <v>267.74536082474225</v>
      </c>
      <c r="K51" s="27">
        <f>J51*F51</f>
        <v>0</v>
      </c>
      <c r="L51" s="562"/>
    </row>
    <row r="52" spans="3:12" ht="18.75" thickBot="1">
      <c r="E52" s="1248"/>
      <c r="F52" s="30"/>
      <c r="G52" s="31" t="s">
        <v>1100</v>
      </c>
      <c r="H52" s="32" t="s">
        <v>1095</v>
      </c>
      <c r="I52" s="33">
        <v>151.69072164948452</v>
      </c>
      <c r="J52" s="27">
        <f t="shared" si="2"/>
        <v>136.52164948453606</v>
      </c>
      <c r="K52" s="27">
        <f t="shared" si="3"/>
        <v>0</v>
      </c>
      <c r="L52" s="562"/>
    </row>
    <row r="53" spans="3:12" ht="18.75" thickBot="1">
      <c r="E53" s="1248"/>
      <c r="F53" s="302"/>
      <c r="G53" s="31" t="s">
        <v>1101</v>
      </c>
      <c r="H53" s="32" t="s">
        <v>1096</v>
      </c>
      <c r="I53" s="33">
        <v>92.783505154639172</v>
      </c>
      <c r="J53" s="27">
        <f t="shared" si="2"/>
        <v>83.505154639175259</v>
      </c>
      <c r="K53" s="27">
        <f t="shared" si="3"/>
        <v>0</v>
      </c>
      <c r="L53" s="562"/>
    </row>
    <row r="54" spans="3:12" ht="18.75" thickBot="1">
      <c r="E54" s="1248"/>
      <c r="F54" s="302"/>
      <c r="G54" s="309" t="s">
        <v>1102</v>
      </c>
      <c r="H54" s="310" t="s">
        <v>1097</v>
      </c>
      <c r="I54" s="311">
        <v>64.80412371134021</v>
      </c>
      <c r="J54" s="27">
        <f t="shared" si="2"/>
        <v>58.323711340206188</v>
      </c>
      <c r="K54" s="27">
        <f t="shared" si="3"/>
        <v>0</v>
      </c>
      <c r="L54" s="562"/>
    </row>
    <row r="55" spans="3:12" ht="18.75" thickBot="1">
      <c r="E55" s="1248"/>
      <c r="F55" s="30"/>
      <c r="G55" s="31" t="s">
        <v>1103</v>
      </c>
      <c r="H55" s="34" t="s">
        <v>1098</v>
      </c>
      <c r="I55" s="33">
        <v>220.91752577319588</v>
      </c>
      <c r="J55" s="27">
        <f t="shared" si="2"/>
        <v>198.82577319587628</v>
      </c>
      <c r="K55" s="27">
        <f t="shared" si="3"/>
        <v>0</v>
      </c>
      <c r="L55" s="562"/>
    </row>
    <row r="56" spans="3:12" ht="18.75" thickBot="1">
      <c r="E56" s="1249"/>
      <c r="F56" s="302"/>
      <c r="G56" s="31" t="s">
        <v>1089</v>
      </c>
      <c r="H56" s="34" t="s">
        <v>1076</v>
      </c>
      <c r="I56" s="33">
        <v>41.237113402061858</v>
      </c>
      <c r="J56" s="27">
        <f>I56*(1-10%)</f>
        <v>37.113402061855673</v>
      </c>
      <c r="K56" s="27">
        <f>J56*F56</f>
        <v>0</v>
      </c>
      <c r="L56" s="562"/>
    </row>
    <row r="57" spans="3:12" ht="23.25">
      <c r="C57" s="166"/>
      <c r="D57" s="167"/>
      <c r="E57" s="1229" t="s">
        <v>183</v>
      </c>
      <c r="F57" s="1229"/>
      <c r="G57" s="1229"/>
      <c r="H57" s="1229"/>
      <c r="I57" s="1229"/>
      <c r="J57" s="1229"/>
      <c r="K57" s="29">
        <f>SUM(K38:K56)</f>
        <v>0</v>
      </c>
    </row>
    <row r="58" spans="3:12" ht="15.75">
      <c r="C58" s="166"/>
      <c r="D58" s="167"/>
      <c r="E58" s="168"/>
      <c r="F58" s="28"/>
      <c r="G58" s="7"/>
      <c r="H58" s="8"/>
      <c r="I58" s="8"/>
      <c r="J58" s="8"/>
      <c r="K58" s="8"/>
    </row>
    <row r="59" spans="3:12" ht="15.75">
      <c r="C59" s="166"/>
      <c r="D59" s="167"/>
      <c r="E59" s="168"/>
      <c r="F59" s="28"/>
      <c r="G59" s="7"/>
      <c r="H59" s="8"/>
      <c r="I59" s="8"/>
      <c r="J59" s="8"/>
      <c r="K59" s="8"/>
    </row>
    <row r="60" spans="3:12" ht="15.75">
      <c r="C60" s="166"/>
      <c r="D60" s="167"/>
      <c r="E60" s="168"/>
      <c r="F60" s="28"/>
      <c r="G60" s="7"/>
      <c r="H60" s="8"/>
      <c r="I60" s="8"/>
      <c r="J60" s="8"/>
      <c r="K60" s="8"/>
    </row>
    <row r="61" spans="3:12" ht="15.75">
      <c r="C61" s="166"/>
      <c r="D61" s="167"/>
      <c r="E61" s="168"/>
      <c r="F61" s="28"/>
      <c r="G61" s="7"/>
      <c r="H61" s="8"/>
      <c r="I61" s="8"/>
      <c r="J61" s="8"/>
      <c r="K61" s="8"/>
    </row>
    <row r="62" spans="3:12" ht="15.75">
      <c r="C62" s="166"/>
      <c r="D62" s="167"/>
      <c r="E62" s="168"/>
      <c r="F62" s="28"/>
      <c r="G62" s="7"/>
      <c r="H62" s="8"/>
      <c r="I62" s="8"/>
      <c r="J62" s="8"/>
      <c r="K62" s="8"/>
    </row>
    <row r="63" spans="3:12">
      <c r="F63" s="7"/>
      <c r="G63" s="7"/>
      <c r="H63" s="8"/>
      <c r="I63" s="8"/>
      <c r="J63" s="8"/>
      <c r="K63" s="8"/>
    </row>
    <row r="64" spans="3:12">
      <c r="G64" s="7"/>
      <c r="I64" s="8"/>
      <c r="K64" s="8"/>
    </row>
    <row r="65" spans="2:3">
      <c r="B65" s="106"/>
      <c r="C65" s="106"/>
    </row>
  </sheetData>
  <mergeCells count="14">
    <mergeCell ref="E28:G28"/>
    <mergeCell ref="A4:K4"/>
    <mergeCell ref="A5:K5"/>
    <mergeCell ref="G10:I10"/>
    <mergeCell ref="E25:H25"/>
    <mergeCell ref="E26:H26"/>
    <mergeCell ref="E27:G27"/>
    <mergeCell ref="E29:G29"/>
    <mergeCell ref="E40:E56"/>
    <mergeCell ref="E57:J57"/>
    <mergeCell ref="G35:H35"/>
    <mergeCell ref="F36:K36"/>
    <mergeCell ref="E30:H30"/>
    <mergeCell ref="E39:K39"/>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1">
    <tabColor rgb="FFFF0000"/>
  </sheetPr>
  <dimension ref="A1:K42"/>
  <sheetViews>
    <sheetView topLeftCell="F7" zoomScale="65" zoomScaleNormal="65" workbookViewId="0">
      <selection activeCell="O36" sqref="O36"/>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8.28515625" style="165" customWidth="1"/>
    <col min="7" max="7" width="23.140625" style="165" customWidth="1"/>
    <col min="8" max="8" width="51.7109375" style="104" customWidth="1"/>
    <col min="9" max="9" width="20.85546875" style="104" customWidth="1"/>
    <col min="10" max="10" width="23" style="104" customWidth="1"/>
    <col min="11" max="11" width="20.42578125" style="104" customWidth="1"/>
    <col min="12" max="16384" width="8.85546875" style="104"/>
  </cols>
  <sheetData>
    <row r="1" spans="1:11" ht="13.5" thickBot="1">
      <c r="B1" s="105"/>
      <c r="C1" s="105"/>
      <c r="D1" s="106"/>
      <c r="E1" s="106"/>
      <c r="F1" s="107"/>
      <c r="G1" s="107"/>
      <c r="H1" s="107"/>
      <c r="I1" s="107"/>
      <c r="J1" s="107"/>
      <c r="K1" s="107"/>
    </row>
    <row r="2" spans="1:11" ht="9" customHeight="1">
      <c r="A2" s="108"/>
      <c r="B2" s="109"/>
      <c r="C2" s="109"/>
      <c r="D2" s="110"/>
      <c r="E2" s="110"/>
      <c r="F2" s="111"/>
      <c r="G2" s="111"/>
      <c r="H2" s="111"/>
      <c r="I2" s="112"/>
      <c r="J2" s="112"/>
      <c r="K2" s="112"/>
    </row>
    <row r="3" spans="1:11" ht="10.5" customHeight="1">
      <c r="B3" s="105"/>
      <c r="C3" s="105"/>
      <c r="D3" s="106"/>
      <c r="E3" s="106"/>
      <c r="F3" s="107"/>
      <c r="G3" s="107"/>
      <c r="H3" s="107"/>
      <c r="I3" s="113"/>
      <c r="J3" s="113"/>
      <c r="K3" s="113"/>
    </row>
    <row r="4" spans="1:11" ht="34.5">
      <c r="A4" s="1242" t="s">
        <v>928</v>
      </c>
      <c r="B4" s="979"/>
      <c r="C4" s="979"/>
      <c r="D4" s="979"/>
      <c r="E4" s="979"/>
      <c r="F4" s="979"/>
      <c r="G4" s="979"/>
      <c r="H4" s="979"/>
      <c r="I4" s="979"/>
      <c r="J4" s="979"/>
      <c r="K4" s="979"/>
    </row>
    <row r="5" spans="1:11" s="114" customFormat="1" ht="58.5" customHeight="1">
      <c r="A5" s="1243" t="s">
        <v>917</v>
      </c>
      <c r="B5" s="1244"/>
      <c r="C5" s="1244"/>
      <c r="D5" s="1244"/>
      <c r="E5" s="1244"/>
      <c r="F5" s="1244"/>
      <c r="G5" s="1244"/>
      <c r="H5" s="1244"/>
      <c r="I5" s="1244"/>
      <c r="J5" s="1244"/>
      <c r="K5" s="1244"/>
    </row>
    <row r="6" spans="1:11" ht="9" customHeight="1" thickBot="1">
      <c r="A6" s="115"/>
      <c r="B6" s="116"/>
      <c r="C6" s="116"/>
      <c r="D6" s="117"/>
      <c r="E6" s="117"/>
      <c r="F6" s="118"/>
      <c r="G6" s="118"/>
      <c r="H6" s="118"/>
      <c r="I6" s="119"/>
      <c r="J6" s="119"/>
      <c r="K6" s="119"/>
    </row>
    <row r="9" spans="1:11" s="113" customFormat="1" ht="14.25">
      <c r="B9" s="120"/>
      <c r="C9" s="120"/>
      <c r="D9" s="121"/>
      <c r="E9" s="121"/>
      <c r="F9" s="121"/>
      <c r="G9" s="121"/>
      <c r="H9" s="121"/>
      <c r="I9" s="121"/>
      <c r="J9" s="121"/>
      <c r="K9" s="121"/>
    </row>
    <row r="10" spans="1:11" s="113" customFormat="1" ht="18">
      <c r="F10" s="173"/>
      <c r="G10" s="1245" t="s">
        <v>3</v>
      </c>
      <c r="H10" s="1245"/>
      <c r="I10" s="1245"/>
    </row>
    <row r="11" spans="1:11" s="113" customFormat="1" ht="18">
      <c r="F11" s="156"/>
      <c r="G11" s="146" t="s">
        <v>4</v>
      </c>
      <c r="H11" s="284" t="s">
        <v>920</v>
      </c>
      <c r="I11" s="285"/>
    </row>
    <row r="12" spans="1:11" s="113" customFormat="1" ht="18">
      <c r="F12" s="156"/>
      <c r="G12" s="146" t="s">
        <v>8</v>
      </c>
      <c r="H12" s="287">
        <v>30000</v>
      </c>
      <c r="I12" s="288"/>
      <c r="K12" s="124"/>
    </row>
    <row r="13" spans="1:11" s="113" customFormat="1" ht="18">
      <c r="F13" s="286"/>
      <c r="G13" s="146" t="s">
        <v>9</v>
      </c>
      <c r="H13" s="284" t="s">
        <v>931</v>
      </c>
      <c r="I13" s="285"/>
      <c r="K13" s="129"/>
    </row>
    <row r="14" spans="1:11" s="113" customFormat="1" ht="18">
      <c r="F14" s="286"/>
      <c r="G14" s="146" t="s">
        <v>10</v>
      </c>
      <c r="H14" s="284" t="s">
        <v>270</v>
      </c>
      <c r="I14" s="285"/>
    </row>
    <row r="15" spans="1:11" s="113" customFormat="1" ht="18">
      <c r="A15" s="128"/>
      <c r="B15" s="104"/>
      <c r="C15" s="104"/>
      <c r="D15" s="104"/>
      <c r="E15" s="104"/>
      <c r="F15" s="162"/>
      <c r="G15" s="146" t="s">
        <v>12</v>
      </c>
      <c r="H15" s="284" t="s">
        <v>930</v>
      </c>
      <c r="I15" s="285"/>
    </row>
    <row r="16" spans="1:11" s="113" customFormat="1" ht="18">
      <c r="A16" s="130"/>
      <c r="B16" s="104"/>
      <c r="C16" s="104"/>
      <c r="E16" s="104"/>
      <c r="F16" s="162"/>
      <c r="G16" s="146" t="s">
        <v>16</v>
      </c>
      <c r="H16" s="284" t="s">
        <v>271</v>
      </c>
      <c r="I16" s="285"/>
    </row>
    <row r="17" spans="1:11" s="113" customFormat="1" ht="18">
      <c r="A17" s="130"/>
      <c r="B17" s="104"/>
      <c r="C17" s="104"/>
      <c r="E17" s="104"/>
      <c r="F17" s="162"/>
      <c r="G17" s="146" t="s">
        <v>19</v>
      </c>
      <c r="H17" s="284" t="s">
        <v>934</v>
      </c>
      <c r="I17" s="285"/>
    </row>
    <row r="18" spans="1:11" s="113" customFormat="1" ht="18">
      <c r="F18" s="286"/>
      <c r="G18" s="146" t="s">
        <v>20</v>
      </c>
      <c r="H18" s="284" t="s">
        <v>935</v>
      </c>
      <c r="I18" s="285"/>
    </row>
    <row r="19" spans="1:11" s="113" customFormat="1" ht="18">
      <c r="F19" s="286"/>
      <c r="G19" s="146" t="s">
        <v>21</v>
      </c>
      <c r="H19" s="284" t="s">
        <v>933</v>
      </c>
      <c r="I19" s="285"/>
    </row>
    <row r="20" spans="1:11" s="113" customFormat="1" ht="18">
      <c r="F20" s="121"/>
      <c r="G20" s="146" t="s">
        <v>22</v>
      </c>
      <c r="H20" s="591" t="s">
        <v>932</v>
      </c>
      <c r="K20" s="124"/>
    </row>
    <row r="21" spans="1:11" s="113" customFormat="1" ht="15.75" customHeight="1">
      <c r="D21" s="136"/>
      <c r="E21" s="136"/>
      <c r="F21" s="121"/>
      <c r="G21" s="146"/>
      <c r="H21" s="284"/>
      <c r="I21" s="285"/>
    </row>
    <row r="22" spans="1:11" s="113" customFormat="1" ht="12.75" customHeight="1" thickBot="1">
      <c r="D22" s="136"/>
      <c r="E22" s="136"/>
      <c r="F22" s="289"/>
      <c r="G22" s="290"/>
      <c r="H22" s="284"/>
      <c r="I22" s="285"/>
    </row>
    <row r="23" spans="1:11" s="301" customFormat="1" ht="18">
      <c r="A23" s="130"/>
      <c r="B23" s="130"/>
      <c r="C23" s="130"/>
      <c r="D23" s="669"/>
      <c r="E23" s="1231" t="s">
        <v>23</v>
      </c>
      <c r="F23" s="1232"/>
      <c r="G23" s="1232"/>
      <c r="H23" s="1233"/>
      <c r="I23" s="669"/>
      <c r="J23" s="669"/>
      <c r="K23" s="669"/>
    </row>
    <row r="24" spans="1:11" s="301" customFormat="1" ht="17.45" customHeight="1">
      <c r="A24" s="130"/>
      <c r="B24" s="130"/>
      <c r="C24" s="130"/>
      <c r="D24" s="105"/>
      <c r="E24" s="1237" t="s">
        <v>3555</v>
      </c>
      <c r="F24" s="1238"/>
      <c r="G24" s="1238"/>
      <c r="H24" s="1239"/>
      <c r="I24" s="104"/>
      <c r="J24" s="104"/>
      <c r="K24" s="104"/>
    </row>
    <row r="25" spans="1:11" s="301" customFormat="1" ht="17.45" customHeight="1">
      <c r="A25" s="130"/>
      <c r="B25" s="130"/>
      <c r="C25" s="130"/>
      <c r="D25" s="105"/>
      <c r="E25" s="1240" t="s">
        <v>160</v>
      </c>
      <c r="F25" s="1241"/>
      <c r="G25" s="1241"/>
      <c r="H25" s="675" t="s">
        <v>161</v>
      </c>
      <c r="I25" s="668"/>
      <c r="J25" s="668"/>
      <c r="K25" s="668"/>
    </row>
    <row r="26" spans="1:11" s="301" customFormat="1" ht="18">
      <c r="A26" s="130"/>
      <c r="B26" s="130"/>
      <c r="C26" s="130"/>
      <c r="D26" s="105"/>
      <c r="E26" s="1240" t="s">
        <v>163</v>
      </c>
      <c r="F26" s="1241"/>
      <c r="G26" s="1241"/>
      <c r="H26" s="676">
        <v>50</v>
      </c>
      <c r="I26" s="104"/>
      <c r="J26" s="104"/>
      <c r="K26" s="104"/>
    </row>
    <row r="27" spans="1:11" s="301" customFormat="1" ht="18">
      <c r="A27" s="130"/>
      <c r="B27" s="130"/>
      <c r="C27" s="130"/>
      <c r="D27" s="105"/>
      <c r="E27" s="1240" t="s">
        <v>164</v>
      </c>
      <c r="F27" s="1241"/>
      <c r="G27" s="1241"/>
      <c r="H27" s="675" t="s">
        <v>4060</v>
      </c>
      <c r="I27" s="519"/>
      <c r="J27" s="519"/>
      <c r="K27" s="519"/>
    </row>
    <row r="28" spans="1:11" s="301" customFormat="1" ht="18.75" thickBot="1">
      <c r="A28" s="130"/>
      <c r="B28" s="130"/>
      <c r="C28" s="130"/>
      <c r="D28" s="130"/>
      <c r="E28" s="1234" t="s">
        <v>92</v>
      </c>
      <c r="F28" s="1235"/>
      <c r="G28" s="1235"/>
      <c r="H28" s="1236"/>
      <c r="I28" s="130"/>
      <c r="J28" s="130"/>
      <c r="K28" s="130"/>
    </row>
    <row r="29" spans="1:11" s="301" customFormat="1" ht="18">
      <c r="A29" s="130"/>
      <c r="B29" s="130"/>
      <c r="C29" s="130"/>
      <c r="D29" s="130"/>
      <c r="E29" s="519"/>
      <c r="F29" s="519"/>
      <c r="G29" s="519"/>
      <c r="H29" s="104"/>
      <c r="I29" s="130"/>
      <c r="J29" s="130"/>
      <c r="K29" s="130"/>
    </row>
    <row r="30" spans="1:11" s="301" customFormat="1" ht="18">
      <c r="A30" s="130"/>
      <c r="B30" s="130"/>
      <c r="C30" s="130"/>
      <c r="D30" s="130"/>
      <c r="E30" s="519"/>
      <c r="F30" s="519"/>
      <c r="G30" s="519"/>
      <c r="H30" s="104"/>
      <c r="I30" s="130"/>
      <c r="J30" s="130"/>
      <c r="K30" s="130"/>
    </row>
    <row r="31" spans="1:11" s="113" customFormat="1" ht="12.75" customHeight="1">
      <c r="D31" s="136"/>
      <c r="E31" s="136"/>
      <c r="F31" s="143"/>
      <c r="G31" s="104"/>
      <c r="H31" s="104"/>
      <c r="I31" s="104"/>
      <c r="J31" s="104"/>
      <c r="K31" s="145"/>
    </row>
    <row r="32" spans="1:11" s="113" customFormat="1" ht="12.75" customHeight="1">
      <c r="D32" s="136"/>
      <c r="E32" s="136"/>
      <c r="F32" s="289"/>
      <c r="G32" s="290"/>
      <c r="H32" s="284"/>
      <c r="I32" s="285"/>
    </row>
    <row r="33" spans="2:11" s="113" customFormat="1" ht="12.75" customHeight="1" thickBot="1">
      <c r="D33" s="136"/>
      <c r="E33" s="136"/>
      <c r="F33" s="143"/>
      <c r="G33" s="104"/>
      <c r="H33" s="104"/>
      <c r="I33" s="104"/>
      <c r="J33" s="104"/>
      <c r="K33" s="145"/>
    </row>
    <row r="34" spans="2:11" s="113" customFormat="1" ht="18" customHeight="1" thickBot="1">
      <c r="C34" s="136"/>
      <c r="D34" s="135"/>
      <c r="F34" s="1250" t="s">
        <v>167</v>
      </c>
      <c r="G34" s="1251"/>
      <c r="H34" s="1252"/>
      <c r="I34" s="1252"/>
      <c r="J34" s="1252"/>
      <c r="K34" s="1253"/>
    </row>
    <row r="35" spans="2:11" ht="98.25" thickBot="1">
      <c r="C35" s="166"/>
      <c r="D35" s="167"/>
      <c r="E35" s="292" t="s">
        <v>123</v>
      </c>
      <c r="F35" s="292" t="s">
        <v>169</v>
      </c>
      <c r="G35" s="292" t="s">
        <v>170</v>
      </c>
      <c r="H35" s="292" t="s">
        <v>171</v>
      </c>
      <c r="I35" s="292" t="s">
        <v>172</v>
      </c>
      <c r="J35" s="292" t="s">
        <v>173</v>
      </c>
      <c r="K35" s="292" t="s">
        <v>174</v>
      </c>
    </row>
    <row r="36" spans="2:11" ht="69.400000000000006" customHeight="1" thickBot="1">
      <c r="C36" s="166"/>
      <c r="D36" s="167"/>
      <c r="E36" s="294">
        <v>25</v>
      </c>
      <c r="F36" s="294"/>
      <c r="G36" s="294" t="s">
        <v>927</v>
      </c>
      <c r="H36" s="312" t="s">
        <v>929</v>
      </c>
      <c r="I36" s="297">
        <v>222.61</v>
      </c>
      <c r="J36" s="76">
        <f>SUM(I36:I36)*(1-20%)</f>
        <v>178.08800000000002</v>
      </c>
      <c r="K36" s="76">
        <f>J36*F36</f>
        <v>0</v>
      </c>
    </row>
    <row r="37" spans="2:11" ht="23.25">
      <c r="C37" s="166"/>
      <c r="D37" s="167"/>
      <c r="E37" s="1229" t="s">
        <v>183</v>
      </c>
      <c r="F37" s="1229"/>
      <c r="G37" s="1230"/>
      <c r="H37" s="1230"/>
      <c r="I37" s="1230"/>
      <c r="J37" s="1230"/>
      <c r="K37" s="29">
        <f>SUM(K36:K36)</f>
        <v>0</v>
      </c>
    </row>
    <row r="38" spans="2:11" ht="15.75">
      <c r="C38" s="166"/>
      <c r="D38" s="167"/>
      <c r="E38" s="168"/>
      <c r="F38" s="28"/>
      <c r="G38" s="7"/>
      <c r="H38" s="8"/>
      <c r="I38" s="8"/>
      <c r="J38" s="8"/>
      <c r="K38" s="8"/>
    </row>
    <row r="39" spans="2:11" ht="15.75">
      <c r="C39" s="166"/>
      <c r="D39" s="167"/>
      <c r="E39" s="168"/>
      <c r="F39" s="28"/>
      <c r="G39" s="7"/>
      <c r="H39" s="8"/>
      <c r="I39" s="8"/>
      <c r="J39" s="8"/>
      <c r="K39" s="8"/>
    </row>
    <row r="40" spans="2:11">
      <c r="F40" s="7"/>
      <c r="G40" s="7"/>
      <c r="H40" s="8"/>
      <c r="I40" s="8"/>
      <c r="J40" s="8"/>
      <c r="K40" s="8"/>
    </row>
    <row r="41" spans="2:11">
      <c r="G41" s="7"/>
      <c r="I41" s="8"/>
      <c r="K41" s="8"/>
    </row>
    <row r="42" spans="2:11">
      <c r="B42" s="106"/>
      <c r="C42" s="106"/>
    </row>
  </sheetData>
  <mergeCells count="11">
    <mergeCell ref="E26:G26"/>
    <mergeCell ref="E27:G27"/>
    <mergeCell ref="F34:K34"/>
    <mergeCell ref="E37:J37"/>
    <mergeCell ref="E28:H28"/>
    <mergeCell ref="E25:G25"/>
    <mergeCell ref="A4:K4"/>
    <mergeCell ref="A5:K5"/>
    <mergeCell ref="G10:I10"/>
    <mergeCell ref="E23:H23"/>
    <mergeCell ref="E24:H2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indexed="62"/>
  </sheetPr>
  <dimension ref="A1:L74"/>
  <sheetViews>
    <sheetView topLeftCell="A28" zoomScale="80" zoomScaleNormal="80" workbookViewId="0">
      <selection activeCell="J35" sqref="J35"/>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6.42578125" style="165" customWidth="1"/>
    <col min="7" max="7" width="38.85546875" style="165" customWidth="1"/>
    <col min="8" max="8" width="50.7109375" style="104" customWidth="1"/>
    <col min="9" max="9" width="20.85546875" style="104" customWidth="1"/>
    <col min="10" max="10" width="23" style="104" customWidth="1"/>
    <col min="11" max="11" width="20.42578125" style="104" customWidth="1"/>
    <col min="12" max="16384" width="8.85546875" style="104"/>
  </cols>
  <sheetData>
    <row r="1" spans="1:11" ht="13.5" thickBot="1">
      <c r="B1" s="105"/>
      <c r="C1" s="105"/>
      <c r="D1" s="106"/>
      <c r="E1" s="106"/>
      <c r="F1" s="107"/>
      <c r="G1" s="107"/>
      <c r="H1" s="107"/>
      <c r="I1" s="107"/>
      <c r="J1" s="107"/>
      <c r="K1" s="107"/>
    </row>
    <row r="2" spans="1:11" ht="9" customHeight="1">
      <c r="A2" s="108"/>
      <c r="B2" s="109"/>
      <c r="C2" s="109"/>
      <c r="D2" s="110"/>
      <c r="E2" s="110"/>
      <c r="F2" s="111"/>
      <c r="G2" s="111"/>
      <c r="H2" s="111"/>
      <c r="I2" s="112"/>
      <c r="J2" s="112"/>
      <c r="K2" s="112"/>
    </row>
    <row r="3" spans="1:11" ht="10.5" customHeight="1">
      <c r="B3" s="105"/>
      <c r="C3" s="105"/>
      <c r="D3" s="106"/>
      <c r="E3" s="106"/>
      <c r="F3" s="107"/>
      <c r="G3" s="107"/>
      <c r="H3" s="107"/>
      <c r="I3" s="113"/>
      <c r="J3" s="113"/>
      <c r="K3" s="113"/>
    </row>
    <row r="4" spans="1:11" ht="34.5">
      <c r="A4" s="1242" t="s">
        <v>4296</v>
      </c>
      <c r="B4" s="979"/>
      <c r="C4" s="979"/>
      <c r="D4" s="979"/>
      <c r="E4" s="979"/>
      <c r="F4" s="979"/>
      <c r="G4" s="979"/>
      <c r="H4" s="979"/>
      <c r="I4" s="979"/>
      <c r="J4" s="979"/>
      <c r="K4" s="979"/>
    </row>
    <row r="5" spans="1:11" s="114" customFormat="1" ht="58.5" customHeight="1">
      <c r="A5" s="1243" t="s">
        <v>4297</v>
      </c>
      <c r="B5" s="1244"/>
      <c r="C5" s="1244"/>
      <c r="D5" s="1244"/>
      <c r="E5" s="1244"/>
      <c r="F5" s="1244"/>
      <c r="G5" s="1244"/>
      <c r="H5" s="1244"/>
      <c r="I5" s="1244"/>
      <c r="J5" s="1244"/>
      <c r="K5" s="1244"/>
    </row>
    <row r="6" spans="1:11" ht="9" customHeight="1" thickBot="1">
      <c r="A6" s="115"/>
      <c r="B6" s="116"/>
      <c r="C6" s="116"/>
      <c r="D6" s="117"/>
      <c r="E6" s="117"/>
      <c r="F6" s="118"/>
      <c r="G6" s="118"/>
      <c r="H6" s="118"/>
      <c r="I6" s="119"/>
      <c r="J6" s="119"/>
      <c r="K6" s="119"/>
    </row>
    <row r="9" spans="1:11" s="113" customFormat="1" ht="14.25">
      <c r="B9" s="120"/>
      <c r="C9" s="120"/>
      <c r="D9" s="121"/>
      <c r="E9" s="121"/>
      <c r="F9" s="121"/>
      <c r="G9" s="121"/>
      <c r="H9" s="121"/>
      <c r="I9" s="121"/>
      <c r="J9" s="121"/>
      <c r="K9" s="121"/>
    </row>
    <row r="10" spans="1:11" s="113" customFormat="1" ht="18">
      <c r="F10" s="173"/>
      <c r="G10" s="1245" t="s">
        <v>3</v>
      </c>
      <c r="H10" s="1245"/>
      <c r="I10" s="1245"/>
    </row>
    <row r="11" spans="1:11" s="113" customFormat="1" ht="18">
      <c r="F11" s="156"/>
      <c r="G11" s="146" t="s">
        <v>4</v>
      </c>
      <c r="H11" s="284" t="s">
        <v>812</v>
      </c>
      <c r="I11" s="285"/>
    </row>
    <row r="12" spans="1:11" s="113" customFormat="1" ht="18">
      <c r="F12" s="156"/>
      <c r="G12" s="146" t="s">
        <v>8</v>
      </c>
      <c r="H12" s="287">
        <v>120000</v>
      </c>
      <c r="I12" s="288"/>
      <c r="K12" s="124"/>
    </row>
    <row r="13" spans="1:11" s="113" customFormat="1" ht="18">
      <c r="F13" s="286"/>
      <c r="G13" s="146" t="s">
        <v>9</v>
      </c>
      <c r="H13" s="284" t="s">
        <v>248</v>
      </c>
      <c r="I13" s="285"/>
      <c r="K13" s="129"/>
    </row>
    <row r="14" spans="1:11" s="113" customFormat="1" ht="18">
      <c r="F14" s="286"/>
      <c r="G14" s="146" t="s">
        <v>10</v>
      </c>
      <c r="H14" s="284" t="s">
        <v>128</v>
      </c>
      <c r="I14" s="285"/>
    </row>
    <row r="15" spans="1:11" s="113" customFormat="1" ht="18">
      <c r="A15" s="128"/>
      <c r="B15" s="104"/>
      <c r="C15" s="104"/>
      <c r="D15" s="104"/>
      <c r="E15" s="104"/>
      <c r="F15" s="162"/>
      <c r="G15" s="146" t="s">
        <v>12</v>
      </c>
      <c r="H15" s="284" t="s">
        <v>4051</v>
      </c>
      <c r="I15" s="285"/>
    </row>
    <row r="16" spans="1:11" s="113" customFormat="1" ht="18">
      <c r="A16" s="130"/>
      <c r="B16" s="104"/>
      <c r="C16" s="104"/>
      <c r="E16" s="104"/>
      <c r="F16" s="162"/>
      <c r="G16" s="146" t="s">
        <v>16</v>
      </c>
      <c r="H16" s="284" t="s">
        <v>17</v>
      </c>
      <c r="I16" s="285"/>
    </row>
    <row r="17" spans="1:12" s="113" customFormat="1" ht="18">
      <c r="A17" s="130"/>
      <c r="B17" s="104"/>
      <c r="C17" s="104"/>
      <c r="E17" s="104"/>
      <c r="F17" s="162"/>
      <c r="G17" s="146" t="s">
        <v>18</v>
      </c>
      <c r="H17" s="284" t="s">
        <v>4046</v>
      </c>
      <c r="I17" s="285"/>
    </row>
    <row r="18" spans="1:12" s="113" customFormat="1" ht="18">
      <c r="F18" s="286"/>
      <c r="G18" s="146" t="s">
        <v>19</v>
      </c>
      <c r="H18" s="284" t="s">
        <v>4052</v>
      </c>
      <c r="I18" s="285"/>
    </row>
    <row r="19" spans="1:12" s="113" customFormat="1" ht="18">
      <c r="F19" s="286"/>
      <c r="G19" s="146" t="s">
        <v>20</v>
      </c>
      <c r="H19" s="284" t="s">
        <v>4053</v>
      </c>
      <c r="I19" s="285"/>
    </row>
    <row r="20" spans="1:12" s="113" customFormat="1" ht="18">
      <c r="F20" s="121"/>
      <c r="G20" s="146" t="s">
        <v>21</v>
      </c>
      <c r="H20" s="284" t="s">
        <v>4054</v>
      </c>
      <c r="I20" s="285"/>
      <c r="K20" s="124"/>
    </row>
    <row r="21" spans="1:12" s="113" customFormat="1" ht="15.6" customHeight="1">
      <c r="D21" s="136"/>
      <c r="E21" s="136"/>
      <c r="F21" s="121"/>
      <c r="G21" s="146" t="s">
        <v>22</v>
      </c>
      <c r="H21" s="284" t="s">
        <v>4044</v>
      </c>
      <c r="I21" s="285"/>
    </row>
    <row r="22" spans="1:12" s="113" customFormat="1" ht="15.6" customHeight="1">
      <c r="D22" s="136"/>
      <c r="E22" s="136"/>
      <c r="F22" s="121"/>
      <c r="G22" s="146"/>
      <c r="H22" s="284"/>
      <c r="I22" s="285"/>
    </row>
    <row r="23" spans="1:12" s="113" customFormat="1" ht="12.6" customHeight="1" thickBot="1">
      <c r="D23" s="136"/>
      <c r="E23" s="136"/>
      <c r="F23" s="289"/>
      <c r="G23" s="290"/>
      <c r="H23" s="284"/>
      <c r="I23" s="285"/>
    </row>
    <row r="24" spans="1:12" s="301" customFormat="1" ht="18">
      <c r="A24" s="130"/>
      <c r="B24" s="130"/>
      <c r="C24" s="130"/>
      <c r="D24" s="669"/>
      <c r="E24" s="1231" t="s">
        <v>23</v>
      </c>
      <c r="F24" s="1232"/>
      <c r="G24" s="1232"/>
      <c r="H24" s="1233"/>
      <c r="I24" s="669"/>
      <c r="J24" s="669"/>
      <c r="K24" s="669"/>
      <c r="L24" s="669"/>
    </row>
    <row r="25" spans="1:12" s="301" customFormat="1" ht="17.45" customHeight="1">
      <c r="A25" s="130"/>
      <c r="B25" s="130"/>
      <c r="C25" s="130"/>
      <c r="D25" s="105"/>
      <c r="E25" s="1237" t="s">
        <v>3556</v>
      </c>
      <c r="F25" s="1238"/>
      <c r="G25" s="1238"/>
      <c r="H25" s="1239"/>
      <c r="I25" s="104"/>
      <c r="J25" s="104"/>
      <c r="K25" s="104"/>
    </row>
    <row r="26" spans="1:12" s="301" customFormat="1" ht="17.45" customHeight="1">
      <c r="A26" s="130"/>
      <c r="B26" s="130"/>
      <c r="C26" s="130"/>
      <c r="D26" s="105"/>
      <c r="E26" s="1240" t="s">
        <v>160</v>
      </c>
      <c r="F26" s="1241"/>
      <c r="G26" s="1241"/>
      <c r="H26" s="675" t="s">
        <v>161</v>
      </c>
      <c r="I26" s="668"/>
      <c r="J26" s="668"/>
      <c r="K26" s="668"/>
    </row>
    <row r="27" spans="1:12" s="301" customFormat="1" ht="18">
      <c r="A27" s="130"/>
      <c r="B27" s="130"/>
      <c r="C27" s="130"/>
      <c r="D27" s="105"/>
      <c r="E27" s="1240" t="s">
        <v>163</v>
      </c>
      <c r="F27" s="1241"/>
      <c r="G27" s="1241"/>
      <c r="H27" s="676">
        <v>120</v>
      </c>
      <c r="I27" s="104"/>
      <c r="J27" s="104"/>
      <c r="K27" s="104"/>
    </row>
    <row r="28" spans="1:12" s="301" customFormat="1" ht="18">
      <c r="A28" s="130"/>
      <c r="B28" s="130"/>
      <c r="C28" s="130"/>
      <c r="D28" s="105"/>
      <c r="E28" s="1240" t="s">
        <v>164</v>
      </c>
      <c r="F28" s="1241"/>
      <c r="G28" s="1241"/>
      <c r="H28" s="675" t="s">
        <v>4060</v>
      </c>
      <c r="I28" s="519"/>
      <c r="J28" s="519"/>
      <c r="K28" s="519"/>
    </row>
    <row r="29" spans="1:12" s="301" customFormat="1" ht="18.75" thickBot="1">
      <c r="A29" s="130"/>
      <c r="B29" s="130"/>
      <c r="C29" s="130"/>
      <c r="D29" s="130"/>
      <c r="E29" s="1234" t="s">
        <v>92</v>
      </c>
      <c r="F29" s="1235"/>
      <c r="G29" s="1235"/>
      <c r="H29" s="1236"/>
      <c r="I29" s="130"/>
      <c r="J29" s="130"/>
      <c r="K29" s="130"/>
    </row>
    <row r="30" spans="1:12" s="113" customFormat="1" ht="12.75" customHeight="1">
      <c r="D30" s="136"/>
      <c r="E30" s="136"/>
      <c r="F30" s="143"/>
      <c r="G30" s="104"/>
      <c r="H30" s="104"/>
      <c r="I30" s="104"/>
      <c r="J30" s="104"/>
      <c r="K30" s="145"/>
    </row>
    <row r="31" spans="1:12" s="113" customFormat="1" ht="12.75" customHeight="1">
      <c r="D31" s="136"/>
      <c r="E31" s="136"/>
      <c r="F31" s="143"/>
      <c r="G31" s="104"/>
      <c r="H31" s="104"/>
      <c r="I31" s="104"/>
      <c r="J31" s="104"/>
      <c r="K31" s="145"/>
    </row>
    <row r="32" spans="1:12" s="113" customFormat="1" ht="18" customHeight="1" thickBot="1">
      <c r="C32" s="136"/>
      <c r="D32" s="135"/>
      <c r="E32" s="146"/>
      <c r="F32" s="104"/>
      <c r="G32" s="1013"/>
      <c r="H32" s="998"/>
      <c r="I32" s="149"/>
      <c r="J32" s="150"/>
    </row>
    <row r="33" spans="3:12" s="113" customFormat="1" ht="15.75" customHeight="1" thickBot="1">
      <c r="F33" s="1250" t="s">
        <v>167</v>
      </c>
      <c r="G33" s="1251"/>
      <c r="H33" s="1252"/>
      <c r="I33" s="1252"/>
      <c r="J33" s="1252"/>
      <c r="K33" s="1253"/>
    </row>
    <row r="34" spans="3:12" s="291" customFormat="1" ht="98.25" thickBot="1">
      <c r="E34" s="292" t="s">
        <v>123</v>
      </c>
      <c r="F34" s="292" t="s">
        <v>169</v>
      </c>
      <c r="G34" s="292" t="s">
        <v>170</v>
      </c>
      <c r="H34" s="292" t="s">
        <v>171</v>
      </c>
      <c r="I34" s="292" t="s">
        <v>172</v>
      </c>
      <c r="J34" s="292" t="s">
        <v>173</v>
      </c>
      <c r="K34" s="292" t="s">
        <v>174</v>
      </c>
    </row>
    <row r="35" spans="3:12" s="293" customFormat="1" ht="64.5" customHeight="1" thickBot="1">
      <c r="E35" s="294">
        <v>26</v>
      </c>
      <c r="F35" s="294"/>
      <c r="G35" s="294" t="s">
        <v>4298</v>
      </c>
      <c r="H35" s="711" t="s">
        <v>4299</v>
      </c>
      <c r="I35" s="297">
        <v>1643</v>
      </c>
      <c r="J35" s="313">
        <f>I35*(1-57.75%)</f>
        <v>694.16750000000002</v>
      </c>
      <c r="K35" s="313">
        <f>J35*F35</f>
        <v>0</v>
      </c>
    </row>
    <row r="36" spans="3:12" s="314" customFormat="1" ht="24" thickBot="1">
      <c r="E36" s="1246" t="s">
        <v>182</v>
      </c>
      <c r="F36" s="1247"/>
      <c r="G36" s="1247"/>
      <c r="H36" s="1247"/>
      <c r="I36" s="1247"/>
      <c r="J36" s="1247"/>
      <c r="K36" s="1247"/>
    </row>
    <row r="37" spans="3:12" ht="18.75" thickBot="1">
      <c r="E37" s="712"/>
      <c r="F37" s="670"/>
      <c r="G37" s="940" t="s">
        <v>486</v>
      </c>
      <c r="H37" s="941" t="s">
        <v>671</v>
      </c>
      <c r="I37" s="942">
        <v>129.99</v>
      </c>
      <c r="J37" s="943">
        <f>I37*(1-10%)</f>
        <v>116.99100000000001</v>
      </c>
      <c r="K37" s="943">
        <f>J37*F37</f>
        <v>0</v>
      </c>
      <c r="L37" s="562"/>
    </row>
    <row r="38" spans="3:12" ht="27" customHeight="1" thickBot="1">
      <c r="E38" s="1248"/>
      <c r="F38" s="670"/>
      <c r="G38" s="940" t="s">
        <v>3491</v>
      </c>
      <c r="H38" s="941" t="s">
        <v>4428</v>
      </c>
      <c r="I38" s="942">
        <v>399</v>
      </c>
      <c r="J38" s="943">
        <f>I38*(1-10%)</f>
        <v>359.1</v>
      </c>
      <c r="K38" s="943">
        <f t="shared" ref="K38:K56" si="0">J38*F38</f>
        <v>0</v>
      </c>
      <c r="L38" s="562"/>
    </row>
    <row r="39" spans="3:12" ht="30.75" thickBot="1">
      <c r="E39" s="1248"/>
      <c r="F39" s="302"/>
      <c r="G39" s="944" t="s">
        <v>4441</v>
      </c>
      <c r="H39" s="945" t="s">
        <v>4442</v>
      </c>
      <c r="I39" s="946">
        <v>200</v>
      </c>
      <c r="J39" s="947">
        <f t="shared" ref="J39:J56" si="1">I39*(1-10%)</f>
        <v>180</v>
      </c>
      <c r="K39" s="947">
        <f t="shared" si="0"/>
        <v>0</v>
      </c>
      <c r="L39" s="562"/>
    </row>
    <row r="40" spans="3:12" ht="30.75" thickBot="1">
      <c r="E40" s="1248"/>
      <c r="F40" s="302"/>
      <c r="G40" s="944" t="s">
        <v>593</v>
      </c>
      <c r="H40" s="945" t="s">
        <v>4443</v>
      </c>
      <c r="I40" s="946">
        <v>299</v>
      </c>
      <c r="J40" s="947">
        <f t="shared" si="1"/>
        <v>269.10000000000002</v>
      </c>
      <c r="K40" s="947">
        <f t="shared" si="0"/>
        <v>0</v>
      </c>
      <c r="L40" s="562"/>
    </row>
    <row r="41" spans="3:12" ht="18.75" thickBot="1">
      <c r="E41" s="1248"/>
      <c r="F41" s="302"/>
      <c r="G41" s="944" t="s">
        <v>3796</v>
      </c>
      <c r="H41" s="945" t="s">
        <v>4444</v>
      </c>
      <c r="I41" s="946">
        <v>199</v>
      </c>
      <c r="J41" s="947">
        <f t="shared" si="1"/>
        <v>179.1</v>
      </c>
      <c r="K41" s="947">
        <f t="shared" si="0"/>
        <v>0</v>
      </c>
      <c r="L41" s="562"/>
    </row>
    <row r="42" spans="3:12" ht="18.75" thickBot="1">
      <c r="E42" s="1248"/>
      <c r="F42" s="30"/>
      <c r="G42" s="948" t="s">
        <v>4067</v>
      </c>
      <c r="H42" s="949" t="s">
        <v>4445</v>
      </c>
      <c r="I42" s="950">
        <v>329</v>
      </c>
      <c r="J42" s="947">
        <f t="shared" si="1"/>
        <v>296.10000000000002</v>
      </c>
      <c r="K42" s="951">
        <f t="shared" si="0"/>
        <v>0</v>
      </c>
      <c r="L42" s="562"/>
    </row>
    <row r="43" spans="3:12" ht="18.75" thickBot="1">
      <c r="C43" s="166"/>
      <c r="D43" s="167"/>
      <c r="E43" s="1248"/>
      <c r="F43" s="302"/>
      <c r="G43" s="948" t="s">
        <v>727</v>
      </c>
      <c r="H43" s="949" t="s">
        <v>725</v>
      </c>
      <c r="I43" s="950">
        <v>375</v>
      </c>
      <c r="J43" s="947">
        <f t="shared" si="1"/>
        <v>337.5</v>
      </c>
      <c r="K43" s="951">
        <f t="shared" si="0"/>
        <v>0</v>
      </c>
      <c r="L43" s="562"/>
    </row>
    <row r="44" spans="3:12" ht="18.75" thickBot="1">
      <c r="C44" s="166"/>
      <c r="D44" s="167"/>
      <c r="E44" s="1248"/>
      <c r="F44" s="302"/>
      <c r="G44" s="948" t="s">
        <v>741</v>
      </c>
      <c r="H44" s="949" t="s">
        <v>731</v>
      </c>
      <c r="I44" s="950">
        <v>220</v>
      </c>
      <c r="J44" s="947">
        <f t="shared" si="1"/>
        <v>198</v>
      </c>
      <c r="K44" s="947">
        <f t="shared" si="0"/>
        <v>0</v>
      </c>
      <c r="L44" s="562"/>
    </row>
    <row r="45" spans="3:12" ht="18.75" customHeight="1" thickBot="1">
      <c r="E45" s="1248"/>
      <c r="F45" s="670"/>
      <c r="G45" s="940" t="s">
        <v>742</v>
      </c>
      <c r="H45" s="941" t="s">
        <v>732</v>
      </c>
      <c r="I45" s="942">
        <v>307</v>
      </c>
      <c r="J45" s="943">
        <f>I45*(1-10%)</f>
        <v>276.3</v>
      </c>
      <c r="K45" s="943">
        <f>J45*F45</f>
        <v>0</v>
      </c>
      <c r="L45" s="562"/>
    </row>
    <row r="46" spans="3:12" ht="18.75" thickBot="1">
      <c r="E46" s="1248"/>
      <c r="F46" s="302"/>
      <c r="G46" s="948" t="s">
        <v>4042</v>
      </c>
      <c r="H46" s="949" t="s">
        <v>4041</v>
      </c>
      <c r="I46" s="950">
        <v>97</v>
      </c>
      <c r="J46" s="947">
        <f>I46*(1-10%)</f>
        <v>87.3</v>
      </c>
      <c r="K46" s="947">
        <f>J46*F46</f>
        <v>0</v>
      </c>
      <c r="L46" s="562"/>
    </row>
    <row r="47" spans="3:12" ht="18.75" thickBot="1">
      <c r="E47" s="1248"/>
      <c r="F47" s="302"/>
      <c r="G47" s="948" t="s">
        <v>3490</v>
      </c>
      <c r="H47" s="949" t="s">
        <v>723</v>
      </c>
      <c r="I47" s="950">
        <v>222.6</v>
      </c>
      <c r="J47" s="947">
        <f t="shared" si="1"/>
        <v>200.34</v>
      </c>
      <c r="K47" s="947">
        <f t="shared" si="0"/>
        <v>0</v>
      </c>
      <c r="L47" s="562"/>
    </row>
    <row r="48" spans="3:12" ht="18.75" thickBot="1">
      <c r="E48" s="1248"/>
      <c r="F48" s="302"/>
      <c r="G48" s="948" t="s">
        <v>4430</v>
      </c>
      <c r="H48" s="949" t="s">
        <v>816</v>
      </c>
      <c r="I48" s="950">
        <v>308</v>
      </c>
      <c r="J48" s="947">
        <f t="shared" ref="J48:J52" si="2">I48*(1-10%)</f>
        <v>277.2</v>
      </c>
      <c r="K48" s="947">
        <f t="shared" ref="K48:K52" si="3">J48*F48</f>
        <v>0</v>
      </c>
      <c r="L48" s="562"/>
    </row>
    <row r="49" spans="2:12" ht="18.75" thickBot="1">
      <c r="E49" s="1248"/>
      <c r="F49" s="302"/>
      <c r="G49" s="948" t="s">
        <v>744</v>
      </c>
      <c r="H49" s="949" t="s">
        <v>734</v>
      </c>
      <c r="I49" s="950">
        <v>136</v>
      </c>
      <c r="J49" s="947">
        <f t="shared" si="2"/>
        <v>122.4</v>
      </c>
      <c r="K49" s="947">
        <f t="shared" si="3"/>
        <v>0</v>
      </c>
      <c r="L49" s="562"/>
    </row>
    <row r="50" spans="2:12" ht="18.75" thickBot="1">
      <c r="E50" s="1248"/>
      <c r="F50" s="302"/>
      <c r="G50" s="948" t="s">
        <v>814</v>
      </c>
      <c r="H50" s="949" t="s">
        <v>4040</v>
      </c>
      <c r="I50" s="950">
        <v>139</v>
      </c>
      <c r="J50" s="947">
        <f t="shared" si="2"/>
        <v>125.10000000000001</v>
      </c>
      <c r="K50" s="947">
        <f t="shared" si="3"/>
        <v>0</v>
      </c>
      <c r="L50" s="562"/>
    </row>
    <row r="51" spans="2:12" ht="18.75" thickBot="1">
      <c r="E51" s="1248"/>
      <c r="F51" s="302"/>
      <c r="G51" s="948" t="s">
        <v>745</v>
      </c>
      <c r="H51" s="949" t="s">
        <v>3805</v>
      </c>
      <c r="I51" s="950">
        <v>95</v>
      </c>
      <c r="J51" s="947">
        <f t="shared" si="2"/>
        <v>85.5</v>
      </c>
      <c r="K51" s="947">
        <f t="shared" si="3"/>
        <v>0</v>
      </c>
      <c r="L51" s="562"/>
    </row>
    <row r="52" spans="2:12" ht="18.75" thickBot="1">
      <c r="E52" s="1248"/>
      <c r="F52" s="302"/>
      <c r="G52" s="948" t="s">
        <v>462</v>
      </c>
      <c r="H52" s="949" t="s">
        <v>4446</v>
      </c>
      <c r="I52" s="950">
        <v>89</v>
      </c>
      <c r="J52" s="947">
        <f t="shared" si="2"/>
        <v>80.100000000000009</v>
      </c>
      <c r="K52" s="947">
        <f t="shared" si="3"/>
        <v>0</v>
      </c>
      <c r="L52" s="562"/>
    </row>
    <row r="53" spans="2:12" ht="18.75" thickBot="1">
      <c r="E53" s="1248"/>
      <c r="F53" s="30"/>
      <c r="G53" s="948" t="s">
        <v>747</v>
      </c>
      <c r="H53" s="949" t="s">
        <v>737</v>
      </c>
      <c r="I53" s="950">
        <v>374</v>
      </c>
      <c r="J53" s="947">
        <f t="shared" si="1"/>
        <v>336.6</v>
      </c>
      <c r="K53" s="951">
        <f t="shared" si="0"/>
        <v>0</v>
      </c>
      <c r="L53" s="562"/>
    </row>
    <row r="54" spans="2:12" ht="18.75" thickBot="1">
      <c r="C54" s="166"/>
      <c r="D54" s="167"/>
      <c r="E54" s="1248"/>
      <c r="F54" s="302"/>
      <c r="G54" s="944" t="s">
        <v>4431</v>
      </c>
      <c r="H54" s="945" t="s">
        <v>4447</v>
      </c>
      <c r="I54" s="946">
        <v>386</v>
      </c>
      <c r="J54" s="947">
        <f t="shared" si="1"/>
        <v>347.40000000000003</v>
      </c>
      <c r="K54" s="951">
        <f t="shared" si="0"/>
        <v>0</v>
      </c>
      <c r="L54" s="562"/>
    </row>
    <row r="55" spans="2:12" ht="18.75" thickBot="1">
      <c r="C55" s="166"/>
      <c r="D55" s="167"/>
      <c r="E55" s="1248"/>
      <c r="F55" s="302"/>
      <c r="G55" s="948" t="s">
        <v>4276</v>
      </c>
      <c r="H55" s="949" t="s">
        <v>4265</v>
      </c>
      <c r="I55" s="950">
        <v>286</v>
      </c>
      <c r="J55" s="947">
        <f t="shared" si="1"/>
        <v>257.40000000000003</v>
      </c>
      <c r="K55" s="947">
        <f t="shared" si="0"/>
        <v>0</v>
      </c>
      <c r="L55" s="562"/>
    </row>
    <row r="56" spans="2:12" ht="18.75" thickBot="1">
      <c r="C56" s="166"/>
      <c r="D56" s="167"/>
      <c r="E56" s="1248"/>
      <c r="F56" s="30"/>
      <c r="G56" s="944" t="s">
        <v>749</v>
      </c>
      <c r="H56" s="945" t="s">
        <v>739</v>
      </c>
      <c r="I56" s="946">
        <v>120</v>
      </c>
      <c r="J56" s="947">
        <f t="shared" si="1"/>
        <v>108</v>
      </c>
      <c r="K56" s="951">
        <f t="shared" si="0"/>
        <v>0</v>
      </c>
      <c r="L56" s="562"/>
    </row>
    <row r="57" spans="2:12" ht="23.25">
      <c r="C57" s="166"/>
      <c r="D57" s="167"/>
      <c r="E57" s="1229" t="s">
        <v>183</v>
      </c>
      <c r="F57" s="1229"/>
      <c r="G57" s="1229"/>
      <c r="H57" s="1229"/>
      <c r="I57" s="1229"/>
      <c r="J57" s="1229"/>
      <c r="K57" s="317">
        <f>SUM(K35:K56)</f>
        <v>0</v>
      </c>
    </row>
    <row r="58" spans="2:12" ht="15.75">
      <c r="C58" s="166"/>
      <c r="D58" s="167"/>
      <c r="E58" s="168"/>
      <c r="F58" s="28"/>
      <c r="G58" s="7"/>
      <c r="H58" s="8"/>
      <c r="I58" s="8"/>
      <c r="J58" s="8"/>
      <c r="K58" s="8"/>
    </row>
    <row r="59" spans="2:12">
      <c r="F59" s="7"/>
      <c r="G59" s="7"/>
      <c r="H59" s="8"/>
      <c r="I59" s="8"/>
      <c r="J59" s="8"/>
      <c r="K59" s="8"/>
    </row>
    <row r="60" spans="2:12">
      <c r="F60" s="7"/>
      <c r="G60" s="7"/>
      <c r="H60" s="8"/>
      <c r="I60" s="8"/>
      <c r="J60" s="8"/>
      <c r="K60" s="8"/>
    </row>
    <row r="61" spans="2:12">
      <c r="F61" s="7"/>
      <c r="G61" s="7"/>
      <c r="H61" s="8"/>
      <c r="I61" s="8"/>
      <c r="J61" s="8"/>
      <c r="K61" s="8"/>
    </row>
    <row r="62" spans="2:12">
      <c r="B62" s="106"/>
      <c r="C62" s="106"/>
      <c r="F62" s="7"/>
      <c r="G62" s="7"/>
      <c r="H62" s="8"/>
      <c r="I62" s="8"/>
      <c r="J62" s="8"/>
      <c r="K62" s="8"/>
    </row>
    <row r="63" spans="2:12">
      <c r="F63" s="7"/>
      <c r="G63" s="7"/>
      <c r="H63" s="8"/>
      <c r="I63" s="8"/>
      <c r="J63" s="8"/>
      <c r="K63" s="8"/>
    </row>
    <row r="64" spans="2:12">
      <c r="G64" s="7"/>
      <c r="I64" s="8"/>
      <c r="K64" s="8"/>
    </row>
    <row r="67" s="104" customFormat="1"/>
    <row r="68" s="104" customFormat="1"/>
    <row r="69" s="104" customFormat="1"/>
    <row r="70" s="104" customFormat="1"/>
    <row r="71" s="104" customFormat="1"/>
    <row r="72" s="104" customFormat="1"/>
    <row r="73" s="104" customFormat="1"/>
    <row r="74" s="104" customFormat="1"/>
  </sheetData>
  <sortState xmlns:xlrd2="http://schemas.microsoft.com/office/spreadsheetml/2017/richdata2" ref="G37:I56">
    <sortCondition ref="G37:G56"/>
  </sortState>
  <mergeCells count="14">
    <mergeCell ref="E27:G27"/>
    <mergeCell ref="E28:G28"/>
    <mergeCell ref="A4:K4"/>
    <mergeCell ref="A5:K5"/>
    <mergeCell ref="G10:I10"/>
    <mergeCell ref="E24:H24"/>
    <mergeCell ref="E25:H25"/>
    <mergeCell ref="E26:G26"/>
    <mergeCell ref="G32:H32"/>
    <mergeCell ref="F33:K33"/>
    <mergeCell ref="E38:E56"/>
    <mergeCell ref="E57:J57"/>
    <mergeCell ref="E29:H29"/>
    <mergeCell ref="E36:K36"/>
  </mergeCells>
  <phoneticPr fontId="0" type="noConversion"/>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2">
    <tabColor rgb="FF006600"/>
  </sheetPr>
  <dimension ref="A1:M82"/>
  <sheetViews>
    <sheetView topLeftCell="D31" zoomScale="66" zoomScaleNormal="66" workbookViewId="0">
      <selection activeCell="K66" sqref="K66:K67"/>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8.28515625" style="165" customWidth="1"/>
    <col min="7" max="7" width="23.140625" style="165" customWidth="1"/>
    <col min="8" max="8" width="54.28515625" style="104" customWidth="1"/>
    <col min="9" max="9" width="20.85546875" style="104" customWidth="1"/>
    <col min="10" max="10" width="23" style="104" customWidth="1"/>
    <col min="11" max="11" width="20.42578125" style="104" customWidth="1"/>
    <col min="12" max="12" width="15.5703125" style="104" customWidth="1"/>
    <col min="13" max="16384" width="8.85546875" style="104"/>
  </cols>
  <sheetData>
    <row r="1" spans="1:11" ht="13.5" thickBot="1">
      <c r="B1" s="105"/>
      <c r="C1" s="105"/>
      <c r="D1" s="106"/>
      <c r="E1" s="106"/>
      <c r="F1" s="107"/>
      <c r="G1" s="107"/>
      <c r="H1" s="107"/>
      <c r="I1" s="107"/>
      <c r="J1" s="107"/>
      <c r="K1" s="107"/>
    </row>
    <row r="2" spans="1:11" ht="9" customHeight="1">
      <c r="A2" s="108"/>
      <c r="B2" s="109"/>
      <c r="C2" s="109"/>
      <c r="D2" s="110"/>
      <c r="E2" s="110"/>
      <c r="F2" s="111"/>
      <c r="G2" s="111"/>
      <c r="H2" s="111"/>
      <c r="I2" s="112"/>
      <c r="J2" s="112"/>
      <c r="K2" s="112"/>
    </row>
    <row r="3" spans="1:11" ht="10.5" customHeight="1">
      <c r="B3" s="105"/>
      <c r="C3" s="105"/>
      <c r="D3" s="106"/>
      <c r="E3" s="106"/>
      <c r="F3" s="107"/>
      <c r="G3" s="107"/>
      <c r="H3" s="107"/>
      <c r="I3" s="113"/>
      <c r="J3" s="113"/>
      <c r="K3" s="113"/>
    </row>
    <row r="4" spans="1:11" ht="34.5">
      <c r="A4" s="1242" t="s">
        <v>1107</v>
      </c>
      <c r="B4" s="979"/>
      <c r="C4" s="979"/>
      <c r="D4" s="979"/>
      <c r="E4" s="979"/>
      <c r="F4" s="979"/>
      <c r="G4" s="979"/>
      <c r="H4" s="979"/>
      <c r="I4" s="979"/>
      <c r="J4" s="979"/>
      <c r="K4" s="979"/>
    </row>
    <row r="5" spans="1:11" s="114" customFormat="1" ht="58.5" customHeight="1">
      <c r="A5" s="1243" t="s">
        <v>1106</v>
      </c>
      <c r="B5" s="1244"/>
      <c r="C5" s="1244"/>
      <c r="D5" s="1244"/>
      <c r="E5" s="1244"/>
      <c r="F5" s="1244"/>
      <c r="G5" s="1244"/>
      <c r="H5" s="1244"/>
      <c r="I5" s="1244"/>
      <c r="J5" s="1244"/>
      <c r="K5" s="1244"/>
    </row>
    <row r="6" spans="1:11" ht="9" customHeight="1" thickBot="1">
      <c r="A6" s="115"/>
      <c r="B6" s="116"/>
      <c r="C6" s="116"/>
      <c r="D6" s="117"/>
      <c r="E6" s="117"/>
      <c r="F6" s="118"/>
      <c r="G6" s="118"/>
      <c r="H6" s="118"/>
      <c r="I6" s="119"/>
      <c r="J6" s="119"/>
      <c r="K6" s="119"/>
    </row>
    <row r="9" spans="1:11" s="113" customFormat="1" ht="14.25">
      <c r="B9" s="120"/>
      <c r="C9" s="120"/>
      <c r="D9" s="121"/>
      <c r="E9" s="121"/>
      <c r="F9" s="121"/>
      <c r="G9" s="121"/>
      <c r="H9" s="121"/>
      <c r="I9" s="121"/>
      <c r="J9" s="121"/>
      <c r="K9" s="121"/>
    </row>
    <row r="10" spans="1:11" s="113" customFormat="1" ht="18">
      <c r="F10" s="173"/>
      <c r="G10" s="1245" t="s">
        <v>3</v>
      </c>
      <c r="H10" s="1245"/>
      <c r="I10" s="1245"/>
    </row>
    <row r="11" spans="1:11" s="113" customFormat="1" ht="18">
      <c r="F11" s="156"/>
      <c r="G11" s="146" t="s">
        <v>4</v>
      </c>
      <c r="H11" s="284" t="s">
        <v>90</v>
      </c>
      <c r="I11" s="285"/>
    </row>
    <row r="12" spans="1:11" s="113" customFormat="1" ht="18">
      <c r="F12" s="156"/>
      <c r="G12" s="146" t="s">
        <v>5</v>
      </c>
      <c r="H12" s="284" t="s">
        <v>3413</v>
      </c>
      <c r="I12" s="285"/>
      <c r="K12" s="124"/>
    </row>
    <row r="13" spans="1:11" s="113" customFormat="1" ht="18">
      <c r="F13" s="286"/>
      <c r="G13" s="146" t="s">
        <v>8</v>
      </c>
      <c r="H13" s="287">
        <v>250000</v>
      </c>
      <c r="I13" s="288"/>
      <c r="K13" s="129"/>
    </row>
    <row r="14" spans="1:11" s="113" customFormat="1" ht="18">
      <c r="F14" s="286"/>
      <c r="G14" s="146" t="s">
        <v>9</v>
      </c>
      <c r="H14" s="284" t="s">
        <v>3420</v>
      </c>
      <c r="I14" s="285"/>
    </row>
    <row r="15" spans="1:11" s="113" customFormat="1" ht="18">
      <c r="A15" s="128"/>
      <c r="B15" s="104"/>
      <c r="C15" s="104"/>
      <c r="D15" s="104"/>
      <c r="E15" s="104"/>
      <c r="F15" s="162"/>
      <c r="G15" s="146" t="s">
        <v>10</v>
      </c>
      <c r="H15" s="284" t="s">
        <v>128</v>
      </c>
      <c r="I15" s="285"/>
    </row>
    <row r="16" spans="1:11" s="113" customFormat="1" ht="18">
      <c r="A16" s="130"/>
      <c r="B16" s="104"/>
      <c r="C16" s="104"/>
      <c r="E16" s="104"/>
      <c r="F16" s="162"/>
      <c r="G16" s="146" t="s">
        <v>12</v>
      </c>
      <c r="H16" s="284" t="s">
        <v>3421</v>
      </c>
      <c r="I16" s="285"/>
    </row>
    <row r="17" spans="1:13" s="113" customFormat="1" ht="18">
      <c r="F17" s="286"/>
      <c r="G17" s="146" t="s">
        <v>16</v>
      </c>
      <c r="H17" s="284" t="s">
        <v>17</v>
      </c>
      <c r="I17" s="285"/>
    </row>
    <row r="18" spans="1:13" s="113" customFormat="1" ht="18">
      <c r="F18" s="286"/>
      <c r="G18" s="146" t="s">
        <v>18</v>
      </c>
      <c r="H18" s="284" t="s">
        <v>3422</v>
      </c>
      <c r="I18" s="285"/>
    </row>
    <row r="19" spans="1:13" s="113" customFormat="1" ht="18">
      <c r="F19" s="121"/>
      <c r="G19" s="146" t="s">
        <v>19</v>
      </c>
      <c r="H19" s="284" t="s">
        <v>3417</v>
      </c>
      <c r="I19" s="285"/>
      <c r="K19" s="124"/>
    </row>
    <row r="20" spans="1:13" s="113" customFormat="1" ht="15.75" customHeight="1">
      <c r="D20" s="136"/>
      <c r="E20" s="136"/>
      <c r="F20" s="121"/>
      <c r="G20" s="146" t="s">
        <v>20</v>
      </c>
      <c r="H20" s="284" t="s">
        <v>191</v>
      </c>
      <c r="I20" s="285"/>
    </row>
    <row r="21" spans="1:13" s="113" customFormat="1" ht="18">
      <c r="D21" s="136"/>
      <c r="E21" s="136"/>
      <c r="F21" s="121"/>
      <c r="G21" s="146" t="s">
        <v>21</v>
      </c>
      <c r="H21" s="284" t="s">
        <v>3423</v>
      </c>
      <c r="I21" s="285"/>
    </row>
    <row r="22" spans="1:13" s="113" customFormat="1" ht="18">
      <c r="D22" s="136"/>
      <c r="E22" s="136"/>
      <c r="F22" s="121"/>
      <c r="G22" s="146" t="s">
        <v>22</v>
      </c>
      <c r="H22" s="284" t="s">
        <v>3424</v>
      </c>
      <c r="I22" s="285"/>
    </row>
    <row r="23" spans="1:13" s="113" customFormat="1" ht="12.75" customHeight="1" thickBot="1">
      <c r="D23" s="136"/>
      <c r="E23" s="136"/>
      <c r="F23" s="289"/>
      <c r="G23" s="290"/>
      <c r="H23" s="284"/>
      <c r="I23" s="285"/>
    </row>
    <row r="24" spans="1:13" s="301" customFormat="1" ht="18">
      <c r="A24" s="130"/>
      <c r="B24" s="130"/>
      <c r="C24" s="130"/>
      <c r="D24" s="669"/>
      <c r="E24" s="1231" t="s">
        <v>23</v>
      </c>
      <c r="F24" s="1232"/>
      <c r="G24" s="1232"/>
      <c r="H24" s="1233"/>
      <c r="I24" s="669"/>
      <c r="J24" s="669"/>
      <c r="K24" s="669"/>
      <c r="L24" s="669"/>
      <c r="M24" s="669"/>
    </row>
    <row r="25" spans="1:13" s="301" customFormat="1" ht="17.45" customHeight="1">
      <c r="A25" s="130"/>
      <c r="B25" s="130"/>
      <c r="C25" s="130"/>
      <c r="D25" s="105"/>
      <c r="E25" s="1237" t="s">
        <v>3556</v>
      </c>
      <c r="F25" s="1238"/>
      <c r="G25" s="1238"/>
      <c r="H25" s="1239"/>
      <c r="I25" s="104"/>
      <c r="J25" s="104"/>
      <c r="K25" s="104"/>
    </row>
    <row r="26" spans="1:13" s="301" customFormat="1" ht="17.45" customHeight="1">
      <c r="A26" s="130"/>
      <c r="B26" s="130"/>
      <c r="C26" s="130"/>
      <c r="D26" s="105"/>
      <c r="E26" s="1240" t="s">
        <v>160</v>
      </c>
      <c r="F26" s="1241"/>
      <c r="G26" s="1241"/>
      <c r="H26" s="675" t="s">
        <v>161</v>
      </c>
      <c r="I26" s="668"/>
      <c r="J26" s="668"/>
      <c r="K26" s="668"/>
    </row>
    <row r="27" spans="1:13" s="301" customFormat="1" ht="18">
      <c r="A27" s="130"/>
      <c r="B27" s="130"/>
      <c r="C27" s="130"/>
      <c r="D27" s="105"/>
      <c r="E27" s="1240" t="s">
        <v>163</v>
      </c>
      <c r="F27" s="1241"/>
      <c r="G27" s="1241"/>
      <c r="H27" s="676">
        <v>200</v>
      </c>
      <c r="I27" s="104"/>
      <c r="J27" s="104"/>
      <c r="K27" s="104"/>
    </row>
    <row r="28" spans="1:13" s="301" customFormat="1" ht="18">
      <c r="A28" s="130"/>
      <c r="B28" s="130"/>
      <c r="C28" s="130"/>
      <c r="D28" s="105"/>
      <c r="E28" s="1240" t="s">
        <v>164</v>
      </c>
      <c r="F28" s="1241"/>
      <c r="G28" s="1241"/>
      <c r="H28" s="675" t="s">
        <v>4060</v>
      </c>
      <c r="I28" s="519"/>
      <c r="J28" s="519"/>
      <c r="K28" s="519"/>
    </row>
    <row r="29" spans="1:13" s="301" customFormat="1" ht="18.75" thickBot="1">
      <c r="A29" s="130"/>
      <c r="B29" s="130"/>
      <c r="C29" s="130"/>
      <c r="D29" s="130"/>
      <c r="E29" s="1234" t="s">
        <v>92</v>
      </c>
      <c r="F29" s="1235"/>
      <c r="G29" s="1235"/>
      <c r="H29" s="1236"/>
      <c r="I29" s="130"/>
      <c r="J29" s="130"/>
      <c r="K29" s="130"/>
    </row>
    <row r="30" spans="1:13" s="113" customFormat="1" ht="12.75" customHeight="1">
      <c r="D30" s="136"/>
      <c r="E30" s="136"/>
      <c r="F30" s="143"/>
      <c r="G30" s="104"/>
      <c r="H30" s="104"/>
      <c r="I30" s="104"/>
      <c r="J30" s="104"/>
      <c r="K30" s="145"/>
    </row>
    <row r="31" spans="1:13" s="113" customFormat="1" ht="18" customHeight="1" thickBot="1">
      <c r="C31" s="136"/>
      <c r="D31" s="135"/>
      <c r="E31" s="146"/>
      <c r="F31" s="104"/>
      <c r="G31" s="1013"/>
      <c r="H31" s="998"/>
      <c r="I31" s="149"/>
      <c r="J31" s="150"/>
    </row>
    <row r="32" spans="1:13" s="113" customFormat="1" ht="15.75" customHeight="1" thickBot="1">
      <c r="F32" s="1007" t="s">
        <v>167</v>
      </c>
      <c r="G32" s="1089"/>
      <c r="H32" s="1002"/>
      <c r="I32" s="1002"/>
      <c r="J32" s="1002"/>
      <c r="K32" s="1003"/>
    </row>
    <row r="33" spans="3:12" s="291" customFormat="1" ht="98.25" thickBot="1">
      <c r="E33" s="292" t="s">
        <v>123</v>
      </c>
      <c r="F33" s="292" t="s">
        <v>169</v>
      </c>
      <c r="G33" s="292" t="s">
        <v>170</v>
      </c>
      <c r="H33" s="292" t="s">
        <v>171</v>
      </c>
      <c r="I33" s="292" t="s">
        <v>172</v>
      </c>
      <c r="J33" s="292" t="s">
        <v>173</v>
      </c>
      <c r="K33" s="292" t="s">
        <v>174</v>
      </c>
    </row>
    <row r="34" spans="3:12" s="293" customFormat="1" ht="64.5" customHeight="1" thickBot="1">
      <c r="E34" s="294">
        <v>26</v>
      </c>
      <c r="F34" s="294"/>
      <c r="G34" s="294" t="s">
        <v>1105</v>
      </c>
      <c r="H34" s="312" t="s">
        <v>1104</v>
      </c>
      <c r="I34" s="297">
        <v>2244.23</v>
      </c>
      <c r="J34" s="313">
        <f>SUM(I34)*(1-50%)</f>
        <v>1122.115</v>
      </c>
      <c r="K34" s="313">
        <f>J34*F34</f>
        <v>0</v>
      </c>
    </row>
    <row r="35" spans="3:12" s="314" customFormat="1" ht="24" thickBot="1">
      <c r="E35" s="1246" t="s">
        <v>182</v>
      </c>
      <c r="F35" s="1247"/>
      <c r="G35" s="1247"/>
      <c r="H35" s="1247"/>
      <c r="I35" s="1247"/>
      <c r="J35" s="1247"/>
      <c r="K35" s="1247"/>
    </row>
    <row r="36" spans="3:12" ht="27" customHeight="1" thickBot="1">
      <c r="E36" s="1248"/>
      <c r="F36" s="670"/>
      <c r="G36" s="671" t="s">
        <v>1108</v>
      </c>
      <c r="H36" s="672" t="s">
        <v>1124</v>
      </c>
      <c r="I36" s="673">
        <v>260.68041237113403</v>
      </c>
      <c r="J36" s="680">
        <f t="shared" ref="J36:J41" si="0">I36*(1-10%)</f>
        <v>234.61237113402063</v>
      </c>
      <c r="K36" s="680">
        <f t="shared" ref="K36:K41" si="1">J36*F36</f>
        <v>0</v>
      </c>
      <c r="L36" s="562"/>
    </row>
    <row r="37" spans="3:12" ht="18.75" thickBot="1">
      <c r="E37" s="1248"/>
      <c r="F37" s="302"/>
      <c r="G37" s="309" t="s">
        <v>1109</v>
      </c>
      <c r="H37" s="315" t="s">
        <v>1125</v>
      </c>
      <c r="I37" s="311">
        <v>103.09278350515464</v>
      </c>
      <c r="J37" s="316">
        <f t="shared" si="0"/>
        <v>92.783505154639187</v>
      </c>
      <c r="K37" s="316">
        <f t="shared" si="1"/>
        <v>0</v>
      </c>
      <c r="L37" s="562"/>
    </row>
    <row r="38" spans="3:12" ht="18.75" thickBot="1">
      <c r="E38" s="1248"/>
      <c r="F38" s="302"/>
      <c r="G38" s="309" t="s">
        <v>1110</v>
      </c>
      <c r="H38" s="315" t="s">
        <v>1126</v>
      </c>
      <c r="I38" s="311">
        <v>313.70103092783506</v>
      </c>
      <c r="J38" s="316">
        <f t="shared" si="0"/>
        <v>282.33092783505157</v>
      </c>
      <c r="K38" s="316">
        <f t="shared" si="1"/>
        <v>0</v>
      </c>
      <c r="L38" s="562"/>
    </row>
    <row r="39" spans="3:12" ht="18.75" thickBot="1">
      <c r="E39" s="1248"/>
      <c r="F39" s="30"/>
      <c r="G39" s="31" t="s">
        <v>1111</v>
      </c>
      <c r="H39" s="32" t="s">
        <v>1127</v>
      </c>
      <c r="I39" s="33">
        <v>326.94845360824741</v>
      </c>
      <c r="J39" s="316">
        <f t="shared" si="0"/>
        <v>294.25360824742268</v>
      </c>
      <c r="K39" s="27">
        <f t="shared" si="1"/>
        <v>0</v>
      </c>
      <c r="L39" s="562"/>
    </row>
    <row r="40" spans="3:12" ht="18.75" thickBot="1">
      <c r="C40" s="166"/>
      <c r="D40" s="167"/>
      <c r="E40" s="1248"/>
      <c r="F40" s="302"/>
      <c r="G40" s="31" t="s">
        <v>1112</v>
      </c>
      <c r="H40" s="32" t="s">
        <v>1128</v>
      </c>
      <c r="I40" s="33">
        <v>129.5979381443299</v>
      </c>
      <c r="J40" s="316">
        <f t="shared" si="0"/>
        <v>116.63814432989692</v>
      </c>
      <c r="K40" s="27">
        <f t="shared" si="1"/>
        <v>0</v>
      </c>
      <c r="L40" s="562"/>
    </row>
    <row r="41" spans="3:12" ht="18.75" thickBot="1">
      <c r="C41" s="166"/>
      <c r="D41" s="167"/>
      <c r="E41" s="1248"/>
      <c r="F41" s="302"/>
      <c r="G41" s="309" t="s">
        <v>1113</v>
      </c>
      <c r="H41" s="310" t="s">
        <v>1129</v>
      </c>
      <c r="I41" s="311">
        <v>391.75257731958766</v>
      </c>
      <c r="J41" s="316">
        <f t="shared" si="0"/>
        <v>352.57731958762889</v>
      </c>
      <c r="K41" s="316">
        <f t="shared" si="1"/>
        <v>0</v>
      </c>
      <c r="L41" s="562"/>
    </row>
    <row r="42" spans="3:12" ht="18.75" thickBot="1">
      <c r="E42" s="1248"/>
      <c r="F42" s="302"/>
      <c r="G42" s="309" t="s">
        <v>1114</v>
      </c>
      <c r="H42" s="315" t="s">
        <v>1130</v>
      </c>
      <c r="I42" s="311">
        <v>653.90721649484533</v>
      </c>
      <c r="J42" s="316">
        <f t="shared" ref="J42:J58" si="2">I42*(1-10%)</f>
        <v>588.51649484536085</v>
      </c>
      <c r="K42" s="316">
        <f t="shared" ref="K42:K58" si="3">J42*F42</f>
        <v>0</v>
      </c>
      <c r="L42" s="562"/>
    </row>
    <row r="43" spans="3:12" ht="18.75" thickBot="1">
      <c r="E43" s="1248"/>
      <c r="F43" s="302"/>
      <c r="G43" s="309" t="s">
        <v>1115</v>
      </c>
      <c r="H43" s="315" t="s">
        <v>1131</v>
      </c>
      <c r="I43" s="311">
        <v>391.75257731958766</v>
      </c>
      <c r="J43" s="316">
        <f t="shared" si="2"/>
        <v>352.57731958762889</v>
      </c>
      <c r="K43" s="316">
        <f t="shared" si="3"/>
        <v>0</v>
      </c>
      <c r="L43" s="562"/>
    </row>
    <row r="44" spans="3:12" ht="18.75" thickBot="1">
      <c r="E44" s="1248"/>
      <c r="F44" s="302"/>
      <c r="G44" s="309" t="s">
        <v>1116</v>
      </c>
      <c r="H44" s="315" t="s">
        <v>1132</v>
      </c>
      <c r="I44" s="311">
        <v>391.75257731958766</v>
      </c>
      <c r="J44" s="316">
        <f t="shared" si="2"/>
        <v>352.57731958762889</v>
      </c>
      <c r="K44" s="316">
        <f t="shared" si="3"/>
        <v>0</v>
      </c>
      <c r="L44" s="562"/>
    </row>
    <row r="45" spans="3:12" ht="18.75" thickBot="1">
      <c r="E45" s="1248"/>
      <c r="F45" s="302"/>
      <c r="G45" s="309" t="s">
        <v>1117</v>
      </c>
      <c r="H45" s="315" t="s">
        <v>1133</v>
      </c>
      <c r="I45" s="311">
        <v>784.97938144329896</v>
      </c>
      <c r="J45" s="316">
        <f t="shared" si="2"/>
        <v>706.48144329896911</v>
      </c>
      <c r="K45" s="316">
        <f t="shared" si="3"/>
        <v>0</v>
      </c>
      <c r="L45" s="562"/>
    </row>
    <row r="46" spans="3:12" ht="18.75" thickBot="1">
      <c r="E46" s="1248"/>
      <c r="F46" s="30"/>
      <c r="G46" s="31" t="s">
        <v>1118</v>
      </c>
      <c r="H46" s="32" t="s">
        <v>1134</v>
      </c>
      <c r="I46" s="33">
        <v>195.87628865979383</v>
      </c>
      <c r="J46" s="316">
        <f t="shared" si="2"/>
        <v>176.28865979381445</v>
      </c>
      <c r="K46" s="27">
        <f t="shared" si="3"/>
        <v>0</v>
      </c>
      <c r="L46" s="562"/>
    </row>
    <row r="47" spans="3:12" ht="18.75" thickBot="1">
      <c r="C47" s="166"/>
      <c r="D47" s="167"/>
      <c r="E47" s="1248"/>
      <c r="F47" s="302"/>
      <c r="G47" s="31" t="s">
        <v>1119</v>
      </c>
      <c r="H47" s="32" t="s">
        <v>1135</v>
      </c>
      <c r="I47" s="33">
        <v>653.90721649484533</v>
      </c>
      <c r="J47" s="316">
        <f t="shared" si="2"/>
        <v>588.51649484536085</v>
      </c>
      <c r="K47" s="27">
        <f t="shared" si="3"/>
        <v>0</v>
      </c>
      <c r="L47" s="562"/>
    </row>
    <row r="48" spans="3:12" ht="18.75" thickBot="1">
      <c r="C48" s="166"/>
      <c r="D48" s="167"/>
      <c r="E48" s="1248"/>
      <c r="F48" s="302"/>
      <c r="G48" s="309" t="s">
        <v>1099</v>
      </c>
      <c r="H48" s="310" t="s">
        <v>1136</v>
      </c>
      <c r="I48" s="311">
        <v>564.06185567010311</v>
      </c>
      <c r="J48" s="316">
        <f t="shared" si="2"/>
        <v>507.6556701030928</v>
      </c>
      <c r="K48" s="316">
        <f t="shared" si="3"/>
        <v>0</v>
      </c>
      <c r="L48" s="562"/>
    </row>
    <row r="49" spans="3:12" ht="18.75" thickBot="1">
      <c r="E49" s="1248"/>
      <c r="F49" s="302"/>
      <c r="G49" s="309" t="s">
        <v>1080</v>
      </c>
      <c r="H49" s="315" t="s">
        <v>1067</v>
      </c>
      <c r="I49" s="311">
        <v>78.051546391752566</v>
      </c>
      <c r="J49" s="316">
        <f>I49*(1-10%)</f>
        <v>70.24639175257731</v>
      </c>
      <c r="K49" s="316">
        <f>J49*F49</f>
        <v>0</v>
      </c>
      <c r="L49" s="562"/>
    </row>
    <row r="50" spans="3:12" ht="18.75" thickBot="1">
      <c r="E50" s="1248"/>
      <c r="F50" s="302"/>
      <c r="G50" s="309" t="s">
        <v>1120</v>
      </c>
      <c r="H50" s="315" t="s">
        <v>1137</v>
      </c>
      <c r="I50" s="311">
        <v>233.86597938144331</v>
      </c>
      <c r="J50" s="316">
        <f>I50*(1-10%)</f>
        <v>210.47938144329899</v>
      </c>
      <c r="K50" s="316">
        <f>J50*F50</f>
        <v>0</v>
      </c>
      <c r="L50" s="562"/>
    </row>
    <row r="51" spans="3:12" ht="18.75" thickBot="1">
      <c r="E51" s="1248"/>
      <c r="F51" s="30"/>
      <c r="G51" s="31" t="s">
        <v>1082</v>
      </c>
      <c r="H51" s="32" t="s">
        <v>1069</v>
      </c>
      <c r="I51" s="33">
        <v>447.7216494845361</v>
      </c>
      <c r="J51" s="316">
        <f t="shared" si="2"/>
        <v>402.94948453608248</v>
      </c>
      <c r="K51" s="27">
        <f t="shared" si="3"/>
        <v>0</v>
      </c>
      <c r="L51" s="562"/>
    </row>
    <row r="52" spans="3:12" ht="18.75" thickBot="1">
      <c r="C52" s="166"/>
      <c r="D52" s="167"/>
      <c r="E52" s="1248"/>
      <c r="F52" s="302"/>
      <c r="G52" s="31" t="s">
        <v>1083</v>
      </c>
      <c r="H52" s="32" t="s">
        <v>1070</v>
      </c>
      <c r="I52" s="33">
        <v>665.68041237113403</v>
      </c>
      <c r="J52" s="316">
        <f t="shared" si="2"/>
        <v>599.11237113402069</v>
      </c>
      <c r="K52" s="27">
        <f t="shared" si="3"/>
        <v>0</v>
      </c>
      <c r="L52" s="562"/>
    </row>
    <row r="53" spans="3:12" ht="18.75" thickBot="1">
      <c r="C53" s="166"/>
      <c r="D53" s="167"/>
      <c r="E53" s="1248"/>
      <c r="F53" s="302"/>
      <c r="G53" s="309" t="s">
        <v>1084</v>
      </c>
      <c r="H53" s="310" t="s">
        <v>1071</v>
      </c>
      <c r="I53" s="311">
        <v>234.16494845360825</v>
      </c>
      <c r="J53" s="316">
        <f t="shared" si="2"/>
        <v>210.74845360824742</v>
      </c>
      <c r="K53" s="316">
        <f t="shared" si="3"/>
        <v>0</v>
      </c>
      <c r="L53" s="562"/>
    </row>
    <row r="54" spans="3:12" ht="18.75" thickBot="1">
      <c r="E54" s="1248"/>
      <c r="F54" s="302"/>
      <c r="G54" s="309" t="s">
        <v>1085</v>
      </c>
      <c r="H54" s="315" t="s">
        <v>1072</v>
      </c>
      <c r="I54" s="311">
        <v>297.49484536082474</v>
      </c>
      <c r="J54" s="316">
        <f t="shared" si="2"/>
        <v>267.74536082474225</v>
      </c>
      <c r="K54" s="316">
        <f t="shared" si="3"/>
        <v>0</v>
      </c>
      <c r="L54" s="562"/>
    </row>
    <row r="55" spans="3:12" ht="18.75" thickBot="1">
      <c r="E55" s="1248"/>
      <c r="F55" s="302"/>
      <c r="G55" s="309" t="s">
        <v>1086</v>
      </c>
      <c r="H55" s="315" t="s">
        <v>1073</v>
      </c>
      <c r="I55" s="311">
        <v>297.49484536082474</v>
      </c>
      <c r="J55" s="316">
        <f t="shared" si="2"/>
        <v>267.74536082474225</v>
      </c>
      <c r="K55" s="316">
        <f t="shared" si="3"/>
        <v>0</v>
      </c>
      <c r="L55" s="562"/>
    </row>
    <row r="56" spans="3:12" ht="18.75" thickBot="1">
      <c r="E56" s="1248"/>
      <c r="F56" s="30"/>
      <c r="G56" s="31" t="s">
        <v>1087</v>
      </c>
      <c r="H56" s="32" t="s">
        <v>1074</v>
      </c>
      <c r="I56" s="33">
        <v>297.49484536082474</v>
      </c>
      <c r="J56" s="316">
        <f t="shared" si="2"/>
        <v>267.74536082474225</v>
      </c>
      <c r="K56" s="27">
        <f t="shared" si="3"/>
        <v>0</v>
      </c>
      <c r="L56" s="562"/>
    </row>
    <row r="57" spans="3:12" ht="18.75" thickBot="1">
      <c r="C57" s="166"/>
      <c r="D57" s="167"/>
      <c r="E57" s="1248"/>
      <c r="F57" s="302"/>
      <c r="G57" s="31" t="s">
        <v>1088</v>
      </c>
      <c r="H57" s="32" t="s">
        <v>1075</v>
      </c>
      <c r="I57" s="33">
        <v>297.49484536082474</v>
      </c>
      <c r="J57" s="316">
        <f t="shared" si="2"/>
        <v>267.74536082474225</v>
      </c>
      <c r="K57" s="27">
        <f t="shared" si="3"/>
        <v>0</v>
      </c>
      <c r="L57" s="562"/>
    </row>
    <row r="58" spans="3:12" ht="18.75" thickBot="1">
      <c r="C58" s="166"/>
      <c r="D58" s="167"/>
      <c r="E58" s="1248"/>
      <c r="F58" s="302"/>
      <c r="G58" s="309" t="s">
        <v>1121</v>
      </c>
      <c r="H58" s="310" t="s">
        <v>1095</v>
      </c>
      <c r="I58" s="311">
        <v>92.783505154639172</v>
      </c>
      <c r="J58" s="316">
        <f t="shared" si="2"/>
        <v>83.505154639175259</v>
      </c>
      <c r="K58" s="316">
        <f t="shared" si="3"/>
        <v>0</v>
      </c>
      <c r="L58" s="562"/>
    </row>
    <row r="59" spans="3:12" ht="18.75" thickBot="1">
      <c r="E59" s="1248"/>
      <c r="F59" s="302"/>
      <c r="G59" s="309" t="s">
        <v>1122</v>
      </c>
      <c r="H59" s="315" t="s">
        <v>1096</v>
      </c>
      <c r="I59" s="311">
        <v>92.783505154639172</v>
      </c>
      <c r="J59" s="316">
        <f t="shared" ref="J59:J64" si="4">I59*(1-10%)</f>
        <v>83.505154639175259</v>
      </c>
      <c r="K59" s="316">
        <f t="shared" ref="K59:K64" si="5">J59*F59</f>
        <v>0</v>
      </c>
      <c r="L59" s="562"/>
    </row>
    <row r="60" spans="3:12" ht="18.75" thickBot="1">
      <c r="E60" s="1248"/>
      <c r="F60" s="302"/>
      <c r="G60" s="309" t="s">
        <v>1123</v>
      </c>
      <c r="H60" s="315" t="s">
        <v>1138</v>
      </c>
      <c r="I60" s="311">
        <v>587.62886597938143</v>
      </c>
      <c r="J60" s="316">
        <f t="shared" si="4"/>
        <v>528.86597938144325</v>
      </c>
      <c r="K60" s="316">
        <f t="shared" si="5"/>
        <v>0</v>
      </c>
      <c r="L60" s="562"/>
    </row>
    <row r="61" spans="3:12" ht="18.75" thickBot="1">
      <c r="E61" s="1248"/>
      <c r="F61" s="30"/>
      <c r="G61" s="31" t="s">
        <v>1081</v>
      </c>
      <c r="H61" s="32" t="s">
        <v>1068</v>
      </c>
      <c r="I61" s="33">
        <v>64.80412371134021</v>
      </c>
      <c r="J61" s="316">
        <f t="shared" si="4"/>
        <v>58.323711340206188</v>
      </c>
      <c r="K61" s="27">
        <f t="shared" si="5"/>
        <v>0</v>
      </c>
      <c r="L61" s="562"/>
    </row>
    <row r="62" spans="3:12" ht="18.75" thickBot="1">
      <c r="C62" s="166"/>
      <c r="D62" s="167"/>
      <c r="E62" s="1248"/>
      <c r="F62" s="302"/>
      <c r="G62" s="31">
        <v>1021231</v>
      </c>
      <c r="H62" s="32" t="s">
        <v>1139</v>
      </c>
      <c r="I62" s="33">
        <v>29.44035346097202</v>
      </c>
      <c r="J62" s="316">
        <f t="shared" si="4"/>
        <v>26.496318114874818</v>
      </c>
      <c r="K62" s="27">
        <f t="shared" si="5"/>
        <v>0</v>
      </c>
      <c r="L62" s="562"/>
    </row>
    <row r="63" spans="3:12" ht="18.75" thickBot="1">
      <c r="C63" s="166"/>
      <c r="D63" s="167"/>
      <c r="E63" s="1248"/>
      <c r="F63" s="302"/>
      <c r="G63" s="309">
        <v>1021294</v>
      </c>
      <c r="H63" s="310" t="s">
        <v>1140</v>
      </c>
      <c r="I63" s="311">
        <v>22.091310751104569</v>
      </c>
      <c r="J63" s="316">
        <f t="shared" si="4"/>
        <v>19.882179675994113</v>
      </c>
      <c r="K63" s="316">
        <f t="shared" si="5"/>
        <v>0</v>
      </c>
      <c r="L63" s="562"/>
    </row>
    <row r="64" spans="3:12" ht="18.75" thickBot="1">
      <c r="C64" s="166"/>
      <c r="D64" s="167"/>
      <c r="E64" s="1248"/>
      <c r="F64" s="30"/>
      <c r="G64" s="31" t="s">
        <v>1089</v>
      </c>
      <c r="H64" s="34" t="s">
        <v>1076</v>
      </c>
      <c r="I64" s="33">
        <v>41.237113402061858</v>
      </c>
      <c r="J64" s="316">
        <f t="shared" si="4"/>
        <v>37.113402061855673</v>
      </c>
      <c r="K64" s="27">
        <f t="shared" si="5"/>
        <v>0</v>
      </c>
      <c r="L64" s="562"/>
    </row>
    <row r="65" spans="2:11" ht="23.25">
      <c r="C65" s="166"/>
      <c r="D65" s="167"/>
      <c r="E65" s="1229" t="s">
        <v>183</v>
      </c>
      <c r="F65" s="1229"/>
      <c r="G65" s="1229"/>
      <c r="H65" s="1229"/>
      <c r="I65" s="1229"/>
      <c r="J65" s="1229"/>
      <c r="K65" s="317">
        <f>SUM(K34:K64)</f>
        <v>0</v>
      </c>
    </row>
    <row r="66" spans="2:11" ht="15.75">
      <c r="C66" s="166"/>
      <c r="D66" s="167"/>
      <c r="E66" s="168"/>
      <c r="F66" s="28"/>
      <c r="G66" s="7"/>
      <c r="H66" s="8"/>
      <c r="I66" s="8"/>
      <c r="J66" s="8"/>
      <c r="K66" s="8"/>
    </row>
    <row r="67" spans="2:11">
      <c r="F67" s="7"/>
      <c r="G67" s="7"/>
      <c r="H67" s="8"/>
      <c r="I67" s="8"/>
      <c r="J67" s="8"/>
      <c r="K67" s="8"/>
    </row>
    <row r="68" spans="2:11">
      <c r="F68" s="7"/>
      <c r="G68" s="7"/>
      <c r="H68" s="8"/>
      <c r="I68" s="8"/>
      <c r="J68" s="8"/>
      <c r="K68" s="8"/>
    </row>
    <row r="69" spans="2:11">
      <c r="F69" s="7"/>
      <c r="G69" s="7"/>
      <c r="H69" s="8"/>
      <c r="I69" s="8"/>
      <c r="J69" s="8"/>
      <c r="K69" s="8"/>
    </row>
    <row r="70" spans="2:11">
      <c r="B70" s="106"/>
      <c r="C70" s="106"/>
      <c r="F70" s="7"/>
      <c r="G70" s="7"/>
      <c r="H70" s="8"/>
      <c r="I70" s="8"/>
      <c r="J70" s="8"/>
      <c r="K70" s="8"/>
    </row>
    <row r="71" spans="2:11">
      <c r="F71" s="7"/>
      <c r="G71" s="7"/>
      <c r="H71" s="8"/>
      <c r="I71" s="8"/>
      <c r="J71" s="8"/>
      <c r="K71" s="8"/>
    </row>
    <row r="72" spans="2:11">
      <c r="G72" s="7"/>
      <c r="I72" s="8"/>
      <c r="K72" s="8"/>
    </row>
    <row r="75" spans="2:11">
      <c r="F75" s="104"/>
      <c r="G75" s="104"/>
    </row>
    <row r="76" spans="2:11">
      <c r="F76" s="104"/>
      <c r="G76" s="104"/>
    </row>
    <row r="77" spans="2:11">
      <c r="F77" s="104"/>
      <c r="G77" s="104"/>
    </row>
    <row r="78" spans="2:11">
      <c r="F78" s="104"/>
      <c r="G78" s="104"/>
    </row>
    <row r="79" spans="2:11">
      <c r="F79" s="104"/>
      <c r="G79" s="104"/>
    </row>
    <row r="80" spans="2:11">
      <c r="F80" s="104"/>
      <c r="G80" s="104"/>
    </row>
    <row r="81" s="104" customFormat="1"/>
    <row r="82" s="104" customFormat="1"/>
  </sheetData>
  <mergeCells count="14">
    <mergeCell ref="E27:G27"/>
    <mergeCell ref="A4:K4"/>
    <mergeCell ref="A5:K5"/>
    <mergeCell ref="G10:I10"/>
    <mergeCell ref="E24:H24"/>
    <mergeCell ref="E25:H25"/>
    <mergeCell ref="E26:G26"/>
    <mergeCell ref="E28:G28"/>
    <mergeCell ref="E36:E64"/>
    <mergeCell ref="E65:J65"/>
    <mergeCell ref="G31:H31"/>
    <mergeCell ref="F32:K32"/>
    <mergeCell ref="E29:H29"/>
    <mergeCell ref="E35:K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F7A94-75CF-49F3-A2D0-CE9367BEA442}">
  <sheetPr>
    <tabColor indexed="62"/>
  </sheetPr>
  <dimension ref="A1:P102"/>
  <sheetViews>
    <sheetView showOutlineSymbols="0" topLeftCell="A29" zoomScale="87" zoomScaleNormal="87" workbookViewId="0">
      <selection activeCell="A4" sqref="A4:O4"/>
    </sheetView>
  </sheetViews>
  <sheetFormatPr defaultColWidth="8.85546875" defaultRowHeight="12.75" outlineLevelRow="2"/>
  <cols>
    <col min="1" max="1" width="14.7109375" style="378" customWidth="1"/>
    <col min="2" max="2" width="8.7109375" style="378" customWidth="1"/>
    <col min="3" max="3" width="20" style="378" bestFit="1" customWidth="1"/>
    <col min="4" max="4" width="43.140625" style="378" customWidth="1"/>
    <col min="5" max="5" width="15.7109375" style="378" customWidth="1"/>
    <col min="6" max="6" width="19.42578125" style="455" customWidth="1"/>
    <col min="7" max="7" width="13.85546875" style="455" customWidth="1"/>
    <col min="8" max="8" width="19.7109375" style="378" customWidth="1"/>
    <col min="9" max="9" width="18" style="378" customWidth="1"/>
    <col min="10" max="10" width="20.140625" style="378" customWidth="1"/>
    <col min="11" max="11" width="22.28515625" style="378" customWidth="1"/>
    <col min="12" max="12" width="20.28515625" style="378" customWidth="1"/>
    <col min="13" max="13" width="23.42578125" style="378" customWidth="1"/>
    <col min="14" max="14" width="20.5703125" style="378" customWidth="1"/>
    <col min="15" max="15" width="23.42578125" style="378" customWidth="1"/>
    <col min="16" max="16" width="11.42578125" style="378" customWidth="1"/>
    <col min="17" max="16384" width="8.85546875" style="378"/>
  </cols>
  <sheetData>
    <row r="1" spans="1:15" ht="13.5" thickBot="1">
      <c r="B1" s="379"/>
      <c r="C1" s="379"/>
      <c r="D1" s="380"/>
      <c r="E1" s="380"/>
      <c r="F1" s="381"/>
      <c r="G1" s="381"/>
      <c r="H1" s="381"/>
      <c r="I1" s="381"/>
      <c r="J1" s="381"/>
      <c r="K1" s="381"/>
      <c r="L1" s="381"/>
    </row>
    <row r="2" spans="1:15" ht="9" customHeight="1">
      <c r="A2" s="382"/>
      <c r="B2" s="383"/>
      <c r="C2" s="383"/>
      <c r="D2" s="384"/>
      <c r="E2" s="384"/>
      <c r="F2" s="385"/>
      <c r="G2" s="385"/>
      <c r="H2" s="385"/>
      <c r="I2" s="386"/>
      <c r="J2" s="386"/>
      <c r="K2" s="386"/>
      <c r="L2" s="386"/>
      <c r="M2" s="382"/>
      <c r="N2" s="382"/>
      <c r="O2" s="382"/>
    </row>
    <row r="3" spans="1:15" ht="10.5" customHeight="1">
      <c r="B3" s="379"/>
      <c r="C3" s="379"/>
      <c r="D3" s="380"/>
      <c r="E3" s="380"/>
      <c r="F3" s="381"/>
      <c r="G3" s="381"/>
      <c r="H3" s="381"/>
      <c r="I3" s="387"/>
      <c r="J3" s="387"/>
      <c r="K3" s="387"/>
      <c r="L3" s="387"/>
    </row>
    <row r="4" spans="1:15" ht="30">
      <c r="A4" s="1022" t="s">
        <v>4290</v>
      </c>
      <c r="B4" s="1023"/>
      <c r="C4" s="1023"/>
      <c r="D4" s="1023"/>
      <c r="E4" s="1023"/>
      <c r="F4" s="1023"/>
      <c r="G4" s="1023"/>
      <c r="H4" s="1023"/>
      <c r="I4" s="1023"/>
      <c r="J4" s="1023"/>
      <c r="K4" s="1023"/>
      <c r="L4" s="1023"/>
      <c r="M4" s="1023"/>
      <c r="N4" s="1023"/>
      <c r="O4" s="1023"/>
    </row>
    <row r="5" spans="1:15" s="388" customFormat="1" ht="52.9" customHeight="1">
      <c r="A5" s="1024" t="s">
        <v>4291</v>
      </c>
      <c r="B5" s="1025"/>
      <c r="C5" s="1025"/>
      <c r="D5" s="1025"/>
      <c r="E5" s="1025"/>
      <c r="F5" s="1025"/>
      <c r="G5" s="1025"/>
      <c r="H5" s="1025"/>
      <c r="I5" s="1025"/>
      <c r="J5" s="1025"/>
      <c r="K5" s="1025"/>
      <c r="L5" s="1025"/>
      <c r="M5" s="1025"/>
      <c r="N5" s="1025"/>
      <c r="O5" s="1025"/>
    </row>
    <row r="6" spans="1:15" ht="9" customHeight="1" thickBot="1">
      <c r="A6" s="389"/>
      <c r="B6" s="773"/>
      <c r="C6" s="773"/>
      <c r="D6" s="774"/>
      <c r="E6" s="774"/>
      <c r="F6" s="775"/>
      <c r="G6" s="775"/>
      <c r="H6" s="775"/>
      <c r="I6" s="716"/>
      <c r="J6" s="716"/>
      <c r="K6" s="716"/>
      <c r="L6" s="716"/>
      <c r="M6" s="389"/>
      <c r="N6" s="389"/>
      <c r="O6" s="389"/>
    </row>
    <row r="9" spans="1:15" s="387" customFormat="1" ht="14.25">
      <c r="B9" s="390"/>
      <c r="C9" s="390"/>
      <c r="D9" s="391"/>
      <c r="E9" s="391"/>
      <c r="F9" s="391"/>
      <c r="G9" s="391"/>
      <c r="H9" s="391"/>
      <c r="I9" s="391"/>
      <c r="J9" s="391"/>
      <c r="K9" s="391"/>
      <c r="L9" s="391"/>
      <c r="M9" s="391"/>
      <c r="N9" s="391"/>
      <c r="O9" s="391"/>
    </row>
    <row r="10" spans="1:15" s="387" customFormat="1" ht="14.25">
      <c r="F10" s="616"/>
      <c r="G10" s="1026" t="s">
        <v>3</v>
      </c>
      <c r="H10" s="1026"/>
      <c r="I10" s="1026"/>
      <c r="J10" s="1026"/>
      <c r="K10" s="717"/>
    </row>
    <row r="11" spans="1:15" s="387" customFormat="1">
      <c r="H11" s="392" t="s">
        <v>4</v>
      </c>
      <c r="I11" s="387" t="s">
        <v>264</v>
      </c>
    </row>
    <row r="12" spans="1:15" s="387" customFormat="1">
      <c r="H12" s="392" t="s">
        <v>5</v>
      </c>
      <c r="I12" s="404" t="s">
        <v>599</v>
      </c>
      <c r="J12" s="404"/>
      <c r="L12" s="404"/>
    </row>
    <row r="13" spans="1:15" s="387" customFormat="1">
      <c r="F13" s="616"/>
      <c r="G13" s="616"/>
      <c r="H13" s="398" t="s">
        <v>6</v>
      </c>
      <c r="I13" s="768" t="s">
        <v>7</v>
      </c>
      <c r="J13" s="768"/>
      <c r="L13" s="768"/>
    </row>
    <row r="14" spans="1:15" s="387" customFormat="1">
      <c r="F14" s="616"/>
      <c r="G14" s="616"/>
      <c r="H14" s="392" t="s">
        <v>8</v>
      </c>
      <c r="I14" s="776">
        <v>120000</v>
      </c>
      <c r="J14" s="776"/>
      <c r="L14" s="776"/>
    </row>
    <row r="15" spans="1:15" s="387" customFormat="1">
      <c r="F15" s="616"/>
      <c r="G15" s="616"/>
      <c r="H15" s="392" t="s">
        <v>9</v>
      </c>
      <c r="I15" s="387" t="s">
        <v>262</v>
      </c>
    </row>
    <row r="16" spans="1:15" s="387" customFormat="1">
      <c r="F16" s="616"/>
      <c r="G16" s="616"/>
      <c r="H16" s="392" t="s">
        <v>10</v>
      </c>
      <c r="I16" s="387" t="s">
        <v>257</v>
      </c>
    </row>
    <row r="17" spans="1:15" s="387" customFormat="1">
      <c r="B17" s="718"/>
      <c r="C17" s="718"/>
      <c r="F17" s="424"/>
      <c r="G17" s="424"/>
      <c r="H17" s="392" t="s">
        <v>188</v>
      </c>
      <c r="I17" s="387" t="s">
        <v>3806</v>
      </c>
    </row>
    <row r="18" spans="1:15" s="387" customFormat="1">
      <c r="H18" s="392" t="s">
        <v>13</v>
      </c>
      <c r="I18" s="387" t="s">
        <v>14</v>
      </c>
    </row>
    <row r="19" spans="1:15" s="387" customFormat="1">
      <c r="F19" s="616"/>
      <c r="G19" s="616"/>
      <c r="H19" s="380" t="s">
        <v>189</v>
      </c>
      <c r="I19" s="387" t="s">
        <v>207</v>
      </c>
    </row>
    <row r="20" spans="1:15" s="387" customFormat="1">
      <c r="F20" s="616"/>
      <c r="G20" s="616"/>
      <c r="H20" s="392" t="s">
        <v>15</v>
      </c>
      <c r="I20" s="387" t="s">
        <v>3807</v>
      </c>
    </row>
    <row r="21" spans="1:15" s="387" customFormat="1">
      <c r="F21" s="616"/>
      <c r="G21" s="616"/>
      <c r="H21" s="392" t="s">
        <v>16</v>
      </c>
      <c r="I21" s="387" t="s">
        <v>17</v>
      </c>
    </row>
    <row r="22" spans="1:15" s="387" customFormat="1">
      <c r="F22" s="616"/>
      <c r="G22" s="616"/>
      <c r="H22" s="392" t="s">
        <v>18</v>
      </c>
      <c r="I22" s="404" t="s">
        <v>3808</v>
      </c>
      <c r="J22" s="404"/>
      <c r="L22" s="404"/>
    </row>
    <row r="23" spans="1:15" s="387" customFormat="1" ht="15.75" customHeight="1">
      <c r="D23" s="1027"/>
      <c r="E23" s="399"/>
      <c r="F23" s="405"/>
      <c r="G23" s="405"/>
      <c r="H23" s="392" t="s">
        <v>19</v>
      </c>
      <c r="I23" s="387" t="s">
        <v>3809</v>
      </c>
    </row>
    <row r="24" spans="1:15" s="387" customFormat="1" ht="12.75" customHeight="1">
      <c r="D24" s="1027"/>
      <c r="E24" s="399"/>
      <c r="F24" s="405"/>
      <c r="G24" s="405"/>
      <c r="H24" s="392" t="s">
        <v>20</v>
      </c>
      <c r="I24" s="387" t="s">
        <v>3810</v>
      </c>
    </row>
    <row r="25" spans="1:15" s="387" customFormat="1" ht="12.75" customHeight="1">
      <c r="D25" s="399"/>
      <c r="E25" s="399"/>
      <c r="F25" s="405"/>
      <c r="G25" s="405"/>
      <c r="H25" s="392" t="s">
        <v>21</v>
      </c>
      <c r="I25" s="387" t="s">
        <v>3811</v>
      </c>
    </row>
    <row r="26" spans="1:15" s="387" customFormat="1" ht="12.75" customHeight="1">
      <c r="D26" s="399"/>
      <c r="E26" s="399"/>
      <c r="F26" s="405"/>
      <c r="G26" s="405"/>
      <c r="H26" s="392" t="s">
        <v>22</v>
      </c>
      <c r="I26" s="387" t="s">
        <v>3812</v>
      </c>
    </row>
    <row r="27" spans="1:15" s="387" customFormat="1" ht="14.25">
      <c r="A27" s="1028" t="s">
        <v>195</v>
      </c>
      <c r="B27" s="1026"/>
      <c r="C27" s="1026"/>
      <c r="D27" s="1026"/>
      <c r="E27" s="1026"/>
      <c r="F27" s="1026"/>
      <c r="G27" s="1026"/>
      <c r="H27" s="1026"/>
      <c r="I27" s="1026"/>
      <c r="J27" s="1026"/>
      <c r="K27" s="1026"/>
      <c r="L27" s="1026"/>
      <c r="M27" s="1026"/>
      <c r="N27" s="1026"/>
      <c r="O27" s="1029"/>
    </row>
    <row r="28" spans="1:15" s="387" customFormat="1" ht="14.25">
      <c r="A28" s="1016" t="s">
        <v>192</v>
      </c>
      <c r="B28" s="1017"/>
      <c r="C28" s="1017"/>
      <c r="D28" s="1017"/>
      <c r="E28" s="1017"/>
      <c r="F28" s="1017"/>
      <c r="G28" s="1017"/>
      <c r="H28" s="1018"/>
      <c r="I28" s="1019" t="s">
        <v>193</v>
      </c>
      <c r="J28" s="1020"/>
      <c r="K28" s="1020"/>
      <c r="L28" s="1020"/>
      <c r="M28" s="1020"/>
      <c r="N28" s="1020"/>
      <c r="O28" s="1021"/>
    </row>
    <row r="29" spans="1:15" s="387" customFormat="1" ht="12.75" customHeight="1">
      <c r="A29" s="1030" t="s">
        <v>160</v>
      </c>
      <c r="B29" s="1031"/>
      <c r="C29" s="1031"/>
      <c r="D29" s="1031"/>
      <c r="E29" s="1023" t="s">
        <v>161</v>
      </c>
      <c r="F29" s="1023"/>
      <c r="G29" s="1023"/>
      <c r="H29" s="771"/>
      <c r="I29" s="1030" t="s">
        <v>160</v>
      </c>
      <c r="J29" s="1031"/>
      <c r="K29" s="1031"/>
      <c r="L29" s="1031"/>
      <c r="M29" s="1023" t="s">
        <v>162</v>
      </c>
      <c r="N29" s="1023"/>
      <c r="O29" s="1032"/>
    </row>
    <row r="30" spans="1:15" s="387" customFormat="1" ht="12.75" customHeight="1">
      <c r="A30" s="1030" t="s">
        <v>163</v>
      </c>
      <c r="B30" s="1031"/>
      <c r="C30" s="1031"/>
      <c r="D30" s="1031"/>
      <c r="E30" s="1033">
        <v>0</v>
      </c>
      <c r="F30" s="1033"/>
      <c r="G30" s="1033"/>
      <c r="H30" s="771"/>
      <c r="I30" s="1030" t="s">
        <v>163</v>
      </c>
      <c r="J30" s="1031"/>
      <c r="K30" s="1031"/>
      <c r="L30" s="1031"/>
      <c r="M30" s="1033">
        <v>168</v>
      </c>
      <c r="N30" s="1033"/>
      <c r="O30" s="1034"/>
    </row>
    <row r="31" spans="1:15" s="387" customFormat="1" ht="12.75" customHeight="1">
      <c r="A31" s="1030" t="s">
        <v>164</v>
      </c>
      <c r="B31" s="1031"/>
      <c r="C31" s="1031"/>
      <c r="D31" s="1031"/>
      <c r="E31" s="1023" t="s">
        <v>165</v>
      </c>
      <c r="F31" s="1023"/>
      <c r="G31" s="1023"/>
      <c r="H31" s="771"/>
      <c r="I31" s="1030" t="s">
        <v>164</v>
      </c>
      <c r="J31" s="1031"/>
      <c r="K31" s="1031"/>
      <c r="L31" s="1031"/>
      <c r="M31" s="1023" t="s">
        <v>259</v>
      </c>
      <c r="N31" s="1023"/>
      <c r="O31" s="1032"/>
    </row>
    <row r="32" spans="1:15" s="387" customFormat="1" ht="12.75" customHeight="1" thickBot="1">
      <c r="A32" s="1035" t="s">
        <v>166</v>
      </c>
      <c r="B32" s="1036"/>
      <c r="C32" s="1036"/>
      <c r="D32" s="1036"/>
      <c r="E32" s="1037" t="s">
        <v>196</v>
      </c>
      <c r="F32" s="1037"/>
      <c r="G32" s="1037"/>
      <c r="H32" s="763"/>
      <c r="I32" s="1035" t="s">
        <v>166</v>
      </c>
      <c r="J32" s="1036"/>
      <c r="K32" s="1036"/>
      <c r="L32" s="1036"/>
      <c r="M32" s="1037" t="s">
        <v>197</v>
      </c>
      <c r="N32" s="1037"/>
      <c r="O32" s="1038"/>
    </row>
    <row r="33" spans="1:16" s="387" customFormat="1" ht="12.75" customHeight="1">
      <c r="B33" s="404"/>
      <c r="C33" s="404"/>
      <c r="D33" s="399"/>
      <c r="E33" s="399"/>
      <c r="F33" s="405"/>
      <c r="G33" s="405"/>
      <c r="H33" s="405"/>
      <c r="J33" s="778"/>
      <c r="K33" s="778"/>
      <c r="L33" s="778"/>
    </row>
    <row r="34" spans="1:16" s="387" customFormat="1" ht="12.75" customHeight="1">
      <c r="D34" s="399"/>
      <c r="E34" s="399"/>
      <c r="F34" s="1039"/>
      <c r="G34" s="1023"/>
      <c r="H34" s="1023"/>
      <c r="I34" s="1023"/>
      <c r="J34" s="1023"/>
      <c r="K34" s="778"/>
      <c r="L34" s="778"/>
      <c r="M34" s="392"/>
    </row>
    <row r="35" spans="1:16" s="387" customFormat="1" ht="12.75" customHeight="1">
      <c r="D35" s="399"/>
      <c r="E35" s="399"/>
      <c r="F35" s="1039"/>
      <c r="G35" s="1023"/>
      <c r="H35" s="1023"/>
      <c r="I35" s="1023"/>
      <c r="J35" s="1023"/>
      <c r="K35" s="778"/>
      <c r="L35" s="778"/>
      <c r="M35" s="392"/>
    </row>
    <row r="36" spans="1:16" s="387" customFormat="1" ht="12.75" customHeight="1" thickBot="1">
      <c r="D36" s="399"/>
      <c r="E36" s="399"/>
      <c r="F36" s="405"/>
      <c r="G36" s="405"/>
      <c r="J36" s="410"/>
      <c r="K36" s="410"/>
      <c r="L36" s="410"/>
    </row>
    <row r="37" spans="1:16" s="387" customFormat="1" ht="15.75" customHeight="1" thickBot="1">
      <c r="F37" s="1040" t="s">
        <v>167</v>
      </c>
      <c r="G37" s="1041"/>
      <c r="H37" s="1042" t="s">
        <v>168</v>
      </c>
      <c r="I37" s="1043"/>
      <c r="J37" s="1043"/>
      <c r="K37" s="1044"/>
      <c r="L37" s="1044"/>
      <c r="M37" s="1044"/>
      <c r="N37" s="1044"/>
      <c r="O37" s="1045"/>
    </row>
    <row r="38" spans="1:16" s="413" customFormat="1" ht="50.25" customHeight="1" thickBot="1">
      <c r="A38" s="411" t="s">
        <v>122</v>
      </c>
      <c r="B38" s="411" t="s">
        <v>169</v>
      </c>
      <c r="C38" s="412" t="s">
        <v>170</v>
      </c>
      <c r="D38" s="412" t="s">
        <v>171</v>
      </c>
      <c r="E38" s="412" t="s">
        <v>172</v>
      </c>
      <c r="F38" s="412" t="s">
        <v>173</v>
      </c>
      <c r="G38" s="411" t="s">
        <v>174</v>
      </c>
      <c r="H38" s="412" t="s">
        <v>175</v>
      </c>
      <c r="I38" s="411" t="s">
        <v>174</v>
      </c>
      <c r="J38" s="412" t="s">
        <v>176</v>
      </c>
      <c r="K38" s="411" t="s">
        <v>174</v>
      </c>
      <c r="L38" s="412" t="s">
        <v>177</v>
      </c>
      <c r="M38" s="411" t="s">
        <v>174</v>
      </c>
      <c r="N38" s="412" t="s">
        <v>178</v>
      </c>
      <c r="O38" s="411" t="s">
        <v>174</v>
      </c>
    </row>
    <row r="39" spans="1:16" s="777" customFormat="1" ht="39" thickBot="1">
      <c r="A39" s="1046">
        <v>8</v>
      </c>
      <c r="B39" s="1046"/>
      <c r="C39" s="770" t="s">
        <v>4300</v>
      </c>
      <c r="D39" s="779" t="s">
        <v>4292</v>
      </c>
      <c r="E39" s="780">
        <v>3965</v>
      </c>
      <c r="F39" s="760">
        <f>SUM(E39:E41)*(1-60%)</f>
        <v>1766</v>
      </c>
      <c r="G39" s="1050">
        <f>F39*B39</f>
        <v>0</v>
      </c>
      <c r="H39" s="1050">
        <f>F39*0.0832</f>
        <v>146.93119999999999</v>
      </c>
      <c r="I39" s="1050">
        <f>H39*B39</f>
        <v>0</v>
      </c>
      <c r="J39" s="1050">
        <f>F39*0.0313</f>
        <v>55.275800000000004</v>
      </c>
      <c r="K39" s="1050">
        <f>J39*B39</f>
        <v>0</v>
      </c>
      <c r="L39" s="1050">
        <f>F39*0.0256</f>
        <v>45.209600000000002</v>
      </c>
      <c r="M39" s="1050">
        <f>L39*B39</f>
        <v>0</v>
      </c>
      <c r="N39" s="1050">
        <f>F39*0.0213</f>
        <v>37.6158</v>
      </c>
      <c r="O39" s="1050">
        <f>N39*B39</f>
        <v>0</v>
      </c>
      <c r="P39" s="781"/>
    </row>
    <row r="40" spans="1:16" s="413" customFormat="1" ht="13.5" thickBot="1">
      <c r="A40" s="1047"/>
      <c r="B40" s="1047"/>
      <c r="C40" s="419">
        <v>135900</v>
      </c>
      <c r="D40" s="782" t="s">
        <v>725</v>
      </c>
      <c r="E40" s="693">
        <v>375</v>
      </c>
      <c r="F40" s="52" t="s">
        <v>162</v>
      </c>
      <c r="G40" s="1051"/>
      <c r="H40" s="1051"/>
      <c r="I40" s="1051"/>
      <c r="J40" s="1051"/>
      <c r="K40" s="1051"/>
      <c r="L40" s="1051"/>
      <c r="M40" s="1051"/>
      <c r="N40" s="1051"/>
      <c r="O40" s="1051"/>
    </row>
    <row r="41" spans="1:16" s="413" customFormat="1" ht="13.5" thickBot="1">
      <c r="A41" s="1048"/>
      <c r="B41" s="1049"/>
      <c r="C41" s="419" t="s">
        <v>179</v>
      </c>
      <c r="D41" s="782" t="s">
        <v>180</v>
      </c>
      <c r="E41" s="693">
        <v>75</v>
      </c>
      <c r="F41" s="422" t="s">
        <v>162</v>
      </c>
      <c r="G41" s="1052"/>
      <c r="H41" s="1053"/>
      <c r="I41" s="1052"/>
      <c r="J41" s="1053"/>
      <c r="K41" s="1052"/>
      <c r="L41" s="1053"/>
      <c r="M41" s="1052"/>
      <c r="N41" s="1053"/>
      <c r="O41" s="1052"/>
    </row>
    <row r="42" spans="1:16" s="729" customFormat="1" ht="13.5" thickBot="1">
      <c r="A42" s="783"/>
      <c r="B42" s="430"/>
      <c r="C42" s="765"/>
      <c r="D42" s="757"/>
      <c r="E42" s="784"/>
      <c r="F42" s="434"/>
      <c r="G42" s="430"/>
      <c r="H42" s="436"/>
      <c r="I42" s="430"/>
      <c r="J42" s="436"/>
      <c r="K42" s="435"/>
      <c r="L42" s="436"/>
      <c r="M42" s="430"/>
      <c r="N42" s="436"/>
      <c r="O42" s="435"/>
    </row>
    <row r="43" spans="1:16" s="777" customFormat="1" ht="39" thickBot="1">
      <c r="A43" s="1046" t="s">
        <v>194</v>
      </c>
      <c r="B43" s="1046"/>
      <c r="C43" s="770" t="s">
        <v>4300</v>
      </c>
      <c r="D43" s="779" t="s">
        <v>4292</v>
      </c>
      <c r="E43" s="780">
        <v>3965</v>
      </c>
      <c r="F43" s="756">
        <f>SUM(E43:E45)*(1-60%)</f>
        <v>1766</v>
      </c>
      <c r="G43" s="1062">
        <f>F43*B43</f>
        <v>0</v>
      </c>
      <c r="H43" s="1062">
        <f>F43*0.0832+M30/12</f>
        <v>160.93119999999999</v>
      </c>
      <c r="I43" s="1062">
        <f>H43*B43</f>
        <v>0</v>
      </c>
      <c r="J43" s="1062">
        <f>F43*0.0313+M30/12</f>
        <v>69.275800000000004</v>
      </c>
      <c r="K43" s="1062">
        <f>J43*B43</f>
        <v>0</v>
      </c>
      <c r="L43" s="1062">
        <f>F43*0.0256+M30/12</f>
        <v>59.209600000000002</v>
      </c>
      <c r="M43" s="1062">
        <f>L43*B43</f>
        <v>0</v>
      </c>
      <c r="N43" s="1062">
        <f>F43*0.0213+M30/12</f>
        <v>51.6158</v>
      </c>
      <c r="O43" s="1062">
        <f>N43*B43</f>
        <v>0</v>
      </c>
      <c r="P43" s="781"/>
    </row>
    <row r="44" spans="1:16" s="413" customFormat="1" ht="13.5" thickBot="1">
      <c r="A44" s="1047"/>
      <c r="B44" s="1047"/>
      <c r="C44" s="419">
        <v>135900</v>
      </c>
      <c r="D44" s="782" t="s">
        <v>725</v>
      </c>
      <c r="E44" s="693">
        <v>375</v>
      </c>
      <c r="F44" s="422" t="s">
        <v>162</v>
      </c>
      <c r="G44" s="1051"/>
      <c r="H44" s="1051"/>
      <c r="I44" s="1051"/>
      <c r="J44" s="1051"/>
      <c r="K44" s="1051"/>
      <c r="L44" s="1051"/>
      <c r="M44" s="1051"/>
      <c r="N44" s="1051"/>
      <c r="O44" s="1051"/>
    </row>
    <row r="45" spans="1:16" s="413" customFormat="1" ht="13.5" thickBot="1">
      <c r="A45" s="1048"/>
      <c r="B45" s="1049"/>
      <c r="C45" s="419" t="s">
        <v>179</v>
      </c>
      <c r="D45" s="782" t="s">
        <v>180</v>
      </c>
      <c r="E45" s="693">
        <v>75</v>
      </c>
      <c r="F45" s="422" t="s">
        <v>162</v>
      </c>
      <c r="G45" s="1064"/>
      <c r="H45" s="1063"/>
      <c r="I45" s="1064"/>
      <c r="J45" s="1063"/>
      <c r="K45" s="1064"/>
      <c r="L45" s="1063"/>
      <c r="M45" s="1064"/>
      <c r="N45" s="1063"/>
      <c r="O45" s="1064"/>
    </row>
    <row r="46" spans="1:16" s="729" customFormat="1" ht="15.6" customHeight="1" thickBot="1">
      <c r="A46" s="1054" t="s">
        <v>182</v>
      </c>
      <c r="B46" s="1044"/>
      <c r="C46" s="1044"/>
      <c r="D46" s="1044"/>
      <c r="E46" s="1044"/>
      <c r="F46" s="1055"/>
      <c r="G46" s="1055"/>
      <c r="H46" s="1055"/>
      <c r="I46" s="1055"/>
      <c r="J46" s="1055"/>
      <c r="K46" s="1055"/>
      <c r="L46" s="1055"/>
      <c r="M46" s="1055"/>
      <c r="N46" s="1055"/>
      <c r="O46" s="1056"/>
    </row>
    <row r="47" spans="1:16" s="413" customFormat="1" ht="13.5" thickBot="1">
      <c r="A47" s="1057"/>
      <c r="B47" s="441"/>
      <c r="C47" s="785" t="s">
        <v>486</v>
      </c>
      <c r="D47" s="420" t="s">
        <v>671</v>
      </c>
      <c r="E47" s="693">
        <v>129.99</v>
      </c>
      <c r="F47" s="444">
        <f t="shared" ref="F47:F72" si="0">E47*(1-20%)</f>
        <v>103.99200000000002</v>
      </c>
      <c r="G47" s="444">
        <f t="shared" ref="G47:G72" si="1">F47*B47</f>
        <v>0</v>
      </c>
      <c r="H47" s="786">
        <f t="shared" ref="H47:H72" si="2">F47*0.0832</f>
        <v>8.6521344000000013</v>
      </c>
      <c r="I47" s="786">
        <f t="shared" ref="I47:I72" si="3">H47*B47</f>
        <v>0</v>
      </c>
      <c r="J47" s="786">
        <f t="shared" ref="J47:J72" si="4">F47*0.0313</f>
        <v>3.2549496000000007</v>
      </c>
      <c r="K47" s="786">
        <f t="shared" ref="K47:K72" si="5">J47*B47</f>
        <v>0</v>
      </c>
      <c r="L47" s="787">
        <f t="shared" ref="L47:L72" si="6">F47*0.0256</f>
        <v>2.6621952000000006</v>
      </c>
      <c r="M47" s="787">
        <f t="shared" ref="M47:M72" si="7">L47*B47</f>
        <v>0</v>
      </c>
      <c r="N47" s="787">
        <f t="shared" ref="N47:N72" si="8">F47*0.0213</f>
        <v>2.2150296000000003</v>
      </c>
      <c r="O47" s="787">
        <f t="shared" ref="O47:O72" si="9">N47*B47</f>
        <v>0</v>
      </c>
      <c r="P47" s="788"/>
    </row>
    <row r="48" spans="1:16" s="413" customFormat="1" ht="26.25" thickBot="1">
      <c r="A48" s="1057"/>
      <c r="B48" s="761"/>
      <c r="C48" s="419" t="s">
        <v>3491</v>
      </c>
      <c r="D48" s="420" t="s">
        <v>4429</v>
      </c>
      <c r="E48" s="693">
        <v>399</v>
      </c>
      <c r="F48" s="465">
        <f t="shared" si="0"/>
        <v>319.20000000000005</v>
      </c>
      <c r="G48" s="465">
        <f t="shared" si="1"/>
        <v>0</v>
      </c>
      <c r="H48" s="786">
        <f t="shared" si="2"/>
        <v>26.557440000000003</v>
      </c>
      <c r="I48" s="786">
        <f t="shared" si="3"/>
        <v>0</v>
      </c>
      <c r="J48" s="786">
        <f t="shared" si="4"/>
        <v>9.9909600000000012</v>
      </c>
      <c r="K48" s="786">
        <f t="shared" si="5"/>
        <v>0</v>
      </c>
      <c r="L48" s="787">
        <f t="shared" si="6"/>
        <v>8.171520000000001</v>
      </c>
      <c r="M48" s="787">
        <f t="shared" si="7"/>
        <v>0</v>
      </c>
      <c r="N48" s="787">
        <f t="shared" si="8"/>
        <v>6.798960000000001</v>
      </c>
      <c r="O48" s="787">
        <f t="shared" si="9"/>
        <v>0</v>
      </c>
      <c r="P48" s="788"/>
    </row>
    <row r="49" spans="1:16" s="413" customFormat="1" ht="13.5" thickBot="1">
      <c r="A49" s="1057"/>
      <c r="B49" s="441"/>
      <c r="C49" s="419" t="s">
        <v>472</v>
      </c>
      <c r="D49" s="420" t="s">
        <v>54</v>
      </c>
      <c r="E49" s="693">
        <v>250</v>
      </c>
      <c r="F49" s="62">
        <f t="shared" si="0"/>
        <v>200</v>
      </c>
      <c r="G49" s="62">
        <f t="shared" si="1"/>
        <v>0</v>
      </c>
      <c r="H49" s="527">
        <f t="shared" si="2"/>
        <v>16.64</v>
      </c>
      <c r="I49" s="527">
        <f t="shared" si="3"/>
        <v>0</v>
      </c>
      <c r="J49" s="527">
        <f t="shared" si="4"/>
        <v>6.2600000000000007</v>
      </c>
      <c r="K49" s="527">
        <f t="shared" si="5"/>
        <v>0</v>
      </c>
      <c r="L49" s="528">
        <f t="shared" si="6"/>
        <v>5.12</v>
      </c>
      <c r="M49" s="528">
        <f t="shared" si="7"/>
        <v>0</v>
      </c>
      <c r="N49" s="528">
        <f t="shared" si="8"/>
        <v>4.26</v>
      </c>
      <c r="O49" s="528">
        <f t="shared" si="9"/>
        <v>0</v>
      </c>
      <c r="P49" s="788"/>
    </row>
    <row r="50" spans="1:16" s="413" customFormat="1" ht="13.5" thickBot="1">
      <c r="A50" s="1057"/>
      <c r="B50" s="441"/>
      <c r="C50" s="419" t="s">
        <v>689</v>
      </c>
      <c r="D50" s="420" t="s">
        <v>408</v>
      </c>
      <c r="E50" s="693">
        <v>400</v>
      </c>
      <c r="F50" s="444">
        <f t="shared" si="0"/>
        <v>320</v>
      </c>
      <c r="G50" s="444">
        <f t="shared" si="1"/>
        <v>0</v>
      </c>
      <c r="H50" s="786">
        <f t="shared" si="2"/>
        <v>26.623999999999999</v>
      </c>
      <c r="I50" s="786">
        <f t="shared" si="3"/>
        <v>0</v>
      </c>
      <c r="J50" s="786">
        <f t="shared" si="4"/>
        <v>10.016</v>
      </c>
      <c r="K50" s="786">
        <f t="shared" si="5"/>
        <v>0</v>
      </c>
      <c r="L50" s="787">
        <f t="shared" si="6"/>
        <v>8.1920000000000002</v>
      </c>
      <c r="M50" s="787">
        <f t="shared" si="7"/>
        <v>0</v>
      </c>
      <c r="N50" s="787">
        <f t="shared" si="8"/>
        <v>6.8159999999999998</v>
      </c>
      <c r="O50" s="787">
        <f t="shared" si="9"/>
        <v>0</v>
      </c>
      <c r="P50" s="788"/>
    </row>
    <row r="51" spans="1:16" s="413" customFormat="1" ht="13.5" thickBot="1">
      <c r="A51" s="1057"/>
      <c r="B51" s="441"/>
      <c r="C51" s="419" t="s">
        <v>690</v>
      </c>
      <c r="D51" s="420" t="s">
        <v>713</v>
      </c>
      <c r="E51" s="693">
        <v>499</v>
      </c>
      <c r="F51" s="444">
        <f t="shared" si="0"/>
        <v>399.20000000000005</v>
      </c>
      <c r="G51" s="444">
        <f t="shared" si="1"/>
        <v>0</v>
      </c>
      <c r="H51" s="786">
        <f t="shared" si="2"/>
        <v>33.213440000000006</v>
      </c>
      <c r="I51" s="786">
        <f t="shared" si="3"/>
        <v>0</v>
      </c>
      <c r="J51" s="786">
        <f t="shared" si="4"/>
        <v>12.494960000000003</v>
      </c>
      <c r="K51" s="786">
        <f t="shared" si="5"/>
        <v>0</v>
      </c>
      <c r="L51" s="787">
        <f t="shared" si="6"/>
        <v>10.219520000000001</v>
      </c>
      <c r="M51" s="787">
        <f t="shared" si="7"/>
        <v>0</v>
      </c>
      <c r="N51" s="787">
        <f t="shared" si="8"/>
        <v>8.5029600000000016</v>
      </c>
      <c r="O51" s="787">
        <f t="shared" si="9"/>
        <v>0</v>
      </c>
      <c r="P51" s="788"/>
    </row>
    <row r="52" spans="1:16" s="413" customFormat="1" ht="13.5" thickBot="1">
      <c r="A52" s="1057"/>
      <c r="B52" s="441"/>
      <c r="C52" s="419" t="s">
        <v>4067</v>
      </c>
      <c r="D52" s="420" t="s">
        <v>4068</v>
      </c>
      <c r="E52" s="693">
        <v>329</v>
      </c>
      <c r="F52" s="62">
        <f t="shared" si="0"/>
        <v>263.2</v>
      </c>
      <c r="G52" s="62">
        <f t="shared" si="1"/>
        <v>0</v>
      </c>
      <c r="H52" s="527">
        <f t="shared" si="2"/>
        <v>21.898239999999998</v>
      </c>
      <c r="I52" s="527">
        <f t="shared" si="3"/>
        <v>0</v>
      </c>
      <c r="J52" s="527">
        <f t="shared" si="4"/>
        <v>8.2381600000000006</v>
      </c>
      <c r="K52" s="527">
        <f t="shared" si="5"/>
        <v>0</v>
      </c>
      <c r="L52" s="528">
        <f t="shared" si="6"/>
        <v>6.7379199999999999</v>
      </c>
      <c r="M52" s="528">
        <f t="shared" si="7"/>
        <v>0</v>
      </c>
      <c r="N52" s="528">
        <f t="shared" si="8"/>
        <v>5.60616</v>
      </c>
      <c r="O52" s="528">
        <f t="shared" si="9"/>
        <v>0</v>
      </c>
      <c r="P52" s="788"/>
    </row>
    <row r="53" spans="1:16" s="413" customFormat="1" ht="13.5" thickBot="1">
      <c r="A53" s="1057"/>
      <c r="B53" s="761"/>
      <c r="C53" s="419" t="s">
        <v>741</v>
      </c>
      <c r="D53" s="420" t="s">
        <v>731</v>
      </c>
      <c r="E53" s="693">
        <v>220</v>
      </c>
      <c r="F53" s="465">
        <f t="shared" si="0"/>
        <v>176</v>
      </c>
      <c r="G53" s="465">
        <f t="shared" si="1"/>
        <v>0</v>
      </c>
      <c r="H53" s="786">
        <f t="shared" si="2"/>
        <v>14.6432</v>
      </c>
      <c r="I53" s="786">
        <f t="shared" si="3"/>
        <v>0</v>
      </c>
      <c r="J53" s="786">
        <f t="shared" si="4"/>
        <v>5.5087999999999999</v>
      </c>
      <c r="K53" s="786">
        <f t="shared" si="5"/>
        <v>0</v>
      </c>
      <c r="L53" s="787">
        <f t="shared" si="6"/>
        <v>4.5056000000000003</v>
      </c>
      <c r="M53" s="787">
        <f t="shared" si="7"/>
        <v>0</v>
      </c>
      <c r="N53" s="787">
        <f t="shared" si="8"/>
        <v>3.7488000000000001</v>
      </c>
      <c r="O53" s="787">
        <f t="shared" si="9"/>
        <v>0</v>
      </c>
      <c r="P53" s="788"/>
    </row>
    <row r="54" spans="1:16" s="413" customFormat="1" ht="13.5" thickBot="1">
      <c r="A54" s="1057"/>
      <c r="B54" s="761"/>
      <c r="C54" s="419" t="s">
        <v>742</v>
      </c>
      <c r="D54" s="420" t="s">
        <v>732</v>
      </c>
      <c r="E54" s="693">
        <v>307</v>
      </c>
      <c r="F54" s="465">
        <f t="shared" si="0"/>
        <v>245.60000000000002</v>
      </c>
      <c r="G54" s="465">
        <f t="shared" si="1"/>
        <v>0</v>
      </c>
      <c r="H54" s="786">
        <f t="shared" si="2"/>
        <v>20.433920000000001</v>
      </c>
      <c r="I54" s="786">
        <f t="shared" si="3"/>
        <v>0</v>
      </c>
      <c r="J54" s="786">
        <f t="shared" si="4"/>
        <v>7.6872800000000012</v>
      </c>
      <c r="K54" s="786">
        <f t="shared" si="5"/>
        <v>0</v>
      </c>
      <c r="L54" s="787">
        <f t="shared" si="6"/>
        <v>6.2873600000000005</v>
      </c>
      <c r="M54" s="787">
        <f t="shared" si="7"/>
        <v>0</v>
      </c>
      <c r="N54" s="787">
        <f t="shared" si="8"/>
        <v>5.2312799999999999</v>
      </c>
      <c r="O54" s="787">
        <f t="shared" si="9"/>
        <v>0</v>
      </c>
      <c r="P54" s="788"/>
    </row>
    <row r="55" spans="1:16" s="413" customFormat="1" ht="13.5" thickBot="1">
      <c r="A55" s="1057"/>
      <c r="B55" s="761"/>
      <c r="C55" s="419" t="s">
        <v>3489</v>
      </c>
      <c r="D55" s="420" t="s">
        <v>4435</v>
      </c>
      <c r="E55" s="693">
        <v>934</v>
      </c>
      <c r="F55" s="465">
        <f t="shared" si="0"/>
        <v>747.2</v>
      </c>
      <c r="G55" s="465">
        <f t="shared" si="1"/>
        <v>0</v>
      </c>
      <c r="H55" s="786">
        <f t="shared" si="2"/>
        <v>62.16704</v>
      </c>
      <c r="I55" s="786">
        <f t="shared" si="3"/>
        <v>0</v>
      </c>
      <c r="J55" s="786">
        <f t="shared" si="4"/>
        <v>23.387360000000001</v>
      </c>
      <c r="K55" s="786">
        <f t="shared" si="5"/>
        <v>0</v>
      </c>
      <c r="L55" s="787">
        <f t="shared" si="6"/>
        <v>19.128320000000002</v>
      </c>
      <c r="M55" s="787">
        <f t="shared" si="7"/>
        <v>0</v>
      </c>
      <c r="N55" s="787">
        <f t="shared" si="8"/>
        <v>15.91536</v>
      </c>
      <c r="O55" s="787">
        <f t="shared" si="9"/>
        <v>0</v>
      </c>
      <c r="P55" s="788"/>
    </row>
    <row r="56" spans="1:16" s="413" customFormat="1" ht="13.5" thickBot="1">
      <c r="A56" s="1057"/>
      <c r="B56" s="441"/>
      <c r="C56" s="419" t="s">
        <v>3490</v>
      </c>
      <c r="D56" s="420" t="s">
        <v>229</v>
      </c>
      <c r="E56" s="693">
        <v>222.6</v>
      </c>
      <c r="F56" s="444">
        <f t="shared" si="0"/>
        <v>178.08</v>
      </c>
      <c r="G56" s="444">
        <f t="shared" si="1"/>
        <v>0</v>
      </c>
      <c r="H56" s="786">
        <f t="shared" si="2"/>
        <v>14.816256000000001</v>
      </c>
      <c r="I56" s="786">
        <f t="shared" si="3"/>
        <v>0</v>
      </c>
      <c r="J56" s="786">
        <f t="shared" si="4"/>
        <v>5.5739040000000006</v>
      </c>
      <c r="K56" s="786">
        <f t="shared" si="5"/>
        <v>0</v>
      </c>
      <c r="L56" s="787">
        <f t="shared" si="6"/>
        <v>4.5588480000000002</v>
      </c>
      <c r="M56" s="787">
        <f t="shared" si="7"/>
        <v>0</v>
      </c>
      <c r="N56" s="787">
        <f t="shared" si="8"/>
        <v>3.793104</v>
      </c>
      <c r="O56" s="787">
        <f t="shared" si="9"/>
        <v>0</v>
      </c>
      <c r="P56" s="788"/>
    </row>
    <row r="57" spans="1:16" s="413" customFormat="1" ht="13.5" thickBot="1">
      <c r="A57" s="1057"/>
      <c r="B57" s="441"/>
      <c r="C57" s="419" t="s">
        <v>559</v>
      </c>
      <c r="D57" s="420" t="s">
        <v>558</v>
      </c>
      <c r="E57" s="693">
        <v>263</v>
      </c>
      <c r="F57" s="62">
        <f t="shared" si="0"/>
        <v>210.4</v>
      </c>
      <c r="G57" s="62">
        <f t="shared" si="1"/>
        <v>0</v>
      </c>
      <c r="H57" s="527">
        <f t="shared" si="2"/>
        <v>17.505279999999999</v>
      </c>
      <c r="I57" s="527">
        <f t="shared" si="3"/>
        <v>0</v>
      </c>
      <c r="J57" s="527">
        <f t="shared" si="4"/>
        <v>6.5855200000000007</v>
      </c>
      <c r="K57" s="527">
        <f t="shared" si="5"/>
        <v>0</v>
      </c>
      <c r="L57" s="528">
        <f t="shared" si="6"/>
        <v>5.3862400000000008</v>
      </c>
      <c r="M57" s="528">
        <f t="shared" si="7"/>
        <v>0</v>
      </c>
      <c r="N57" s="528">
        <f t="shared" si="8"/>
        <v>4.4815199999999997</v>
      </c>
      <c r="O57" s="528">
        <f t="shared" si="9"/>
        <v>0</v>
      </c>
      <c r="P57" s="788"/>
    </row>
    <row r="58" spans="1:16" s="413" customFormat="1" ht="13.5" thickBot="1">
      <c r="A58" s="1057"/>
      <c r="B58" s="441"/>
      <c r="C58" s="419" t="s">
        <v>4430</v>
      </c>
      <c r="D58" s="420" t="s">
        <v>816</v>
      </c>
      <c r="E58" s="693">
        <v>308</v>
      </c>
      <c r="F58" s="444">
        <f t="shared" si="0"/>
        <v>246.4</v>
      </c>
      <c r="G58" s="444">
        <f t="shared" si="1"/>
        <v>0</v>
      </c>
      <c r="H58" s="786">
        <f t="shared" si="2"/>
        <v>20.50048</v>
      </c>
      <c r="I58" s="786">
        <f t="shared" si="3"/>
        <v>0</v>
      </c>
      <c r="J58" s="786">
        <f t="shared" si="4"/>
        <v>7.712320000000001</v>
      </c>
      <c r="K58" s="786">
        <f t="shared" si="5"/>
        <v>0</v>
      </c>
      <c r="L58" s="787">
        <f t="shared" si="6"/>
        <v>6.3078400000000006</v>
      </c>
      <c r="M58" s="787">
        <f t="shared" si="7"/>
        <v>0</v>
      </c>
      <c r="N58" s="787">
        <f t="shared" si="8"/>
        <v>5.2483199999999997</v>
      </c>
      <c r="O58" s="787">
        <f t="shared" si="9"/>
        <v>0</v>
      </c>
      <c r="P58" s="788"/>
    </row>
    <row r="59" spans="1:16" s="413" customFormat="1" ht="13.5" thickBot="1">
      <c r="A59" s="1057"/>
      <c r="B59" s="441"/>
      <c r="C59" s="419" t="s">
        <v>744</v>
      </c>
      <c r="D59" s="420" t="s">
        <v>734</v>
      </c>
      <c r="E59" s="693">
        <v>136</v>
      </c>
      <c r="F59" s="444">
        <f t="shared" si="0"/>
        <v>108.80000000000001</v>
      </c>
      <c r="G59" s="444">
        <f t="shared" si="1"/>
        <v>0</v>
      </c>
      <c r="H59" s="786">
        <f t="shared" si="2"/>
        <v>9.0521600000000007</v>
      </c>
      <c r="I59" s="786">
        <f t="shared" si="3"/>
        <v>0</v>
      </c>
      <c r="J59" s="786">
        <f t="shared" si="4"/>
        <v>3.4054400000000005</v>
      </c>
      <c r="K59" s="786">
        <f t="shared" si="5"/>
        <v>0</v>
      </c>
      <c r="L59" s="787">
        <f t="shared" si="6"/>
        <v>2.7852800000000006</v>
      </c>
      <c r="M59" s="787">
        <f t="shared" si="7"/>
        <v>0</v>
      </c>
      <c r="N59" s="787">
        <f t="shared" si="8"/>
        <v>2.3174400000000004</v>
      </c>
      <c r="O59" s="787">
        <f t="shared" si="9"/>
        <v>0</v>
      </c>
      <c r="P59" s="788"/>
    </row>
    <row r="60" spans="1:16" s="413" customFormat="1" ht="13.5" thickBot="1">
      <c r="A60" s="1057"/>
      <c r="B60" s="441"/>
      <c r="C60" s="419" t="s">
        <v>693</v>
      </c>
      <c r="D60" s="420" t="s">
        <v>4437</v>
      </c>
      <c r="E60" s="693">
        <v>139</v>
      </c>
      <c r="F60" s="444">
        <f t="shared" si="0"/>
        <v>111.2</v>
      </c>
      <c r="G60" s="444">
        <f t="shared" si="1"/>
        <v>0</v>
      </c>
      <c r="H60" s="786">
        <f t="shared" si="2"/>
        <v>9.2518399999999996</v>
      </c>
      <c r="I60" s="786">
        <f t="shared" si="3"/>
        <v>0</v>
      </c>
      <c r="J60" s="786">
        <f t="shared" si="4"/>
        <v>3.4805600000000001</v>
      </c>
      <c r="K60" s="786">
        <f t="shared" si="5"/>
        <v>0</v>
      </c>
      <c r="L60" s="787">
        <f t="shared" si="6"/>
        <v>2.8467200000000004</v>
      </c>
      <c r="M60" s="787">
        <f t="shared" si="7"/>
        <v>0</v>
      </c>
      <c r="N60" s="787">
        <f t="shared" si="8"/>
        <v>2.36856</v>
      </c>
      <c r="O60" s="787">
        <f t="shared" si="9"/>
        <v>0</v>
      </c>
      <c r="P60" s="788"/>
    </row>
    <row r="61" spans="1:16" s="413" customFormat="1" ht="13.5" thickBot="1">
      <c r="A61" s="1057"/>
      <c r="B61" s="441"/>
      <c r="C61" s="419" t="s">
        <v>439</v>
      </c>
      <c r="D61" s="420" t="s">
        <v>417</v>
      </c>
      <c r="E61" s="693">
        <v>785</v>
      </c>
      <c r="F61" s="444">
        <f t="shared" si="0"/>
        <v>628</v>
      </c>
      <c r="G61" s="62">
        <f t="shared" si="1"/>
        <v>0</v>
      </c>
      <c r="H61" s="786">
        <f t="shared" si="2"/>
        <v>52.249600000000001</v>
      </c>
      <c r="I61" s="527">
        <f t="shared" si="3"/>
        <v>0</v>
      </c>
      <c r="J61" s="786">
        <f t="shared" si="4"/>
        <v>19.656400000000001</v>
      </c>
      <c r="K61" s="527">
        <f t="shared" si="5"/>
        <v>0</v>
      </c>
      <c r="L61" s="787">
        <f t="shared" si="6"/>
        <v>16.076800000000002</v>
      </c>
      <c r="M61" s="528">
        <f t="shared" si="7"/>
        <v>0</v>
      </c>
      <c r="N61" s="787">
        <f t="shared" si="8"/>
        <v>13.3764</v>
      </c>
      <c r="O61" s="528">
        <f t="shared" si="9"/>
        <v>0</v>
      </c>
      <c r="P61" s="788"/>
    </row>
    <row r="62" spans="1:16" s="413" customFormat="1" ht="13.5" thickBot="1">
      <c r="A62" s="1057"/>
      <c r="B62" s="761"/>
      <c r="C62" s="419" t="s">
        <v>441</v>
      </c>
      <c r="D62" s="420" t="s">
        <v>596</v>
      </c>
      <c r="E62" s="693">
        <v>821</v>
      </c>
      <c r="F62" s="465">
        <f t="shared" si="0"/>
        <v>656.80000000000007</v>
      </c>
      <c r="G62" s="465">
        <f t="shared" si="1"/>
        <v>0</v>
      </c>
      <c r="H62" s="786">
        <f t="shared" si="2"/>
        <v>54.645760000000003</v>
      </c>
      <c r="I62" s="786">
        <f t="shared" si="3"/>
        <v>0</v>
      </c>
      <c r="J62" s="786">
        <f t="shared" si="4"/>
        <v>20.557840000000002</v>
      </c>
      <c r="K62" s="786">
        <f t="shared" si="5"/>
        <v>0</v>
      </c>
      <c r="L62" s="787">
        <f t="shared" si="6"/>
        <v>16.814080000000004</v>
      </c>
      <c r="M62" s="787">
        <f t="shared" si="7"/>
        <v>0</v>
      </c>
      <c r="N62" s="787">
        <f t="shared" si="8"/>
        <v>13.989840000000001</v>
      </c>
      <c r="O62" s="787">
        <f t="shared" si="9"/>
        <v>0</v>
      </c>
      <c r="P62" s="788"/>
    </row>
    <row r="63" spans="1:16" s="413" customFormat="1" ht="13.5" thickBot="1">
      <c r="A63" s="1057"/>
      <c r="B63" s="761"/>
      <c r="C63" s="419" t="s">
        <v>442</v>
      </c>
      <c r="D63" s="420" t="s">
        <v>597</v>
      </c>
      <c r="E63" s="693">
        <v>690</v>
      </c>
      <c r="F63" s="465">
        <f t="shared" si="0"/>
        <v>552</v>
      </c>
      <c r="G63" s="465">
        <f t="shared" si="1"/>
        <v>0</v>
      </c>
      <c r="H63" s="786">
        <f t="shared" si="2"/>
        <v>45.926400000000001</v>
      </c>
      <c r="I63" s="786">
        <f t="shared" si="3"/>
        <v>0</v>
      </c>
      <c r="J63" s="786">
        <f t="shared" si="4"/>
        <v>17.2776</v>
      </c>
      <c r="K63" s="786">
        <f t="shared" si="5"/>
        <v>0</v>
      </c>
      <c r="L63" s="787">
        <f t="shared" si="6"/>
        <v>14.131200000000002</v>
      </c>
      <c r="M63" s="787">
        <f t="shared" si="7"/>
        <v>0</v>
      </c>
      <c r="N63" s="787">
        <f t="shared" si="8"/>
        <v>11.7576</v>
      </c>
      <c r="O63" s="787">
        <f t="shared" si="9"/>
        <v>0</v>
      </c>
      <c r="P63" s="788"/>
    </row>
    <row r="64" spans="1:16" s="413" customFormat="1" ht="13.5" thickBot="1">
      <c r="A64" s="1057"/>
      <c r="B64" s="441"/>
      <c r="C64" s="419" t="s">
        <v>443</v>
      </c>
      <c r="D64" s="420" t="s">
        <v>31</v>
      </c>
      <c r="E64" s="693">
        <v>191</v>
      </c>
      <c r="F64" s="444">
        <f t="shared" si="0"/>
        <v>152.80000000000001</v>
      </c>
      <c r="G64" s="444">
        <f t="shared" si="1"/>
        <v>0</v>
      </c>
      <c r="H64" s="786">
        <f t="shared" si="2"/>
        <v>12.712960000000001</v>
      </c>
      <c r="I64" s="786">
        <f t="shared" si="3"/>
        <v>0</v>
      </c>
      <c r="J64" s="786">
        <f t="shared" si="4"/>
        <v>4.7826400000000007</v>
      </c>
      <c r="K64" s="786">
        <f t="shared" si="5"/>
        <v>0</v>
      </c>
      <c r="L64" s="787">
        <f t="shared" si="6"/>
        <v>3.9116800000000005</v>
      </c>
      <c r="M64" s="787">
        <f t="shared" si="7"/>
        <v>0</v>
      </c>
      <c r="N64" s="787">
        <f t="shared" si="8"/>
        <v>3.2546400000000002</v>
      </c>
      <c r="O64" s="787">
        <f t="shared" si="9"/>
        <v>0</v>
      </c>
      <c r="P64" s="788"/>
    </row>
    <row r="65" spans="1:16" s="413" customFormat="1" ht="33.75" customHeight="1" thickBot="1">
      <c r="A65" s="1057"/>
      <c r="B65" s="441"/>
      <c r="C65" s="789" t="s">
        <v>444</v>
      </c>
      <c r="D65" s="790" t="s">
        <v>4438</v>
      </c>
      <c r="E65" s="791">
        <v>667.8</v>
      </c>
      <c r="F65" s="62">
        <f>E65*(1-20%)</f>
        <v>534.24</v>
      </c>
      <c r="G65" s="62">
        <f t="shared" si="1"/>
        <v>0</v>
      </c>
      <c r="H65" s="527">
        <f t="shared" si="2"/>
        <v>44.448768000000001</v>
      </c>
      <c r="I65" s="527">
        <f t="shared" si="3"/>
        <v>0</v>
      </c>
      <c r="J65" s="527">
        <f t="shared" si="4"/>
        <v>16.721712</v>
      </c>
      <c r="K65" s="527">
        <f t="shared" si="5"/>
        <v>0</v>
      </c>
      <c r="L65" s="528">
        <f t="shared" si="6"/>
        <v>13.676544000000002</v>
      </c>
      <c r="M65" s="528">
        <f t="shared" si="7"/>
        <v>0</v>
      </c>
      <c r="N65" s="528">
        <f t="shared" si="8"/>
        <v>11.379312000000001</v>
      </c>
      <c r="O65" s="528">
        <f t="shared" si="9"/>
        <v>0</v>
      </c>
      <c r="P65" s="788"/>
    </row>
    <row r="66" spans="1:16" s="413" customFormat="1" ht="26.25" thickBot="1">
      <c r="A66" s="1057"/>
      <c r="B66" s="761"/>
      <c r="C66" s="419" t="s">
        <v>445</v>
      </c>
      <c r="D66" s="420" t="s">
        <v>117</v>
      </c>
      <c r="E66" s="693">
        <v>250</v>
      </c>
      <c r="F66" s="465">
        <f t="shared" si="0"/>
        <v>200</v>
      </c>
      <c r="G66" s="465">
        <f t="shared" si="1"/>
        <v>0</v>
      </c>
      <c r="H66" s="786">
        <f t="shared" si="2"/>
        <v>16.64</v>
      </c>
      <c r="I66" s="786">
        <f t="shared" si="3"/>
        <v>0</v>
      </c>
      <c r="J66" s="786">
        <f t="shared" si="4"/>
        <v>6.2600000000000007</v>
      </c>
      <c r="K66" s="786">
        <f t="shared" si="5"/>
        <v>0</v>
      </c>
      <c r="L66" s="787">
        <f t="shared" si="6"/>
        <v>5.12</v>
      </c>
      <c r="M66" s="787">
        <f t="shared" si="7"/>
        <v>0</v>
      </c>
      <c r="N66" s="787">
        <f t="shared" si="8"/>
        <v>4.26</v>
      </c>
      <c r="O66" s="787">
        <f t="shared" si="9"/>
        <v>0</v>
      </c>
      <c r="P66" s="788"/>
    </row>
    <row r="67" spans="1:16" s="413" customFormat="1" ht="13.5" thickBot="1">
      <c r="A67" s="1057"/>
      <c r="B67" s="441"/>
      <c r="C67" s="419" t="s">
        <v>3487</v>
      </c>
      <c r="D67" s="420" t="s">
        <v>4439</v>
      </c>
      <c r="E67" s="693">
        <v>250</v>
      </c>
      <c r="F67" s="444">
        <f t="shared" si="0"/>
        <v>200</v>
      </c>
      <c r="G67" s="444">
        <f t="shared" si="1"/>
        <v>0</v>
      </c>
      <c r="H67" s="786">
        <f t="shared" si="2"/>
        <v>16.64</v>
      </c>
      <c r="I67" s="786">
        <f t="shared" si="3"/>
        <v>0</v>
      </c>
      <c r="J67" s="786">
        <f t="shared" si="4"/>
        <v>6.2600000000000007</v>
      </c>
      <c r="K67" s="786">
        <f t="shared" si="5"/>
        <v>0</v>
      </c>
      <c r="L67" s="787">
        <f t="shared" si="6"/>
        <v>5.12</v>
      </c>
      <c r="M67" s="787">
        <f t="shared" si="7"/>
        <v>0</v>
      </c>
      <c r="N67" s="787">
        <f t="shared" si="8"/>
        <v>4.26</v>
      </c>
      <c r="O67" s="787">
        <f t="shared" si="9"/>
        <v>0</v>
      </c>
      <c r="P67" s="788"/>
    </row>
    <row r="68" spans="1:16" s="413" customFormat="1" ht="13.5" thickBot="1">
      <c r="A68" s="1057"/>
      <c r="B68" s="441"/>
      <c r="C68" s="419" t="s">
        <v>745</v>
      </c>
      <c r="D68" s="420" t="s">
        <v>3805</v>
      </c>
      <c r="E68" s="693">
        <v>95</v>
      </c>
      <c r="F68" s="444">
        <f t="shared" si="0"/>
        <v>76</v>
      </c>
      <c r="G68" s="444">
        <f t="shared" si="1"/>
        <v>0</v>
      </c>
      <c r="H68" s="786">
        <f t="shared" si="2"/>
        <v>6.3231999999999999</v>
      </c>
      <c r="I68" s="786">
        <f t="shared" si="3"/>
        <v>0</v>
      </c>
      <c r="J68" s="786">
        <f t="shared" si="4"/>
        <v>2.3788</v>
      </c>
      <c r="K68" s="786">
        <f t="shared" si="5"/>
        <v>0</v>
      </c>
      <c r="L68" s="787">
        <f t="shared" si="6"/>
        <v>1.9456</v>
      </c>
      <c r="M68" s="787">
        <f t="shared" si="7"/>
        <v>0</v>
      </c>
      <c r="N68" s="787">
        <f t="shared" si="8"/>
        <v>1.6188</v>
      </c>
      <c r="O68" s="787">
        <f t="shared" si="9"/>
        <v>0</v>
      </c>
      <c r="P68" s="788"/>
    </row>
    <row r="69" spans="1:16" s="413" customFormat="1" ht="13.5" thickBot="1">
      <c r="A69" s="1057"/>
      <c r="B69" s="761"/>
      <c r="C69" s="419" t="s">
        <v>747</v>
      </c>
      <c r="D69" s="420" t="s">
        <v>737</v>
      </c>
      <c r="E69" s="693">
        <v>374</v>
      </c>
      <c r="F69" s="61">
        <f t="shared" si="0"/>
        <v>299.2</v>
      </c>
      <c r="G69" s="61">
        <f t="shared" si="1"/>
        <v>0</v>
      </c>
      <c r="H69" s="527">
        <f t="shared" si="2"/>
        <v>24.893439999999998</v>
      </c>
      <c r="I69" s="527">
        <f t="shared" si="3"/>
        <v>0</v>
      </c>
      <c r="J69" s="527">
        <f t="shared" si="4"/>
        <v>9.36496</v>
      </c>
      <c r="K69" s="527">
        <f t="shared" si="5"/>
        <v>0</v>
      </c>
      <c r="L69" s="528">
        <f t="shared" si="6"/>
        <v>7.6595199999999997</v>
      </c>
      <c r="M69" s="528">
        <f t="shared" si="7"/>
        <v>0</v>
      </c>
      <c r="N69" s="528">
        <f t="shared" si="8"/>
        <v>6.37296</v>
      </c>
      <c r="O69" s="528">
        <f t="shared" si="9"/>
        <v>0</v>
      </c>
      <c r="P69" s="788"/>
    </row>
    <row r="70" spans="1:16" s="413" customFormat="1" ht="13.5" thickBot="1">
      <c r="A70" s="1057"/>
      <c r="B70" s="441"/>
      <c r="C70" s="419" t="s">
        <v>4431</v>
      </c>
      <c r="D70" s="420" t="s">
        <v>4440</v>
      </c>
      <c r="E70" s="693">
        <v>386</v>
      </c>
      <c r="F70" s="62">
        <f t="shared" si="0"/>
        <v>308.8</v>
      </c>
      <c r="G70" s="62">
        <f t="shared" si="1"/>
        <v>0</v>
      </c>
      <c r="H70" s="527">
        <f t="shared" si="2"/>
        <v>25.692160000000001</v>
      </c>
      <c r="I70" s="527">
        <f t="shared" si="3"/>
        <v>0</v>
      </c>
      <c r="J70" s="527">
        <f t="shared" si="4"/>
        <v>9.6654400000000003</v>
      </c>
      <c r="K70" s="527">
        <f t="shared" si="5"/>
        <v>0</v>
      </c>
      <c r="L70" s="528">
        <f t="shared" si="6"/>
        <v>7.9052800000000003</v>
      </c>
      <c r="M70" s="528">
        <f t="shared" si="7"/>
        <v>0</v>
      </c>
      <c r="N70" s="528">
        <f t="shared" si="8"/>
        <v>6.5774400000000002</v>
      </c>
      <c r="O70" s="528">
        <f t="shared" si="9"/>
        <v>0</v>
      </c>
      <c r="P70" s="788"/>
    </row>
    <row r="71" spans="1:16" s="413" customFormat="1" ht="13.5" thickBot="1">
      <c r="A71" s="1057"/>
      <c r="B71" s="441"/>
      <c r="C71" s="419" t="s">
        <v>748</v>
      </c>
      <c r="D71" s="420" t="s">
        <v>738</v>
      </c>
      <c r="E71" s="693">
        <v>120</v>
      </c>
      <c r="F71" s="444">
        <f t="shared" si="0"/>
        <v>96</v>
      </c>
      <c r="G71" s="62">
        <f t="shared" si="1"/>
        <v>0</v>
      </c>
      <c r="H71" s="786">
        <f t="shared" si="2"/>
        <v>7.9871999999999996</v>
      </c>
      <c r="I71" s="527">
        <f t="shared" si="3"/>
        <v>0</v>
      </c>
      <c r="J71" s="786">
        <f t="shared" si="4"/>
        <v>3.0048000000000004</v>
      </c>
      <c r="K71" s="527">
        <f t="shared" si="5"/>
        <v>0</v>
      </c>
      <c r="L71" s="787">
        <f t="shared" si="6"/>
        <v>2.4576000000000002</v>
      </c>
      <c r="M71" s="528">
        <f t="shared" si="7"/>
        <v>0</v>
      </c>
      <c r="N71" s="787">
        <f t="shared" si="8"/>
        <v>2.0448</v>
      </c>
      <c r="O71" s="528">
        <f t="shared" si="9"/>
        <v>0</v>
      </c>
      <c r="P71" s="788"/>
    </row>
    <row r="72" spans="1:16" s="413" customFormat="1" ht="13.5" thickBot="1">
      <c r="A72" s="1058"/>
      <c r="B72" s="441"/>
      <c r="C72" s="789" t="s">
        <v>749</v>
      </c>
      <c r="D72" s="790" t="s">
        <v>739</v>
      </c>
      <c r="E72" s="442">
        <v>120</v>
      </c>
      <c r="F72" s="62">
        <f t="shared" si="0"/>
        <v>96</v>
      </c>
      <c r="G72" s="62">
        <f t="shared" si="1"/>
        <v>0</v>
      </c>
      <c r="H72" s="527">
        <f t="shared" si="2"/>
        <v>7.9871999999999996</v>
      </c>
      <c r="I72" s="527">
        <f t="shared" si="3"/>
        <v>0</v>
      </c>
      <c r="J72" s="527">
        <f t="shared" si="4"/>
        <v>3.0048000000000004</v>
      </c>
      <c r="K72" s="527">
        <f t="shared" si="5"/>
        <v>0</v>
      </c>
      <c r="L72" s="528">
        <f t="shared" si="6"/>
        <v>2.4576000000000002</v>
      </c>
      <c r="M72" s="528">
        <f t="shared" si="7"/>
        <v>0</v>
      </c>
      <c r="N72" s="528">
        <f t="shared" si="8"/>
        <v>2.0448</v>
      </c>
      <c r="O72" s="528">
        <f t="shared" si="9"/>
        <v>0</v>
      </c>
      <c r="P72" s="788"/>
    </row>
    <row r="73" spans="1:16" s="437" customFormat="1" ht="15">
      <c r="B73" s="792"/>
      <c r="C73" s="792"/>
      <c r="D73" s="1059" t="s">
        <v>183</v>
      </c>
      <c r="E73" s="1060"/>
      <c r="F73" s="1061"/>
      <c r="G73" s="793">
        <f t="array" ref="G73">SUM(G47:G72)+G39:G46:G72+G43:G46:G72</f>
        <v>0</v>
      </c>
      <c r="H73" s="451" t="s">
        <v>200</v>
      </c>
      <c r="I73" s="793">
        <f t="array" ref="I73">SUM(I47:I72)+I39:I46:I72+I43:I46:I72</f>
        <v>0</v>
      </c>
      <c r="J73" s="451" t="s">
        <v>201</v>
      </c>
      <c r="K73" s="793">
        <f t="array" ref="K73">SUM(K47:K72)+K39:K46:K72+K43:K46:K72</f>
        <v>0</v>
      </c>
      <c r="L73" s="451" t="s">
        <v>202</v>
      </c>
      <c r="M73" s="793">
        <f t="array" ref="M73">SUM(M47:M72)+M39:M46:M72+M43:M46:M72</f>
        <v>0</v>
      </c>
      <c r="N73" s="451" t="s">
        <v>203</v>
      </c>
      <c r="O73" s="793">
        <f t="array" ref="O73">SUM(O47:O72)+O39:O46:O72+O43:O46:O72</f>
        <v>0</v>
      </c>
    </row>
    <row r="74" spans="1:16" s="437" customFormat="1" ht="14.25">
      <c r="B74" s="794"/>
      <c r="C74" s="794"/>
      <c r="F74" s="626"/>
      <c r="G74" s="626"/>
    </row>
    <row r="75" spans="1:16" s="437" customFormat="1">
      <c r="B75" s="378"/>
      <c r="C75" s="378"/>
      <c r="F75" s="626"/>
      <c r="G75" s="626"/>
    </row>
    <row r="85" spans="2:9" ht="14.25">
      <c r="C85" s="391"/>
      <c r="D85" s="405"/>
    </row>
    <row r="86" spans="2:9" ht="14.25">
      <c r="C86" s="391"/>
      <c r="D86" s="405"/>
    </row>
    <row r="87" spans="2:9" ht="14.25">
      <c r="C87" s="391"/>
      <c r="D87" s="405"/>
    </row>
    <row r="88" spans="2:9" ht="14.25">
      <c r="C88" s="391"/>
      <c r="D88" s="405"/>
    </row>
    <row r="89" spans="2:9" ht="14.25">
      <c r="C89" s="391"/>
      <c r="D89" s="405"/>
    </row>
    <row r="90" spans="2:9" ht="14.25">
      <c r="C90" s="391"/>
      <c r="D90" s="405"/>
    </row>
    <row r="91" spans="2:9" ht="14.25">
      <c r="C91" s="391"/>
      <c r="D91" s="405"/>
    </row>
    <row r="92" spans="2:9" ht="14.25">
      <c r="C92" s="391"/>
      <c r="D92" s="405"/>
    </row>
    <row r="93" spans="2:9" ht="14.25">
      <c r="B93" s="380"/>
      <c r="C93" s="391"/>
      <c r="D93" s="405"/>
    </row>
    <row r="94" spans="2:9" ht="14.25">
      <c r="C94" s="391"/>
      <c r="D94" s="405"/>
    </row>
    <row r="95" spans="2:9" ht="14.25">
      <c r="E95" s="391"/>
      <c r="F95" s="405"/>
      <c r="G95" s="378"/>
      <c r="H95" s="455"/>
      <c r="I95" s="455"/>
    </row>
    <row r="96" spans="2:9" ht="14.25" outlineLevel="2">
      <c r="D96" s="391"/>
      <c r="E96" s="405"/>
      <c r="F96" s="378"/>
      <c r="H96" s="455"/>
    </row>
    <row r="97" spans="3:15" ht="14.25" collapsed="1">
      <c r="C97" s="405"/>
      <c r="E97" s="455"/>
      <c r="G97" s="378"/>
      <c r="N97" s="391"/>
      <c r="O97" s="405"/>
    </row>
    <row r="98" spans="3:15" ht="14.25">
      <c r="C98" s="455"/>
      <c r="D98" s="455"/>
      <c r="F98" s="378"/>
      <c r="G98" s="378"/>
      <c r="L98" s="391"/>
      <c r="M98" s="405"/>
      <c r="O98" s="455"/>
    </row>
    <row r="99" spans="3:15" ht="14.25">
      <c r="F99" s="378"/>
      <c r="G99" s="391"/>
      <c r="I99" s="391"/>
      <c r="J99" s="405"/>
      <c r="L99" s="455"/>
      <c r="M99" s="455"/>
    </row>
    <row r="100" spans="3:15" ht="14.25">
      <c r="F100" s="378"/>
      <c r="G100" s="391"/>
      <c r="H100" s="405"/>
      <c r="J100" s="455"/>
      <c r="K100" s="455"/>
    </row>
    <row r="101" spans="3:15" ht="14.25" outlineLevel="2">
      <c r="E101" s="405"/>
      <c r="F101" s="378"/>
      <c r="H101" s="455"/>
    </row>
    <row r="102" spans="3:15" ht="21.75" customHeight="1" collapsed="1">
      <c r="C102" s="405"/>
      <c r="E102" s="455"/>
      <c r="G102" s="378"/>
      <c r="K102" s="391"/>
      <c r="M102" s="391"/>
      <c r="N102" s="405"/>
      <c r="O102" s="455"/>
    </row>
  </sheetData>
  <mergeCells count="52">
    <mergeCell ref="A46:O46"/>
    <mergeCell ref="A47:A72"/>
    <mergeCell ref="D73:F73"/>
    <mergeCell ref="J43:J45"/>
    <mergeCell ref="K43:K45"/>
    <mergeCell ref="L43:L45"/>
    <mergeCell ref="M43:M45"/>
    <mergeCell ref="N43:N45"/>
    <mergeCell ref="O43:O45"/>
    <mergeCell ref="A43:A45"/>
    <mergeCell ref="B43:B45"/>
    <mergeCell ref="G43:G45"/>
    <mergeCell ref="H43:H45"/>
    <mergeCell ref="I43:I45"/>
    <mergeCell ref="F34:J34"/>
    <mergeCell ref="F35:J35"/>
    <mergeCell ref="F37:G37"/>
    <mergeCell ref="H37:O37"/>
    <mergeCell ref="A39:A41"/>
    <mergeCell ref="B39:B41"/>
    <mergeCell ref="G39:G41"/>
    <mergeCell ref="H39:H41"/>
    <mergeCell ref="I39:I41"/>
    <mergeCell ref="J39:J41"/>
    <mergeCell ref="K39:K41"/>
    <mergeCell ref="L39:L41"/>
    <mergeCell ref="M39:M41"/>
    <mergeCell ref="N39:N41"/>
    <mergeCell ref="O39:O41"/>
    <mergeCell ref="A31:D31"/>
    <mergeCell ref="E31:G31"/>
    <mergeCell ref="I31:L31"/>
    <mergeCell ref="M31:O31"/>
    <mergeCell ref="A32:D32"/>
    <mergeCell ref="E32:G32"/>
    <mergeCell ref="I32:L32"/>
    <mergeCell ref="M32:O32"/>
    <mergeCell ref="A29:D29"/>
    <mergeCell ref="E29:G29"/>
    <mergeCell ref="I29:L29"/>
    <mergeCell ref="M29:O29"/>
    <mergeCell ref="A30:D30"/>
    <mergeCell ref="E30:G30"/>
    <mergeCell ref="I30:L30"/>
    <mergeCell ref="M30:O30"/>
    <mergeCell ref="A28:H28"/>
    <mergeCell ref="I28:O28"/>
    <mergeCell ref="A4:O4"/>
    <mergeCell ref="A5:O5"/>
    <mergeCell ref="G10:J10"/>
    <mergeCell ref="D23:D24"/>
    <mergeCell ref="A27:O27"/>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2">
    <tabColor rgb="FFFF0000"/>
  </sheetPr>
  <dimension ref="A1:L49"/>
  <sheetViews>
    <sheetView topLeftCell="A7" zoomScale="62" zoomScaleNormal="62" workbookViewId="0">
      <selection activeCell="I33" sqref="I33"/>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8.28515625" style="165" customWidth="1"/>
    <col min="7" max="7" width="23.140625" style="165" customWidth="1"/>
    <col min="8" max="8" width="52.7109375" style="104" customWidth="1"/>
    <col min="9" max="9" width="20.85546875" style="104" customWidth="1"/>
    <col min="10" max="10" width="23" style="104" customWidth="1"/>
    <col min="11" max="11" width="20.42578125" style="104" customWidth="1"/>
    <col min="12" max="16384" width="8.85546875" style="104"/>
  </cols>
  <sheetData>
    <row r="1" spans="1:11" ht="13.5" thickBot="1">
      <c r="B1" s="105"/>
      <c r="C1" s="105"/>
      <c r="D1" s="106"/>
      <c r="E1" s="106"/>
      <c r="F1" s="107"/>
      <c r="G1" s="107"/>
      <c r="H1" s="107"/>
      <c r="I1" s="107"/>
      <c r="J1" s="107"/>
      <c r="K1" s="107"/>
    </row>
    <row r="2" spans="1:11" ht="9" customHeight="1">
      <c r="A2" s="108"/>
      <c r="B2" s="109"/>
      <c r="C2" s="109"/>
      <c r="D2" s="110"/>
      <c r="E2" s="110"/>
      <c r="F2" s="111"/>
      <c r="G2" s="111"/>
      <c r="H2" s="111"/>
      <c r="I2" s="112"/>
      <c r="J2" s="112"/>
      <c r="K2" s="112"/>
    </row>
    <row r="3" spans="1:11" ht="10.5" customHeight="1">
      <c r="B3" s="105"/>
      <c r="C3" s="105"/>
      <c r="D3" s="106"/>
      <c r="E3" s="106"/>
      <c r="F3" s="107"/>
      <c r="G3" s="107"/>
      <c r="H3" s="107"/>
      <c r="I3" s="113"/>
      <c r="J3" s="113"/>
      <c r="K3" s="113"/>
    </row>
    <row r="4" spans="1:11" ht="34.5">
      <c r="A4" s="1242" t="s">
        <v>937</v>
      </c>
      <c r="B4" s="979"/>
      <c r="C4" s="979"/>
      <c r="D4" s="979"/>
      <c r="E4" s="979"/>
      <c r="F4" s="979"/>
      <c r="G4" s="979"/>
      <c r="H4" s="979"/>
      <c r="I4" s="979"/>
      <c r="J4" s="979"/>
      <c r="K4" s="979"/>
    </row>
    <row r="5" spans="1:11" s="114" customFormat="1" ht="58.5" customHeight="1">
      <c r="A5" s="1243" t="s">
        <v>944</v>
      </c>
      <c r="B5" s="1244"/>
      <c r="C5" s="1244"/>
      <c r="D5" s="1244"/>
      <c r="E5" s="1244"/>
      <c r="F5" s="1244"/>
      <c r="G5" s="1244"/>
      <c r="H5" s="1244"/>
      <c r="I5" s="1244"/>
      <c r="J5" s="1244"/>
      <c r="K5" s="1244"/>
    </row>
    <row r="6" spans="1:11" ht="9" customHeight="1" thickBot="1">
      <c r="A6" s="115"/>
      <c r="B6" s="116"/>
      <c r="C6" s="116"/>
      <c r="D6" s="117"/>
      <c r="E6" s="117"/>
      <c r="F6" s="118"/>
      <c r="G6" s="118"/>
      <c r="H6" s="118"/>
      <c r="I6" s="119"/>
      <c r="J6" s="119"/>
      <c r="K6" s="119"/>
    </row>
    <row r="9" spans="1:11" s="113" customFormat="1" ht="14.25">
      <c r="B9" s="120"/>
      <c r="C9" s="120"/>
      <c r="D9" s="121"/>
      <c r="E9" s="121"/>
      <c r="F9" s="121"/>
      <c r="G9" s="121"/>
      <c r="H9" s="121"/>
      <c r="I9" s="121"/>
      <c r="J9" s="121"/>
      <c r="K9" s="121"/>
    </row>
    <row r="10" spans="1:11" s="113" customFormat="1" ht="18">
      <c r="F10" s="173"/>
      <c r="G10" s="1245" t="s">
        <v>3</v>
      </c>
      <c r="H10" s="1245"/>
      <c r="I10" s="1245"/>
    </row>
    <row r="11" spans="1:11" s="113" customFormat="1" ht="18">
      <c r="F11" s="156"/>
      <c r="G11" s="146" t="s">
        <v>4</v>
      </c>
      <c r="H11" s="284" t="s">
        <v>920</v>
      </c>
      <c r="I11" s="285"/>
    </row>
    <row r="12" spans="1:11" s="113" customFormat="1" ht="18">
      <c r="F12" s="156"/>
      <c r="G12" s="146" t="s">
        <v>8</v>
      </c>
      <c r="H12" s="287">
        <v>80000</v>
      </c>
      <c r="I12" s="288"/>
      <c r="K12" s="124"/>
    </row>
    <row r="13" spans="1:11" s="113" customFormat="1" ht="18">
      <c r="F13" s="286"/>
      <c r="G13" s="146" t="s">
        <v>9</v>
      </c>
      <c r="H13" s="284" t="s">
        <v>939</v>
      </c>
      <c r="I13" s="285"/>
      <c r="K13" s="129"/>
    </row>
    <row r="14" spans="1:11" s="113" customFormat="1" ht="18">
      <c r="F14" s="286"/>
      <c r="G14" s="146" t="s">
        <v>10</v>
      </c>
      <c r="H14" s="284" t="s">
        <v>270</v>
      </c>
      <c r="I14" s="285"/>
    </row>
    <row r="15" spans="1:11" s="113" customFormat="1" ht="18">
      <c r="A15" s="128"/>
      <c r="B15" s="104"/>
      <c r="C15" s="104"/>
      <c r="D15" s="104"/>
      <c r="E15" s="104"/>
      <c r="F15" s="162"/>
      <c r="G15" s="146" t="s">
        <v>12</v>
      </c>
      <c r="H15" s="284" t="s">
        <v>940</v>
      </c>
      <c r="I15" s="285"/>
    </row>
    <row r="16" spans="1:11" s="113" customFormat="1" ht="18">
      <c r="A16" s="130"/>
      <c r="B16" s="104"/>
      <c r="C16" s="104"/>
      <c r="E16" s="104"/>
      <c r="F16" s="162"/>
      <c r="G16" s="146" t="s">
        <v>16</v>
      </c>
      <c r="H16" s="284" t="s">
        <v>271</v>
      </c>
      <c r="I16" s="285"/>
    </row>
    <row r="17" spans="1:12" s="113" customFormat="1" ht="18">
      <c r="A17" s="130"/>
      <c r="B17" s="104"/>
      <c r="C17" s="104"/>
      <c r="E17" s="104"/>
      <c r="F17" s="162"/>
      <c r="G17" s="146" t="s">
        <v>19</v>
      </c>
      <c r="H17" s="284" t="s">
        <v>934</v>
      </c>
      <c r="I17" s="285"/>
    </row>
    <row r="18" spans="1:12" s="113" customFormat="1" ht="18">
      <c r="F18" s="286"/>
      <c r="G18" s="146" t="s">
        <v>20</v>
      </c>
      <c r="H18" s="284" t="s">
        <v>943</v>
      </c>
      <c r="I18" s="285"/>
    </row>
    <row r="19" spans="1:12" s="113" customFormat="1" ht="18">
      <c r="F19" s="286"/>
      <c r="G19" s="146" t="s">
        <v>21</v>
      </c>
      <c r="H19" s="284" t="s">
        <v>941</v>
      </c>
      <c r="I19" s="285"/>
    </row>
    <row r="20" spans="1:12" s="113" customFormat="1" ht="18">
      <c r="F20" s="121"/>
      <c r="G20" s="146" t="s">
        <v>22</v>
      </c>
      <c r="H20" s="591" t="s">
        <v>942</v>
      </c>
      <c r="K20" s="124"/>
    </row>
    <row r="21" spans="1:12" s="113" customFormat="1" ht="15.75" customHeight="1" thickBot="1">
      <c r="D21" s="136"/>
      <c r="E21" s="136"/>
      <c r="F21" s="121"/>
      <c r="G21" s="146"/>
      <c r="H21" s="284"/>
      <c r="I21" s="285"/>
    </row>
    <row r="22" spans="1:12" s="301" customFormat="1" ht="18">
      <c r="A22" s="130"/>
      <c r="B22" s="130"/>
      <c r="C22" s="130"/>
      <c r="D22" s="669"/>
      <c r="E22" s="1231" t="s">
        <v>23</v>
      </c>
      <c r="F22" s="1232"/>
      <c r="G22" s="1232"/>
      <c r="H22" s="1233"/>
      <c r="I22" s="669"/>
      <c r="J22" s="669"/>
      <c r="K22" s="669"/>
      <c r="L22" s="669"/>
    </row>
    <row r="23" spans="1:12" s="301" customFormat="1" ht="17.45" customHeight="1">
      <c r="A23" s="130"/>
      <c r="B23" s="130"/>
      <c r="C23" s="130"/>
      <c r="D23" s="105"/>
      <c r="E23" s="1237" t="s">
        <v>3556</v>
      </c>
      <c r="F23" s="1238"/>
      <c r="G23" s="1238"/>
      <c r="H23" s="1239"/>
      <c r="I23" s="104"/>
      <c r="J23" s="104"/>
      <c r="K23" s="104"/>
    </row>
    <row r="24" spans="1:12" s="301" customFormat="1" ht="17.45" customHeight="1">
      <c r="A24" s="130"/>
      <c r="B24" s="130"/>
      <c r="C24" s="130"/>
      <c r="D24" s="105"/>
      <c r="E24" s="1240" t="s">
        <v>160</v>
      </c>
      <c r="F24" s="1241"/>
      <c r="G24" s="1241"/>
      <c r="H24" s="675" t="s">
        <v>161</v>
      </c>
      <c r="I24" s="668"/>
      <c r="J24" s="668"/>
      <c r="K24" s="668"/>
    </row>
    <row r="25" spans="1:12" s="301" customFormat="1" ht="18">
      <c r="A25" s="130"/>
      <c r="B25" s="130"/>
      <c r="C25" s="130"/>
      <c r="D25" s="105"/>
      <c r="E25" s="1240" t="s">
        <v>163</v>
      </c>
      <c r="F25" s="1241"/>
      <c r="G25" s="1241"/>
      <c r="H25" s="676">
        <v>50</v>
      </c>
      <c r="I25" s="104"/>
      <c r="J25" s="104"/>
      <c r="K25" s="104"/>
    </row>
    <row r="26" spans="1:12" s="301" customFormat="1" ht="18">
      <c r="A26" s="130"/>
      <c r="B26" s="130"/>
      <c r="C26" s="130"/>
      <c r="D26" s="105"/>
      <c r="E26" s="1240" t="s">
        <v>164</v>
      </c>
      <c r="F26" s="1241"/>
      <c r="G26" s="1241"/>
      <c r="H26" s="675" t="s">
        <v>4060</v>
      </c>
      <c r="I26" s="519"/>
      <c r="J26" s="519"/>
      <c r="K26" s="519"/>
    </row>
    <row r="27" spans="1:12" s="301" customFormat="1" ht="18.75" thickBot="1">
      <c r="A27" s="130"/>
      <c r="B27" s="130"/>
      <c r="C27" s="130"/>
      <c r="D27" s="130"/>
      <c r="E27" s="1234" t="s">
        <v>92</v>
      </c>
      <c r="F27" s="1235"/>
      <c r="G27" s="1235"/>
      <c r="H27" s="1236"/>
      <c r="I27" s="130"/>
      <c r="J27" s="130"/>
      <c r="K27" s="130"/>
    </row>
    <row r="28" spans="1:12" s="113" customFormat="1" ht="12.75" customHeight="1">
      <c r="D28" s="136"/>
      <c r="E28" s="136"/>
      <c r="F28" s="143"/>
      <c r="G28" s="104"/>
      <c r="H28" s="104"/>
      <c r="I28" s="104"/>
      <c r="J28" s="104"/>
      <c r="K28" s="145"/>
    </row>
    <row r="29" spans="1:12" s="113" customFormat="1" ht="12.6" customHeight="1">
      <c r="D29" s="136"/>
      <c r="E29" s="136"/>
      <c r="F29" s="289"/>
      <c r="G29" s="290"/>
      <c r="H29" s="284"/>
      <c r="I29" s="285"/>
    </row>
    <row r="30" spans="1:12" s="113" customFormat="1" ht="12.75" customHeight="1" thickBot="1">
      <c r="D30" s="136"/>
      <c r="E30" s="136"/>
      <c r="F30" s="143"/>
      <c r="G30" s="104"/>
      <c r="H30" s="104"/>
      <c r="I30" s="104"/>
      <c r="J30" s="104"/>
      <c r="K30" s="145"/>
    </row>
    <row r="31" spans="1:12" s="113" customFormat="1" ht="18" customHeight="1" thickBot="1">
      <c r="C31" s="136"/>
      <c r="D31" s="135"/>
      <c r="F31" s="1250" t="s">
        <v>167</v>
      </c>
      <c r="G31" s="1251"/>
      <c r="H31" s="1252"/>
      <c r="I31" s="1252"/>
      <c r="J31" s="1252"/>
      <c r="K31" s="1253"/>
    </row>
    <row r="32" spans="1:12" s="113" customFormat="1" ht="107.65" customHeight="1" thickBot="1">
      <c r="A32" s="104"/>
      <c r="B32" s="104"/>
      <c r="C32" s="166"/>
      <c r="D32" s="167"/>
      <c r="E32" s="292" t="s">
        <v>123</v>
      </c>
      <c r="F32" s="292" t="s">
        <v>169</v>
      </c>
      <c r="G32" s="292" t="s">
        <v>170</v>
      </c>
      <c r="H32" s="292" t="s">
        <v>171</v>
      </c>
      <c r="I32" s="292" t="s">
        <v>172</v>
      </c>
      <c r="J32" s="292" t="s">
        <v>173</v>
      </c>
      <c r="K32" s="292" t="s">
        <v>174</v>
      </c>
    </row>
    <row r="33" spans="1:11" s="291" customFormat="1" ht="153" customHeight="1" thickBot="1">
      <c r="A33" s="104"/>
      <c r="B33" s="104"/>
      <c r="C33" s="166"/>
      <c r="D33" s="167"/>
      <c r="E33" s="294">
        <v>26</v>
      </c>
      <c r="F33" s="294"/>
      <c r="G33" s="294" t="s">
        <v>936</v>
      </c>
      <c r="H33" s="312" t="s">
        <v>938</v>
      </c>
      <c r="I33" s="297">
        <v>354.35</v>
      </c>
      <c r="J33" s="76">
        <f>SUM(I33:I33)*(1-30%)</f>
        <v>248.04499999999999</v>
      </c>
      <c r="K33" s="76">
        <f>J33*F33</f>
        <v>0</v>
      </c>
    </row>
    <row r="34" spans="1:11" s="293" customFormat="1" ht="23.25">
      <c r="A34" s="104"/>
      <c r="B34" s="104"/>
      <c r="C34" s="166"/>
      <c r="D34" s="167"/>
      <c r="E34" s="1229" t="s">
        <v>183</v>
      </c>
      <c r="F34" s="1229"/>
      <c r="G34" s="1230"/>
      <c r="H34" s="1230"/>
      <c r="I34" s="1230"/>
      <c r="J34" s="1230"/>
      <c r="K34" s="29">
        <f>SUM(K33:K33)</f>
        <v>0</v>
      </c>
    </row>
    <row r="35" spans="1:11">
      <c r="F35" s="7"/>
      <c r="G35" s="7"/>
      <c r="H35" s="8"/>
      <c r="I35" s="8"/>
      <c r="J35" s="8"/>
      <c r="K35" s="8"/>
    </row>
    <row r="36" spans="1:11">
      <c r="F36" s="7"/>
      <c r="G36" s="7"/>
      <c r="H36" s="8"/>
      <c r="I36" s="8"/>
      <c r="J36" s="8"/>
      <c r="K36" s="8"/>
    </row>
    <row r="37" spans="1:11">
      <c r="B37" s="106"/>
      <c r="C37" s="106"/>
      <c r="F37" s="7"/>
      <c r="G37" s="7"/>
      <c r="H37" s="8"/>
      <c r="I37" s="8"/>
      <c r="J37" s="8"/>
      <c r="K37" s="8"/>
    </row>
    <row r="38" spans="1:11">
      <c r="F38" s="7"/>
      <c r="G38" s="7"/>
      <c r="H38" s="8"/>
      <c r="I38" s="8"/>
      <c r="J38" s="8"/>
      <c r="K38" s="8"/>
    </row>
    <row r="39" spans="1:11">
      <c r="G39" s="7"/>
      <c r="I39" s="8"/>
      <c r="K39" s="8"/>
    </row>
    <row r="42" spans="1:11">
      <c r="F42" s="104"/>
      <c r="G42" s="104"/>
    </row>
    <row r="43" spans="1:11">
      <c r="F43" s="104"/>
      <c r="G43" s="104"/>
    </row>
    <row r="44" spans="1:11">
      <c r="F44" s="104"/>
      <c r="G44" s="104"/>
    </row>
    <row r="45" spans="1:11">
      <c r="F45" s="104"/>
      <c r="G45" s="104"/>
    </row>
    <row r="46" spans="1:11">
      <c r="F46" s="104"/>
      <c r="G46" s="104"/>
    </row>
    <row r="47" spans="1:11">
      <c r="F47" s="104"/>
      <c r="G47" s="104"/>
    </row>
    <row r="48" spans="1:11">
      <c r="F48" s="104"/>
      <c r="G48" s="104"/>
    </row>
    <row r="49" s="104" customFormat="1"/>
  </sheetData>
  <mergeCells count="11">
    <mergeCell ref="E25:G25"/>
    <mergeCell ref="E26:G26"/>
    <mergeCell ref="F31:K31"/>
    <mergeCell ref="E34:J34"/>
    <mergeCell ref="E27:H27"/>
    <mergeCell ref="E24:G24"/>
    <mergeCell ref="A4:K4"/>
    <mergeCell ref="A5:K5"/>
    <mergeCell ref="G10:I10"/>
    <mergeCell ref="E22:H22"/>
    <mergeCell ref="E23:H23"/>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0">
    <tabColor rgb="FF006600"/>
  </sheetPr>
  <dimension ref="A1:M63"/>
  <sheetViews>
    <sheetView topLeftCell="A16" zoomScale="65" zoomScaleNormal="65" workbookViewId="0">
      <selection activeCell="Q43" sqref="Q43"/>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8.28515625" style="165" customWidth="1"/>
    <col min="7" max="7" width="54.5703125" style="165" customWidth="1"/>
    <col min="8" max="8" width="22.42578125" style="104" customWidth="1"/>
    <col min="9" max="9" width="20.85546875" style="104" customWidth="1"/>
    <col min="10" max="10" width="23" style="104" customWidth="1"/>
    <col min="11" max="11" width="13.140625" style="104" bestFit="1" customWidth="1"/>
    <col min="12" max="16384" width="8.85546875" style="104"/>
  </cols>
  <sheetData>
    <row r="1" spans="1:10" ht="13.5" thickBot="1">
      <c r="B1" s="105"/>
      <c r="C1" s="105"/>
      <c r="D1" s="106"/>
      <c r="E1" s="106"/>
      <c r="F1" s="107"/>
      <c r="G1" s="107"/>
      <c r="H1" s="107"/>
      <c r="I1" s="107"/>
      <c r="J1" s="107"/>
    </row>
    <row r="2" spans="1:10" ht="9" customHeight="1">
      <c r="A2" s="108"/>
      <c r="B2" s="109"/>
      <c r="C2" s="109"/>
      <c r="D2" s="110"/>
      <c r="E2" s="110"/>
      <c r="F2" s="111"/>
      <c r="G2" s="111"/>
      <c r="H2" s="111"/>
      <c r="I2" s="112"/>
      <c r="J2" s="112"/>
    </row>
    <row r="3" spans="1:10" ht="10.5" customHeight="1">
      <c r="B3" s="105"/>
      <c r="C3" s="105"/>
      <c r="D3" s="106"/>
      <c r="E3" s="106"/>
      <c r="F3" s="107"/>
      <c r="G3" s="107"/>
      <c r="H3" s="107"/>
      <c r="I3" s="113"/>
      <c r="J3" s="113"/>
    </row>
    <row r="4" spans="1:10" ht="34.5">
      <c r="A4" s="1242" t="s">
        <v>1143</v>
      </c>
      <c r="B4" s="979"/>
      <c r="C4" s="979"/>
      <c r="D4" s="979"/>
      <c r="E4" s="979"/>
      <c r="F4" s="979"/>
      <c r="G4" s="979"/>
      <c r="H4" s="979"/>
      <c r="I4" s="979"/>
      <c r="J4" s="979"/>
    </row>
    <row r="5" spans="1:10" s="114" customFormat="1" ht="58.5" customHeight="1">
      <c r="A5" s="1243" t="s">
        <v>1144</v>
      </c>
      <c r="B5" s="1244"/>
      <c r="C5" s="1244"/>
      <c r="D5" s="1244"/>
      <c r="E5" s="1244"/>
      <c r="F5" s="1244"/>
      <c r="G5" s="1244"/>
      <c r="H5" s="1244"/>
      <c r="I5" s="1244"/>
      <c r="J5" s="1244"/>
    </row>
    <row r="6" spans="1:10" ht="9" customHeight="1" thickBot="1">
      <c r="A6" s="115"/>
      <c r="B6" s="116"/>
      <c r="C6" s="116"/>
      <c r="D6" s="117"/>
      <c r="E6" s="117"/>
      <c r="F6" s="118"/>
      <c r="G6" s="118"/>
      <c r="H6" s="118"/>
      <c r="I6" s="119"/>
      <c r="J6" s="119"/>
    </row>
    <row r="9" spans="1:10" s="113" customFormat="1" ht="14.25">
      <c r="B9" s="120"/>
      <c r="C9" s="120"/>
      <c r="D9" s="121"/>
      <c r="E9" s="121"/>
      <c r="F9" s="121"/>
      <c r="G9" s="121"/>
      <c r="H9" s="121"/>
      <c r="I9" s="121"/>
      <c r="J9" s="121"/>
    </row>
    <row r="10" spans="1:10" s="113" customFormat="1" ht="18">
      <c r="F10" s="173"/>
      <c r="G10" s="1245" t="s">
        <v>3</v>
      </c>
      <c r="H10" s="1245"/>
      <c r="I10" s="1245"/>
    </row>
    <row r="11" spans="1:10" s="113" customFormat="1" ht="18">
      <c r="F11" s="156"/>
      <c r="G11" s="146" t="s">
        <v>4</v>
      </c>
      <c r="H11" s="284" t="s">
        <v>90</v>
      </c>
      <c r="I11" s="285"/>
    </row>
    <row r="12" spans="1:10" s="113" customFormat="1" ht="18">
      <c r="F12" s="156"/>
      <c r="G12" s="146" t="s">
        <v>5</v>
      </c>
      <c r="H12" s="284" t="s">
        <v>3425</v>
      </c>
      <c r="I12" s="285"/>
    </row>
    <row r="13" spans="1:10" s="113" customFormat="1" ht="18">
      <c r="F13" s="286"/>
      <c r="G13" s="146" t="s">
        <v>8</v>
      </c>
      <c r="H13" s="287">
        <v>85000</v>
      </c>
      <c r="I13" s="288"/>
    </row>
    <row r="14" spans="1:10" s="113" customFormat="1" ht="18">
      <c r="F14" s="286"/>
      <c r="G14" s="146" t="s">
        <v>9</v>
      </c>
      <c r="H14" s="284" t="s">
        <v>3426</v>
      </c>
      <c r="I14" s="285"/>
    </row>
    <row r="15" spans="1:10" s="113" customFormat="1" ht="18">
      <c r="A15" s="128"/>
      <c r="B15" s="104"/>
      <c r="C15" s="104"/>
      <c r="D15" s="104"/>
      <c r="E15" s="104"/>
      <c r="F15" s="162"/>
      <c r="G15" s="146" t="s">
        <v>10</v>
      </c>
      <c r="H15" s="284" t="s">
        <v>128</v>
      </c>
      <c r="I15" s="285"/>
    </row>
    <row r="16" spans="1:10" s="113" customFormat="1" ht="18">
      <c r="A16" s="130"/>
      <c r="B16" s="104"/>
      <c r="C16" s="104"/>
      <c r="E16" s="104"/>
      <c r="F16" s="162"/>
      <c r="G16" s="146" t="s">
        <v>12</v>
      </c>
      <c r="H16" s="284" t="s">
        <v>3427</v>
      </c>
      <c r="I16" s="285"/>
    </row>
    <row r="17" spans="1:13" s="113" customFormat="1" ht="18">
      <c r="F17" s="286"/>
      <c r="G17" s="146" t="s">
        <v>16</v>
      </c>
      <c r="H17" s="284" t="s">
        <v>17</v>
      </c>
      <c r="I17" s="285"/>
    </row>
    <row r="18" spans="1:13" s="113" customFormat="1" ht="18">
      <c r="F18" s="286"/>
      <c r="G18" s="146" t="s">
        <v>18</v>
      </c>
      <c r="H18" s="284" t="s">
        <v>3428</v>
      </c>
      <c r="I18" s="285"/>
    </row>
    <row r="19" spans="1:13" s="113" customFormat="1" ht="18">
      <c r="F19" s="121"/>
      <c r="G19" s="146" t="s">
        <v>19</v>
      </c>
      <c r="H19" s="284" t="s">
        <v>3429</v>
      </c>
      <c r="I19" s="285"/>
    </row>
    <row r="20" spans="1:13" s="113" customFormat="1" ht="15.75" customHeight="1">
      <c r="D20" s="136"/>
      <c r="E20" s="136"/>
      <c r="F20" s="121"/>
      <c r="G20" s="146" t="s">
        <v>20</v>
      </c>
      <c r="H20" s="284" t="s">
        <v>191</v>
      </c>
      <c r="I20" s="285"/>
    </row>
    <row r="21" spans="1:13" s="113" customFormat="1" ht="18">
      <c r="D21" s="136"/>
      <c r="E21" s="136"/>
      <c r="F21" s="121"/>
      <c r="G21" s="146" t="s">
        <v>21</v>
      </c>
      <c r="H21" s="284" t="s">
        <v>3430</v>
      </c>
      <c r="I21" s="285"/>
    </row>
    <row r="22" spans="1:13" s="113" customFormat="1" ht="18">
      <c r="D22" s="136"/>
      <c r="E22" s="136"/>
      <c r="F22" s="121"/>
      <c r="G22" s="146" t="s">
        <v>22</v>
      </c>
      <c r="H22" s="284" t="s">
        <v>3431</v>
      </c>
      <c r="I22" s="285"/>
    </row>
    <row r="23" spans="1:13" s="113" customFormat="1" ht="12.6" customHeight="1" thickBot="1">
      <c r="D23" s="136"/>
      <c r="E23" s="136"/>
      <c r="F23" s="289"/>
      <c r="G23" s="290"/>
      <c r="H23" s="284"/>
      <c r="I23" s="285"/>
    </row>
    <row r="24" spans="1:13" s="301" customFormat="1" ht="18">
      <c r="A24" s="130"/>
      <c r="B24" s="130"/>
      <c r="C24" s="130"/>
      <c r="D24" s="669"/>
      <c r="E24" s="1231" t="s">
        <v>23</v>
      </c>
      <c r="F24" s="1232"/>
      <c r="G24" s="1232"/>
      <c r="H24" s="1233"/>
      <c r="I24" s="669"/>
      <c r="J24" s="669"/>
      <c r="K24" s="677"/>
      <c r="L24" s="669"/>
      <c r="M24" s="669"/>
    </row>
    <row r="25" spans="1:13" s="301" customFormat="1" ht="17.45" customHeight="1">
      <c r="A25" s="130"/>
      <c r="B25" s="130"/>
      <c r="C25" s="130"/>
      <c r="D25" s="105"/>
      <c r="E25" s="1237" t="s">
        <v>3557</v>
      </c>
      <c r="F25" s="1238"/>
      <c r="G25" s="1238"/>
      <c r="H25" s="1239"/>
      <c r="I25" s="104"/>
      <c r="J25" s="104"/>
      <c r="K25" s="678"/>
    </row>
    <row r="26" spans="1:13" s="301" customFormat="1" ht="17.45" customHeight="1">
      <c r="A26" s="130"/>
      <c r="B26" s="130"/>
      <c r="C26" s="130"/>
      <c r="D26" s="105"/>
      <c r="E26" s="1240" t="s">
        <v>160</v>
      </c>
      <c r="F26" s="1241"/>
      <c r="G26" s="1256" t="s">
        <v>161</v>
      </c>
      <c r="H26" s="1257"/>
      <c r="I26" s="668"/>
      <c r="J26" s="668"/>
      <c r="K26" s="678"/>
    </row>
    <row r="27" spans="1:13" s="301" customFormat="1" ht="17.45" customHeight="1">
      <c r="A27" s="130"/>
      <c r="B27" s="130"/>
      <c r="C27" s="130"/>
      <c r="D27" s="105"/>
      <c r="E27" s="1240" t="s">
        <v>163</v>
      </c>
      <c r="F27" s="1241"/>
      <c r="G27" s="1259">
        <v>300</v>
      </c>
      <c r="H27" s="1260"/>
      <c r="I27" s="104"/>
      <c r="J27" s="104"/>
      <c r="K27" s="678"/>
    </row>
    <row r="28" spans="1:13" s="301" customFormat="1" ht="17.45" customHeight="1">
      <c r="A28" s="130"/>
      <c r="B28" s="130"/>
      <c r="C28" s="130"/>
      <c r="D28" s="105"/>
      <c r="E28" s="1240" t="s">
        <v>164</v>
      </c>
      <c r="F28" s="1241"/>
      <c r="G28" s="1256" t="s">
        <v>4060</v>
      </c>
      <c r="H28" s="1257"/>
      <c r="I28" s="519"/>
      <c r="J28" s="519"/>
      <c r="K28" s="678"/>
    </row>
    <row r="29" spans="1:13" s="301" customFormat="1" ht="17.649999999999999" customHeight="1" thickBot="1">
      <c r="A29" s="130"/>
      <c r="B29" s="130"/>
      <c r="C29" s="130"/>
      <c r="D29" s="130"/>
      <c r="E29" s="1234" t="s">
        <v>92</v>
      </c>
      <c r="F29" s="1235"/>
      <c r="G29" s="1235"/>
      <c r="H29" s="1236"/>
      <c r="I29" s="130"/>
      <c r="J29" s="130"/>
      <c r="K29" s="678"/>
    </row>
    <row r="30" spans="1:13" s="113" customFormat="1" ht="12.75" customHeight="1">
      <c r="D30" s="136"/>
      <c r="E30" s="136"/>
      <c r="F30" s="143"/>
      <c r="G30" s="104"/>
      <c r="H30" s="104"/>
      <c r="I30" s="104"/>
      <c r="J30" s="104"/>
    </row>
    <row r="31" spans="1:13" s="113" customFormat="1" ht="12.75" customHeight="1">
      <c r="D31" s="136"/>
      <c r="E31" s="136"/>
      <c r="F31" s="143"/>
      <c r="G31" s="104"/>
      <c r="H31" s="104"/>
      <c r="I31" s="104"/>
      <c r="J31" s="104"/>
    </row>
    <row r="32" spans="1:13" s="113" customFormat="1" ht="12.75" customHeight="1">
      <c r="B32" s="140"/>
      <c r="C32" s="140"/>
      <c r="D32" s="136"/>
      <c r="E32" s="136"/>
      <c r="F32" s="136"/>
      <c r="G32" s="136"/>
      <c r="H32" s="136"/>
      <c r="I32" s="136"/>
      <c r="J32" s="135"/>
    </row>
    <row r="33" spans="1:11" s="113" customFormat="1" ht="12.75" customHeight="1">
      <c r="D33" s="136"/>
      <c r="E33" s="136"/>
      <c r="F33" s="143"/>
      <c r="G33" s="104"/>
      <c r="H33" s="104"/>
      <c r="I33" s="104"/>
      <c r="J33" s="104"/>
    </row>
    <row r="34" spans="1:11" s="113" customFormat="1" ht="12.75" customHeight="1">
      <c r="D34" s="136"/>
      <c r="E34" s="136"/>
      <c r="F34" s="143"/>
      <c r="G34" s="104"/>
      <c r="H34" s="104"/>
      <c r="I34" s="104"/>
      <c r="J34" s="104"/>
    </row>
    <row r="35" spans="1:11" s="113" customFormat="1" ht="18" customHeight="1" thickBot="1">
      <c r="C35" s="136"/>
      <c r="D35" s="135"/>
      <c r="E35" s="146"/>
      <c r="F35" s="104"/>
      <c r="G35" s="1013"/>
      <c r="H35" s="998"/>
      <c r="I35" s="149"/>
      <c r="J35" s="150"/>
    </row>
    <row r="36" spans="1:11" s="113" customFormat="1" ht="15.75" customHeight="1" thickBot="1">
      <c r="E36" s="1007" t="s">
        <v>167</v>
      </c>
      <c r="F36" s="1089"/>
      <c r="G36" s="1002"/>
      <c r="H36" s="1002"/>
      <c r="I36" s="1002"/>
      <c r="J36" s="1003"/>
    </row>
    <row r="37" spans="1:11" s="291" customFormat="1" ht="59.25" thickBot="1">
      <c r="D37" s="292" t="s">
        <v>123</v>
      </c>
      <c r="E37" s="292" t="s">
        <v>169</v>
      </c>
      <c r="F37" s="292" t="s">
        <v>170</v>
      </c>
      <c r="G37" s="292" t="s">
        <v>171</v>
      </c>
      <c r="H37" s="292" t="s">
        <v>172</v>
      </c>
      <c r="I37" s="292" t="s">
        <v>173</v>
      </c>
      <c r="J37" s="292" t="s">
        <v>174</v>
      </c>
    </row>
    <row r="38" spans="1:11" s="293" customFormat="1" ht="21" thickBot="1">
      <c r="D38" s="294">
        <v>27</v>
      </c>
      <c r="E38" s="294"/>
      <c r="F38" s="295" t="s">
        <v>1141</v>
      </c>
      <c r="G38" s="296" t="s">
        <v>1142</v>
      </c>
      <c r="H38" s="297">
        <v>4120.28</v>
      </c>
      <c r="I38" s="76">
        <f>SUM(H38:H38)*(1-50%)</f>
        <v>2060.14</v>
      </c>
      <c r="J38" s="76">
        <f>I38*E38</f>
        <v>0</v>
      </c>
    </row>
    <row r="39" spans="1:11" s="301" customFormat="1" ht="19.5" thickBot="1">
      <c r="A39" s="299"/>
      <c r="B39" s="300"/>
      <c r="C39" s="300"/>
      <c r="D39" s="1246" t="s">
        <v>182</v>
      </c>
      <c r="E39" s="1247"/>
      <c r="F39" s="1247"/>
      <c r="G39" s="1247"/>
      <c r="H39" s="1247"/>
      <c r="I39" s="1247"/>
      <c r="J39" s="1247"/>
    </row>
    <row r="40" spans="1:11" s="301" customFormat="1" ht="19.5" thickBot="1">
      <c r="A40" s="299"/>
      <c r="B40" s="300"/>
      <c r="C40" s="300"/>
      <c r="D40" s="1248"/>
      <c r="E40" s="670"/>
      <c r="F40" s="681" t="s">
        <v>1150</v>
      </c>
      <c r="G40" s="682" t="s">
        <v>1065</v>
      </c>
      <c r="H40" s="683">
        <v>260.68041237113403</v>
      </c>
      <c r="I40" s="674">
        <f>H40*(1-10%)</f>
        <v>234.61237113402063</v>
      </c>
      <c r="J40" s="674">
        <f t="shared" ref="J40:J56" si="0">I40*E40</f>
        <v>0</v>
      </c>
      <c r="K40" s="739"/>
    </row>
    <row r="41" spans="1:11" s="301" customFormat="1" ht="19.5" thickBot="1">
      <c r="A41" s="299"/>
      <c r="B41" s="300"/>
      <c r="C41" s="300"/>
      <c r="D41" s="1248"/>
      <c r="E41" s="302"/>
      <c r="F41" s="303" t="s">
        <v>1151</v>
      </c>
      <c r="G41" s="304" t="s">
        <v>1145</v>
      </c>
      <c r="H41" s="305">
        <v>260.68041237113403</v>
      </c>
      <c r="I41" s="27">
        <f t="shared" ref="I41:I56" si="1">H41*(1-10%)</f>
        <v>234.61237113402063</v>
      </c>
      <c r="J41" s="27">
        <f t="shared" si="0"/>
        <v>0</v>
      </c>
      <c r="K41" s="739"/>
    </row>
    <row r="42" spans="1:11" s="301" customFormat="1" ht="19.5" thickBot="1">
      <c r="A42" s="299"/>
      <c r="B42" s="300"/>
      <c r="C42" s="300"/>
      <c r="D42" s="1248"/>
      <c r="E42" s="302"/>
      <c r="F42" s="303" t="s">
        <v>1120</v>
      </c>
      <c r="G42" s="304" t="s">
        <v>1137</v>
      </c>
      <c r="H42" s="305">
        <v>233.86597938144331</v>
      </c>
      <c r="I42" s="27">
        <f t="shared" si="1"/>
        <v>210.47938144329899</v>
      </c>
      <c r="J42" s="27">
        <f t="shared" si="0"/>
        <v>0</v>
      </c>
      <c r="K42" s="739"/>
    </row>
    <row r="43" spans="1:11" s="301" customFormat="1" ht="19.5" thickBot="1">
      <c r="A43" s="299"/>
      <c r="B43" s="300"/>
      <c r="C43" s="300"/>
      <c r="D43" s="1248"/>
      <c r="E43" s="302"/>
      <c r="F43" s="303" t="s">
        <v>1152</v>
      </c>
      <c r="G43" s="304" t="s">
        <v>1136</v>
      </c>
      <c r="H43" s="305">
        <v>564.06185567010311</v>
      </c>
      <c r="I43" s="27">
        <f t="shared" si="1"/>
        <v>507.6556701030928</v>
      </c>
      <c r="J43" s="27">
        <f t="shared" si="0"/>
        <v>0</v>
      </c>
      <c r="K43" s="739"/>
    </row>
    <row r="44" spans="1:11" s="301" customFormat="1" ht="19.5" thickBot="1">
      <c r="A44" s="299"/>
      <c r="B44" s="300"/>
      <c r="C44" s="300"/>
      <c r="D44" s="1248"/>
      <c r="E44" s="302"/>
      <c r="F44" s="303" t="s">
        <v>1080</v>
      </c>
      <c r="G44" s="304" t="s">
        <v>1067</v>
      </c>
      <c r="H44" s="305">
        <v>78.051546391752566</v>
      </c>
      <c r="I44" s="27">
        <f t="shared" si="1"/>
        <v>70.24639175257731</v>
      </c>
      <c r="J44" s="27">
        <f t="shared" si="0"/>
        <v>0</v>
      </c>
      <c r="K44" s="739"/>
    </row>
    <row r="45" spans="1:11" s="301" customFormat="1" ht="19.5" thickBot="1">
      <c r="A45" s="299"/>
      <c r="B45" s="300"/>
      <c r="C45" s="300"/>
      <c r="D45" s="1248"/>
      <c r="E45" s="302"/>
      <c r="F45" s="303" t="s">
        <v>1082</v>
      </c>
      <c r="G45" s="304" t="s">
        <v>1146</v>
      </c>
      <c r="H45" s="305">
        <v>447.7216494845361</v>
      </c>
      <c r="I45" s="27">
        <f t="shared" si="1"/>
        <v>402.94948453608248</v>
      </c>
      <c r="J45" s="27"/>
      <c r="K45" s="739"/>
    </row>
    <row r="46" spans="1:11" s="301" customFormat="1" ht="19.5" thickBot="1">
      <c r="A46" s="299"/>
      <c r="B46" s="300"/>
      <c r="C46" s="300"/>
      <c r="D46" s="1248"/>
      <c r="E46" s="302"/>
      <c r="F46" s="303" t="s">
        <v>1083</v>
      </c>
      <c r="G46" s="304" t="s">
        <v>1147</v>
      </c>
      <c r="H46" s="305">
        <v>665.68041237113403</v>
      </c>
      <c r="I46" s="27">
        <f t="shared" si="1"/>
        <v>599.11237113402069</v>
      </c>
      <c r="J46" s="27">
        <f t="shared" si="0"/>
        <v>0</v>
      </c>
      <c r="K46" s="739"/>
    </row>
    <row r="47" spans="1:11" s="301" customFormat="1" ht="19.5" thickBot="1">
      <c r="A47" s="299"/>
      <c r="B47" s="300"/>
      <c r="C47" s="300"/>
      <c r="D47" s="1248"/>
      <c r="E47" s="302"/>
      <c r="F47" s="303" t="s">
        <v>1084</v>
      </c>
      <c r="G47" s="304" t="s">
        <v>1148</v>
      </c>
      <c r="H47" s="305">
        <v>234.16494845360825</v>
      </c>
      <c r="I47" s="27">
        <f>H47*(1-10%)</f>
        <v>210.74845360824742</v>
      </c>
      <c r="J47" s="27"/>
      <c r="K47" s="739"/>
    </row>
    <row r="48" spans="1:11" s="301" customFormat="1" ht="19.5" thickBot="1">
      <c r="A48" s="299"/>
      <c r="B48" s="300"/>
      <c r="C48" s="300"/>
      <c r="D48" s="1248"/>
      <c r="E48" s="302"/>
      <c r="F48" s="303" t="s">
        <v>1085</v>
      </c>
      <c r="G48" s="304" t="s">
        <v>1072</v>
      </c>
      <c r="H48" s="305">
        <v>297.49484536082474</v>
      </c>
      <c r="I48" s="27">
        <f>H48*(1-10%)</f>
        <v>267.74536082474225</v>
      </c>
      <c r="J48" s="27">
        <f>I48*E48</f>
        <v>0</v>
      </c>
      <c r="K48" s="739"/>
    </row>
    <row r="49" spans="1:11" s="301" customFormat="1" ht="19.5" thickBot="1">
      <c r="A49" s="299"/>
      <c r="B49" s="300"/>
      <c r="C49" s="300"/>
      <c r="D49" s="1248"/>
      <c r="E49" s="302"/>
      <c r="F49" s="520" t="s">
        <v>1086</v>
      </c>
      <c r="G49" s="304" t="s">
        <v>1073</v>
      </c>
      <c r="H49" s="305">
        <v>297.49484536082474</v>
      </c>
      <c r="I49" s="27">
        <f t="shared" si="1"/>
        <v>267.74536082474225</v>
      </c>
      <c r="J49" s="27">
        <f t="shared" si="0"/>
        <v>0</v>
      </c>
      <c r="K49" s="739"/>
    </row>
    <row r="50" spans="1:11" s="301" customFormat="1" ht="19.5" thickBot="1">
      <c r="A50" s="299"/>
      <c r="B50" s="300"/>
      <c r="C50" s="300"/>
      <c r="D50" s="1248"/>
      <c r="E50" s="302"/>
      <c r="F50" s="306" t="s">
        <v>1087</v>
      </c>
      <c r="G50" s="304" t="s">
        <v>1074</v>
      </c>
      <c r="H50" s="305">
        <v>297.49484536082474</v>
      </c>
      <c r="I50" s="27">
        <f t="shared" si="1"/>
        <v>267.74536082474225</v>
      </c>
      <c r="J50" s="27">
        <f t="shared" si="0"/>
        <v>0</v>
      </c>
      <c r="K50" s="739"/>
    </row>
    <row r="51" spans="1:11" s="301" customFormat="1" ht="19.5" thickBot="1">
      <c r="A51" s="299"/>
      <c r="B51" s="300"/>
      <c r="C51" s="300"/>
      <c r="D51" s="1248"/>
      <c r="E51" s="302"/>
      <c r="F51" s="306" t="s">
        <v>1088</v>
      </c>
      <c r="G51" s="304" t="s">
        <v>1075</v>
      </c>
      <c r="H51" s="305">
        <v>297.49484536082474</v>
      </c>
      <c r="I51" s="27">
        <f t="shared" si="1"/>
        <v>267.74536082474225</v>
      </c>
      <c r="J51" s="27">
        <f t="shared" si="0"/>
        <v>0</v>
      </c>
      <c r="K51" s="739"/>
    </row>
    <row r="52" spans="1:11" s="301" customFormat="1" ht="19.5" thickBot="1">
      <c r="A52" s="299"/>
      <c r="B52" s="300"/>
      <c r="C52" s="300"/>
      <c r="D52" s="1248"/>
      <c r="E52" s="302"/>
      <c r="F52" s="306" t="s">
        <v>1100</v>
      </c>
      <c r="G52" s="304" t="s">
        <v>1095</v>
      </c>
      <c r="H52" s="305">
        <v>92.783505154639172</v>
      </c>
      <c r="I52" s="27">
        <f t="shared" si="1"/>
        <v>83.505154639175259</v>
      </c>
      <c r="J52" s="27">
        <f t="shared" si="0"/>
        <v>0</v>
      </c>
      <c r="K52" s="739"/>
    </row>
    <row r="53" spans="1:11" s="301" customFormat="1" ht="19.5" thickBot="1">
      <c r="A53" s="299"/>
      <c r="B53" s="300"/>
      <c r="C53" s="300"/>
      <c r="D53" s="1248"/>
      <c r="E53" s="302"/>
      <c r="F53" s="303" t="s">
        <v>1101</v>
      </c>
      <c r="G53" s="304" t="s">
        <v>1096</v>
      </c>
      <c r="H53" s="305">
        <v>92.783505154639172</v>
      </c>
      <c r="I53" s="27">
        <f t="shared" si="1"/>
        <v>83.505154639175259</v>
      </c>
      <c r="J53" s="27">
        <f t="shared" si="0"/>
        <v>0</v>
      </c>
      <c r="K53" s="739"/>
    </row>
    <row r="54" spans="1:11" s="301" customFormat="1" ht="19.5" thickBot="1">
      <c r="A54" s="299"/>
      <c r="B54" s="300"/>
      <c r="C54" s="300"/>
      <c r="D54" s="1248"/>
      <c r="E54" s="302"/>
      <c r="F54" s="303" t="s">
        <v>1089</v>
      </c>
      <c r="G54" s="304" t="s">
        <v>1076</v>
      </c>
      <c r="H54" s="305">
        <v>41.237113402061858</v>
      </c>
      <c r="I54" s="27">
        <f t="shared" si="1"/>
        <v>37.113402061855673</v>
      </c>
      <c r="J54" s="27">
        <f t="shared" si="0"/>
        <v>0</v>
      </c>
      <c r="K54" s="739"/>
    </row>
    <row r="55" spans="1:11" s="301" customFormat="1" ht="19.5" thickBot="1">
      <c r="A55" s="299"/>
      <c r="B55" s="300"/>
      <c r="C55" s="300"/>
      <c r="D55" s="1248"/>
      <c r="E55" s="302"/>
      <c r="F55" s="303" t="s">
        <v>1103</v>
      </c>
      <c r="G55" s="304" t="s">
        <v>1098</v>
      </c>
      <c r="H55" s="305">
        <v>220.91752577319588</v>
      </c>
      <c r="I55" s="27">
        <f t="shared" si="1"/>
        <v>198.82577319587628</v>
      </c>
      <c r="J55" s="27">
        <f t="shared" si="0"/>
        <v>0</v>
      </c>
      <c r="K55" s="739"/>
    </row>
    <row r="56" spans="1:11" s="301" customFormat="1" ht="37.5" thickBot="1">
      <c r="A56" s="299"/>
      <c r="B56" s="300"/>
      <c r="C56" s="300"/>
      <c r="D56" s="1249"/>
      <c r="E56" s="302"/>
      <c r="F56" s="303" t="s">
        <v>1102</v>
      </c>
      <c r="G56" s="307" t="s">
        <v>1149</v>
      </c>
      <c r="H56" s="305">
        <v>64.80412371134021</v>
      </c>
      <c r="I56" s="27">
        <f t="shared" si="1"/>
        <v>58.323711340206188</v>
      </c>
      <c r="J56" s="27">
        <f t="shared" si="0"/>
        <v>0</v>
      </c>
      <c r="K56" s="739"/>
    </row>
    <row r="57" spans="1:11" ht="23.25">
      <c r="C57" s="166"/>
      <c r="D57" s="308"/>
      <c r="E57" s="1258" t="s">
        <v>183</v>
      </c>
      <c r="F57" s="979"/>
      <c r="G57" s="979"/>
      <c r="H57" s="979"/>
      <c r="I57" s="979"/>
      <c r="J57" s="29">
        <f>SUM(J40:J56)+J38</f>
        <v>0</v>
      </c>
    </row>
    <row r="58" spans="1:11" ht="15.75">
      <c r="C58" s="166"/>
      <c r="D58" s="167"/>
      <c r="E58" s="168"/>
      <c r="F58" s="168"/>
    </row>
    <row r="59" spans="1:11" ht="15.75">
      <c r="C59" s="166"/>
      <c r="D59" s="167"/>
      <c r="E59" s="168"/>
      <c r="F59" s="168"/>
    </row>
    <row r="63" spans="1:11">
      <c r="B63" s="106"/>
      <c r="C63" s="106"/>
    </row>
  </sheetData>
  <mergeCells count="17">
    <mergeCell ref="E57:I57"/>
    <mergeCell ref="D39:J39"/>
    <mergeCell ref="G26:H26"/>
    <mergeCell ref="E27:F27"/>
    <mergeCell ref="G27:H27"/>
    <mergeCell ref="E36:J36"/>
    <mergeCell ref="D40:D56"/>
    <mergeCell ref="E29:H29"/>
    <mergeCell ref="G35:H35"/>
    <mergeCell ref="A4:J4"/>
    <mergeCell ref="A5:J5"/>
    <mergeCell ref="G10:I10"/>
    <mergeCell ref="E24:H24"/>
    <mergeCell ref="E28:F28"/>
    <mergeCell ref="G28:H28"/>
    <mergeCell ref="E26:F26"/>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A1:M45"/>
  <sheetViews>
    <sheetView topLeftCell="E13" zoomScale="77" zoomScaleNormal="77" workbookViewId="0">
      <selection activeCell="K39" sqref="K39"/>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23.7109375" style="165" customWidth="1"/>
    <col min="7" max="7" width="54.5703125" style="165" customWidth="1"/>
    <col min="8" max="8" width="22.42578125" style="104" customWidth="1"/>
    <col min="9" max="9" width="20.85546875" style="104" customWidth="1"/>
    <col min="10" max="10" width="23" style="104" customWidth="1"/>
    <col min="11" max="16384" width="8.85546875" style="104"/>
  </cols>
  <sheetData>
    <row r="1" spans="1:10" ht="13.5" thickBot="1">
      <c r="B1" s="105"/>
      <c r="C1" s="105"/>
      <c r="D1" s="106"/>
      <c r="E1" s="106"/>
      <c r="F1" s="107"/>
      <c r="G1" s="107"/>
      <c r="H1" s="107"/>
      <c r="I1" s="107"/>
      <c r="J1" s="107"/>
    </row>
    <row r="2" spans="1:10" ht="9" customHeight="1">
      <c r="A2" s="108"/>
      <c r="B2" s="109"/>
      <c r="C2" s="109"/>
      <c r="D2" s="110"/>
      <c r="E2" s="110"/>
      <c r="F2" s="111"/>
      <c r="G2" s="111"/>
      <c r="H2" s="111"/>
      <c r="I2" s="112"/>
      <c r="J2" s="112"/>
    </row>
    <row r="3" spans="1:10" ht="10.5" customHeight="1">
      <c r="B3" s="105"/>
      <c r="C3" s="105"/>
      <c r="D3" s="106"/>
      <c r="E3" s="106"/>
      <c r="F3" s="107"/>
      <c r="G3" s="107"/>
      <c r="H3" s="107"/>
      <c r="I3" s="113"/>
      <c r="J3" s="113"/>
    </row>
    <row r="4" spans="1:10" ht="34.5">
      <c r="A4" s="1242" t="s">
        <v>889</v>
      </c>
      <c r="B4" s="979"/>
      <c r="C4" s="979"/>
      <c r="D4" s="979"/>
      <c r="E4" s="979"/>
      <c r="F4" s="979"/>
      <c r="G4" s="979"/>
      <c r="H4" s="979"/>
      <c r="I4" s="979"/>
      <c r="J4" s="979"/>
    </row>
    <row r="5" spans="1:10" s="114" customFormat="1" ht="58.5" customHeight="1">
      <c r="A5" s="1243" t="s">
        <v>892</v>
      </c>
      <c r="B5" s="1244"/>
      <c r="C5" s="1244"/>
      <c r="D5" s="1244"/>
      <c r="E5" s="1244"/>
      <c r="F5" s="1244"/>
      <c r="G5" s="1244"/>
      <c r="H5" s="1244"/>
      <c r="I5" s="1244"/>
      <c r="J5" s="1244"/>
    </row>
    <row r="6" spans="1:10" ht="9" customHeight="1" thickBot="1">
      <c r="A6" s="115"/>
      <c r="B6" s="116"/>
      <c r="C6" s="116"/>
      <c r="D6" s="117"/>
      <c r="E6" s="117"/>
      <c r="F6" s="118"/>
      <c r="G6" s="118"/>
      <c r="H6" s="118"/>
      <c r="I6" s="119"/>
      <c r="J6" s="119"/>
    </row>
    <row r="9" spans="1:10" s="113" customFormat="1" ht="14.25">
      <c r="B9" s="120"/>
      <c r="C9" s="120"/>
      <c r="D9" s="121"/>
      <c r="E9" s="121"/>
      <c r="F9" s="121"/>
      <c r="G9" s="121"/>
      <c r="H9" s="121"/>
      <c r="I9" s="121"/>
      <c r="J9" s="121"/>
    </row>
    <row r="10" spans="1:10" s="113" customFormat="1" ht="18">
      <c r="F10" s="173"/>
      <c r="G10" s="1245" t="s">
        <v>3</v>
      </c>
      <c r="H10" s="1245"/>
      <c r="I10" s="1245"/>
    </row>
    <row r="11" spans="1:10" s="113" customFormat="1" ht="18">
      <c r="F11" s="156"/>
      <c r="G11" s="146" t="s">
        <v>4</v>
      </c>
      <c r="H11" s="284" t="s">
        <v>269</v>
      </c>
      <c r="I11" s="285"/>
    </row>
    <row r="12" spans="1:10" s="113" customFormat="1" ht="18">
      <c r="F12" s="156"/>
      <c r="G12" s="146" t="s">
        <v>5</v>
      </c>
      <c r="H12" s="284" t="s">
        <v>190</v>
      </c>
      <c r="I12" s="285"/>
    </row>
    <row r="13" spans="1:10" s="113" customFormat="1" ht="18">
      <c r="F13" s="286"/>
      <c r="G13" s="146" t="s">
        <v>8</v>
      </c>
      <c r="H13" s="287">
        <v>40000</v>
      </c>
      <c r="I13" s="288"/>
    </row>
    <row r="14" spans="1:10" s="113" customFormat="1" ht="18">
      <c r="F14" s="286"/>
      <c r="G14" s="146" t="s">
        <v>9</v>
      </c>
      <c r="H14" s="284" t="s">
        <v>945</v>
      </c>
      <c r="I14" s="285"/>
    </row>
    <row r="15" spans="1:10" s="113" customFormat="1" ht="18">
      <c r="A15" s="128"/>
      <c r="B15" s="104"/>
      <c r="C15" s="104"/>
      <c r="D15" s="104"/>
      <c r="E15" s="104"/>
      <c r="F15" s="162"/>
      <c r="G15" s="146" t="s">
        <v>10</v>
      </c>
      <c r="H15" s="284" t="s">
        <v>270</v>
      </c>
      <c r="I15" s="285"/>
    </row>
    <row r="16" spans="1:10" s="113" customFormat="1" ht="18">
      <c r="A16" s="130"/>
      <c r="B16" s="104"/>
      <c r="C16" s="104"/>
      <c r="E16" s="104"/>
      <c r="F16" s="162"/>
      <c r="G16" s="146" t="s">
        <v>12</v>
      </c>
      <c r="H16" s="284" t="s">
        <v>947</v>
      </c>
      <c r="I16" s="285"/>
    </row>
    <row r="17" spans="1:13" s="113" customFormat="1" ht="18">
      <c r="F17" s="286"/>
      <c r="G17" s="146" t="s">
        <v>16</v>
      </c>
      <c r="H17" s="284" t="s">
        <v>271</v>
      </c>
      <c r="I17" s="285"/>
    </row>
    <row r="18" spans="1:13" s="113" customFormat="1" ht="18">
      <c r="F18" s="286"/>
      <c r="G18" s="146" t="s">
        <v>19</v>
      </c>
      <c r="H18" s="284" t="s">
        <v>948</v>
      </c>
      <c r="I18" s="285"/>
    </row>
    <row r="19" spans="1:13" s="113" customFormat="1" ht="18">
      <c r="F19" s="121"/>
      <c r="G19" s="146" t="s">
        <v>20</v>
      </c>
      <c r="H19" s="284" t="s">
        <v>946</v>
      </c>
      <c r="I19" s="285"/>
    </row>
    <row r="20" spans="1:13" s="113" customFormat="1" ht="15.75" customHeight="1">
      <c r="D20" s="136"/>
      <c r="E20" s="136"/>
      <c r="F20" s="121"/>
      <c r="G20" s="146" t="s">
        <v>21</v>
      </c>
      <c r="H20" s="284" t="s">
        <v>949</v>
      </c>
      <c r="I20" s="285"/>
    </row>
    <row r="21" spans="1:13" s="113" customFormat="1" ht="18">
      <c r="D21" s="136"/>
      <c r="E21" s="136"/>
      <c r="F21" s="121"/>
      <c r="G21" s="146" t="s">
        <v>22</v>
      </c>
      <c r="H21" s="284" t="s">
        <v>950</v>
      </c>
      <c r="I21" s="285"/>
    </row>
    <row r="22" spans="1:13" s="113" customFormat="1" ht="18">
      <c r="D22" s="136"/>
      <c r="E22" s="136"/>
      <c r="F22" s="121"/>
      <c r="G22" s="146"/>
      <c r="H22" s="284"/>
      <c r="I22" s="285"/>
    </row>
    <row r="23" spans="1:13" s="113" customFormat="1" ht="12.6" customHeight="1" thickBot="1">
      <c r="D23" s="136"/>
      <c r="E23" s="136"/>
      <c r="F23" s="289"/>
      <c r="G23" s="290"/>
      <c r="H23" s="284"/>
      <c r="I23" s="285"/>
    </row>
    <row r="24" spans="1:13" s="301" customFormat="1" ht="18">
      <c r="A24" s="130"/>
      <c r="B24" s="130"/>
      <c r="C24" s="130"/>
      <c r="D24" s="669"/>
      <c r="E24" s="1231" t="s">
        <v>23</v>
      </c>
      <c r="F24" s="1232"/>
      <c r="G24" s="1232"/>
      <c r="H24" s="1233"/>
      <c r="I24" s="669"/>
      <c r="J24" s="669"/>
      <c r="K24" s="677"/>
      <c r="L24" s="669"/>
      <c r="M24" s="669"/>
    </row>
    <row r="25" spans="1:13" s="301" customFormat="1" ht="17.45" customHeight="1">
      <c r="A25" s="130"/>
      <c r="B25" s="130"/>
      <c r="C25" s="130"/>
      <c r="D25" s="105"/>
      <c r="E25" s="1237" t="s">
        <v>3557</v>
      </c>
      <c r="F25" s="1238"/>
      <c r="G25" s="1238"/>
      <c r="H25" s="1239"/>
      <c r="I25" s="104"/>
      <c r="J25" s="104"/>
      <c r="K25" s="678"/>
    </row>
    <row r="26" spans="1:13" s="301" customFormat="1" ht="17.45" customHeight="1">
      <c r="A26" s="130"/>
      <c r="B26" s="130"/>
      <c r="C26" s="130"/>
      <c r="D26" s="105"/>
      <c r="E26" s="1240" t="s">
        <v>160</v>
      </c>
      <c r="F26" s="1241"/>
      <c r="G26" s="1256" t="s">
        <v>161</v>
      </c>
      <c r="H26" s="1257"/>
      <c r="I26" s="668"/>
      <c r="J26" s="668"/>
      <c r="K26" s="678"/>
    </row>
    <row r="27" spans="1:13" s="301" customFormat="1" ht="17.45" customHeight="1">
      <c r="A27" s="130"/>
      <c r="B27" s="130"/>
      <c r="C27" s="130"/>
      <c r="D27" s="105"/>
      <c r="E27" s="1240" t="s">
        <v>163</v>
      </c>
      <c r="F27" s="1241"/>
      <c r="G27" s="1259">
        <v>50</v>
      </c>
      <c r="H27" s="1260"/>
      <c r="I27" s="104"/>
      <c r="J27" s="104"/>
      <c r="K27" s="678"/>
    </row>
    <row r="28" spans="1:13" s="301" customFormat="1" ht="17.45" customHeight="1">
      <c r="A28" s="130"/>
      <c r="B28" s="130"/>
      <c r="C28" s="130"/>
      <c r="D28" s="105"/>
      <c r="E28" s="1240" t="s">
        <v>164</v>
      </c>
      <c r="F28" s="1241"/>
      <c r="G28" s="1256" t="s">
        <v>4060</v>
      </c>
      <c r="H28" s="1257"/>
      <c r="I28" s="519"/>
      <c r="J28" s="519"/>
      <c r="K28" s="678"/>
    </row>
    <row r="29" spans="1:13" s="301" customFormat="1" ht="17.649999999999999" customHeight="1" thickBot="1">
      <c r="A29" s="130"/>
      <c r="B29" s="130"/>
      <c r="C29" s="130"/>
      <c r="D29" s="130"/>
      <c r="E29" s="1234" t="s">
        <v>92</v>
      </c>
      <c r="F29" s="1235"/>
      <c r="G29" s="1235"/>
      <c r="H29" s="1236"/>
      <c r="I29" s="130"/>
      <c r="J29" s="130"/>
      <c r="K29" s="678"/>
    </row>
    <row r="30" spans="1:13" s="113" customFormat="1" ht="12.75" customHeight="1">
      <c r="D30" s="136"/>
      <c r="E30" s="136"/>
      <c r="F30" s="143"/>
      <c r="G30" s="104"/>
      <c r="H30" s="104"/>
      <c r="I30" s="104"/>
      <c r="J30" s="104"/>
    </row>
    <row r="31" spans="1:13" s="113" customFormat="1" ht="12.75" customHeight="1">
      <c r="D31" s="136"/>
      <c r="E31" s="136"/>
      <c r="F31" s="143"/>
      <c r="G31" s="104"/>
      <c r="H31" s="104"/>
      <c r="I31" s="104"/>
      <c r="J31" s="104"/>
    </row>
    <row r="32" spans="1:13" s="113" customFormat="1" ht="12.75" customHeight="1">
      <c r="B32" s="140"/>
      <c r="C32" s="140"/>
      <c r="D32" s="136"/>
      <c r="E32" s="136"/>
      <c r="F32" s="136"/>
      <c r="G32" s="136"/>
      <c r="H32" s="136"/>
      <c r="I32" s="136"/>
      <c r="J32" s="135"/>
    </row>
    <row r="33" spans="2:10" s="113" customFormat="1" ht="12.75" customHeight="1">
      <c r="D33" s="136"/>
      <c r="E33" s="136"/>
      <c r="F33" s="143"/>
      <c r="G33" s="104"/>
      <c r="H33" s="104"/>
      <c r="I33" s="104"/>
      <c r="J33" s="104"/>
    </row>
    <row r="34" spans="2:10" s="113" customFormat="1" ht="12.75" customHeight="1">
      <c r="D34" s="136"/>
      <c r="E34" s="136"/>
      <c r="F34" s="143"/>
      <c r="G34" s="104"/>
      <c r="H34" s="104"/>
      <c r="I34" s="104"/>
      <c r="J34" s="104"/>
    </row>
    <row r="35" spans="2:10" s="113" customFormat="1" ht="18" customHeight="1" thickBot="1">
      <c r="C35" s="136"/>
      <c r="D35" s="135"/>
      <c r="E35" s="146"/>
      <c r="F35" s="104"/>
      <c r="G35" s="1013"/>
      <c r="H35" s="998"/>
      <c r="I35" s="149"/>
      <c r="J35" s="150"/>
    </row>
    <row r="36" spans="2:10" s="113" customFormat="1" ht="15.75" customHeight="1" thickBot="1">
      <c r="E36" s="1007" t="s">
        <v>167</v>
      </c>
      <c r="F36" s="1089"/>
      <c r="G36" s="1002"/>
      <c r="H36" s="1002"/>
      <c r="I36" s="1002"/>
      <c r="J36" s="1003"/>
    </row>
    <row r="37" spans="2:10" s="291" customFormat="1" ht="59.25" thickBot="1">
      <c r="D37" s="292" t="s">
        <v>123</v>
      </c>
      <c r="E37" s="292" t="s">
        <v>169</v>
      </c>
      <c r="F37" s="292" t="s">
        <v>170</v>
      </c>
      <c r="G37" s="292" t="s">
        <v>171</v>
      </c>
      <c r="H37" s="292" t="s">
        <v>172</v>
      </c>
      <c r="I37" s="292" t="s">
        <v>173</v>
      </c>
      <c r="J37" s="292" t="s">
        <v>174</v>
      </c>
    </row>
    <row r="38" spans="2:10" s="293" customFormat="1" ht="96.4" customHeight="1" thickBot="1">
      <c r="D38" s="294">
        <v>27</v>
      </c>
      <c r="E38" s="294"/>
      <c r="F38" s="578" t="s">
        <v>890</v>
      </c>
      <c r="G38" s="579" t="s">
        <v>891</v>
      </c>
      <c r="H38" s="297">
        <v>393.87</v>
      </c>
      <c r="I38" s="76">
        <f>SUM(H38:H38)*(1-15%)</f>
        <v>334.78949999999998</v>
      </c>
      <c r="J38" s="76">
        <f>I38*E38</f>
        <v>0</v>
      </c>
    </row>
    <row r="39" spans="2:10" ht="23.25">
      <c r="C39" s="166"/>
      <c r="D39" s="308"/>
      <c r="E39" s="1258" t="s">
        <v>183</v>
      </c>
      <c r="F39" s="979"/>
      <c r="G39" s="979"/>
      <c r="H39" s="979"/>
      <c r="I39" s="979"/>
      <c r="J39" s="29">
        <f>J38</f>
        <v>0</v>
      </c>
    </row>
    <row r="40" spans="2:10" ht="15.75">
      <c r="C40" s="166"/>
      <c r="D40" s="167"/>
      <c r="E40" s="168"/>
      <c r="F40" s="168"/>
    </row>
    <row r="41" spans="2:10" ht="15.75">
      <c r="C41" s="166"/>
      <c r="D41" s="167"/>
      <c r="E41" s="168"/>
      <c r="F41" s="168"/>
    </row>
    <row r="45" spans="2:10">
      <c r="B45" s="106"/>
      <c r="C45" s="106"/>
    </row>
  </sheetData>
  <mergeCells count="15">
    <mergeCell ref="E39:I39"/>
    <mergeCell ref="A4:J4"/>
    <mergeCell ref="A5:J5"/>
    <mergeCell ref="G10:I10"/>
    <mergeCell ref="G35:H35"/>
    <mergeCell ref="E36:J36"/>
    <mergeCell ref="E24:H24"/>
    <mergeCell ref="E25:H25"/>
    <mergeCell ref="E26:F26"/>
    <mergeCell ref="G26:H26"/>
    <mergeCell ref="E27:F27"/>
    <mergeCell ref="G27:H27"/>
    <mergeCell ref="E28:F28"/>
    <mergeCell ref="G28:H28"/>
    <mergeCell ref="E29:H29"/>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1">
    <tabColor rgb="FF006600"/>
  </sheetPr>
  <dimension ref="A1:M52"/>
  <sheetViews>
    <sheetView topLeftCell="A13" zoomScale="65" zoomScaleNormal="65" workbookViewId="0">
      <selection activeCell="I38" sqref="I38"/>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8.28515625" style="165" customWidth="1"/>
    <col min="7" max="7" width="54.5703125" style="165" customWidth="1"/>
    <col min="8" max="8" width="22.42578125" style="104" customWidth="1"/>
    <col min="9" max="9" width="20.85546875" style="104" customWidth="1"/>
    <col min="10" max="10" width="23" style="104" customWidth="1"/>
    <col min="11" max="11" width="13.140625" style="104" bestFit="1" customWidth="1"/>
    <col min="12" max="16384" width="8.85546875" style="104"/>
  </cols>
  <sheetData>
    <row r="1" spans="1:10" ht="13.5" thickBot="1">
      <c r="B1" s="105"/>
      <c r="C1" s="105"/>
      <c r="D1" s="106"/>
      <c r="E1" s="106"/>
      <c r="F1" s="107"/>
      <c r="G1" s="107"/>
      <c r="H1" s="107"/>
      <c r="I1" s="107"/>
      <c r="J1" s="107"/>
    </row>
    <row r="2" spans="1:10" ht="9" customHeight="1">
      <c r="A2" s="108"/>
      <c r="B2" s="109"/>
      <c r="C2" s="109"/>
      <c r="D2" s="110"/>
      <c r="E2" s="110"/>
      <c r="F2" s="111"/>
      <c r="G2" s="111"/>
      <c r="H2" s="111"/>
      <c r="I2" s="112"/>
      <c r="J2" s="112"/>
    </row>
    <row r="3" spans="1:10" ht="10.5" customHeight="1">
      <c r="B3" s="105"/>
      <c r="C3" s="105"/>
      <c r="D3" s="106"/>
      <c r="E3" s="106"/>
      <c r="F3" s="107"/>
      <c r="G3" s="107"/>
      <c r="H3" s="107"/>
      <c r="I3" s="113"/>
      <c r="J3" s="113"/>
    </row>
    <row r="4" spans="1:10" ht="34.5">
      <c r="A4" s="1242" t="s">
        <v>1153</v>
      </c>
      <c r="B4" s="979"/>
      <c r="C4" s="979"/>
      <c r="D4" s="979"/>
      <c r="E4" s="979"/>
      <c r="F4" s="979"/>
      <c r="G4" s="979"/>
      <c r="H4" s="979"/>
      <c r="I4" s="979"/>
      <c r="J4" s="979"/>
    </row>
    <row r="5" spans="1:10" s="114" customFormat="1" ht="58.5" customHeight="1">
      <c r="A5" s="1243" t="s">
        <v>1164</v>
      </c>
      <c r="B5" s="1244"/>
      <c r="C5" s="1244"/>
      <c r="D5" s="1244"/>
      <c r="E5" s="1244"/>
      <c r="F5" s="1244"/>
      <c r="G5" s="1244"/>
      <c r="H5" s="1244"/>
      <c r="I5" s="1244"/>
      <c r="J5" s="1244"/>
    </row>
    <row r="6" spans="1:10" ht="9" customHeight="1" thickBot="1">
      <c r="A6" s="115"/>
      <c r="B6" s="116"/>
      <c r="C6" s="116"/>
      <c r="D6" s="117"/>
      <c r="E6" s="117"/>
      <c r="F6" s="118"/>
      <c r="G6" s="118"/>
      <c r="H6" s="118"/>
      <c r="I6" s="119"/>
      <c r="J6" s="119"/>
    </row>
    <row r="9" spans="1:10" s="113" customFormat="1" ht="14.25">
      <c r="B9" s="120"/>
      <c r="C9" s="120"/>
      <c r="D9" s="121"/>
      <c r="E9" s="121"/>
      <c r="F9" s="121"/>
      <c r="G9" s="121"/>
      <c r="H9" s="121"/>
      <c r="I9" s="121"/>
      <c r="J9" s="121"/>
    </row>
    <row r="10" spans="1:10" s="113" customFormat="1" ht="18">
      <c r="F10" s="173"/>
      <c r="G10" s="1245" t="s">
        <v>3</v>
      </c>
      <c r="H10" s="1245"/>
      <c r="I10" s="1245"/>
    </row>
    <row r="11" spans="1:10" s="113" customFormat="1" ht="18">
      <c r="F11" s="156"/>
      <c r="G11" s="146" t="s">
        <v>4</v>
      </c>
      <c r="H11" s="284" t="s">
        <v>90</v>
      </c>
      <c r="I11" s="285"/>
    </row>
    <row r="12" spans="1:10" s="113" customFormat="1" ht="18">
      <c r="F12" s="156"/>
      <c r="G12" s="146" t="s">
        <v>5</v>
      </c>
      <c r="H12" s="284" t="s">
        <v>3425</v>
      </c>
      <c r="I12" s="285"/>
    </row>
    <row r="13" spans="1:10" s="113" customFormat="1" ht="18">
      <c r="F13" s="286"/>
      <c r="G13" s="146" t="s">
        <v>8</v>
      </c>
      <c r="H13" s="287">
        <v>150000</v>
      </c>
      <c r="I13" s="288"/>
    </row>
    <row r="14" spans="1:10" s="113" customFormat="1" ht="18">
      <c r="F14" s="286"/>
      <c r="G14" s="146" t="s">
        <v>9</v>
      </c>
      <c r="H14" s="284" t="s">
        <v>3432</v>
      </c>
      <c r="I14" s="285"/>
    </row>
    <row r="15" spans="1:10" s="113" customFormat="1" ht="18">
      <c r="A15" s="128"/>
      <c r="B15" s="104"/>
      <c r="C15" s="104"/>
      <c r="D15" s="104"/>
      <c r="E15" s="104"/>
      <c r="F15" s="162"/>
      <c r="G15" s="146" t="s">
        <v>10</v>
      </c>
      <c r="H15" s="284" t="s">
        <v>128</v>
      </c>
      <c r="I15" s="285"/>
    </row>
    <row r="16" spans="1:10" s="113" customFormat="1" ht="18">
      <c r="A16" s="130"/>
      <c r="B16" s="104"/>
      <c r="C16" s="104"/>
      <c r="E16" s="104"/>
      <c r="F16" s="162"/>
      <c r="G16" s="146" t="s">
        <v>12</v>
      </c>
      <c r="H16" s="284" t="s">
        <v>3433</v>
      </c>
      <c r="I16" s="285"/>
    </row>
    <row r="17" spans="1:13" s="113" customFormat="1" ht="18">
      <c r="F17" s="286"/>
      <c r="G17" s="146" t="s">
        <v>16</v>
      </c>
      <c r="H17" s="284" t="s">
        <v>17</v>
      </c>
      <c r="I17" s="285"/>
    </row>
    <row r="18" spans="1:13" s="113" customFormat="1" ht="18">
      <c r="F18" s="286"/>
      <c r="G18" s="146" t="s">
        <v>18</v>
      </c>
      <c r="H18" s="284" t="s">
        <v>249</v>
      </c>
      <c r="I18" s="285"/>
    </row>
    <row r="19" spans="1:13" s="113" customFormat="1" ht="18">
      <c r="F19" s="121"/>
      <c r="G19" s="146" t="s">
        <v>19</v>
      </c>
      <c r="H19" s="284" t="s">
        <v>3417</v>
      </c>
      <c r="I19" s="285"/>
    </row>
    <row r="20" spans="1:13" s="113" customFormat="1" ht="15.75" customHeight="1">
      <c r="D20" s="136"/>
      <c r="E20" s="136"/>
      <c r="F20" s="121"/>
      <c r="G20" s="146" t="s">
        <v>20</v>
      </c>
      <c r="H20" s="284" t="s">
        <v>191</v>
      </c>
      <c r="I20" s="285"/>
    </row>
    <row r="21" spans="1:13" s="113" customFormat="1" ht="18">
      <c r="D21" s="136"/>
      <c r="E21" s="136"/>
      <c r="F21" s="121"/>
      <c r="G21" s="146" t="s">
        <v>21</v>
      </c>
      <c r="H21" s="284" t="s">
        <v>3434</v>
      </c>
      <c r="I21" s="285"/>
    </row>
    <row r="22" spans="1:13" s="113" customFormat="1" ht="18">
      <c r="D22" s="136"/>
      <c r="E22" s="136"/>
      <c r="F22" s="121"/>
      <c r="G22" s="146" t="s">
        <v>22</v>
      </c>
      <c r="H22" s="284" t="s">
        <v>3435</v>
      </c>
      <c r="I22" s="285"/>
    </row>
    <row r="23" spans="1:13" s="113" customFormat="1" ht="12.6" customHeight="1" thickBot="1">
      <c r="D23" s="136"/>
      <c r="E23" s="136"/>
      <c r="F23" s="289"/>
      <c r="G23" s="290"/>
      <c r="H23" s="284"/>
      <c r="I23" s="285"/>
    </row>
    <row r="24" spans="1:13" s="301" customFormat="1" ht="18">
      <c r="A24" s="130"/>
      <c r="B24" s="130"/>
      <c r="C24" s="130"/>
      <c r="D24" s="669"/>
      <c r="E24" s="1231" t="s">
        <v>23</v>
      </c>
      <c r="F24" s="1232"/>
      <c r="G24" s="1232"/>
      <c r="H24" s="1233"/>
      <c r="I24" s="669"/>
      <c r="J24" s="669"/>
      <c r="K24" s="677"/>
      <c r="L24" s="669"/>
      <c r="M24" s="669"/>
    </row>
    <row r="25" spans="1:13" s="301" customFormat="1" ht="17.45" customHeight="1">
      <c r="A25" s="130"/>
      <c r="B25" s="130"/>
      <c r="C25" s="130"/>
      <c r="D25" s="105"/>
      <c r="E25" s="1237" t="s">
        <v>3558</v>
      </c>
      <c r="F25" s="1238"/>
      <c r="G25" s="1238"/>
      <c r="H25" s="1239"/>
      <c r="I25" s="104"/>
      <c r="J25" s="104"/>
      <c r="K25" s="678"/>
    </row>
    <row r="26" spans="1:13" s="301" customFormat="1" ht="17.45" customHeight="1">
      <c r="A26" s="130"/>
      <c r="B26" s="130"/>
      <c r="C26" s="130"/>
      <c r="D26" s="105"/>
      <c r="E26" s="1240" t="s">
        <v>160</v>
      </c>
      <c r="F26" s="1241"/>
      <c r="G26" s="1256" t="s">
        <v>161</v>
      </c>
      <c r="H26" s="1257"/>
      <c r="I26" s="668"/>
      <c r="J26" s="668"/>
      <c r="K26" s="678"/>
    </row>
    <row r="27" spans="1:13" s="301" customFormat="1" ht="17.45" customHeight="1">
      <c r="A27" s="130"/>
      <c r="B27" s="130"/>
      <c r="C27" s="130"/>
      <c r="D27" s="105"/>
      <c r="E27" s="1240" t="s">
        <v>163</v>
      </c>
      <c r="F27" s="1241"/>
      <c r="G27" s="1259">
        <v>300</v>
      </c>
      <c r="H27" s="1260"/>
      <c r="I27" s="104"/>
      <c r="J27" s="104"/>
      <c r="K27" s="678"/>
    </row>
    <row r="28" spans="1:13" s="301" customFormat="1" ht="17.45" customHeight="1">
      <c r="A28" s="130"/>
      <c r="B28" s="130"/>
      <c r="C28" s="130"/>
      <c r="D28" s="105"/>
      <c r="E28" s="1240" t="s">
        <v>164</v>
      </c>
      <c r="F28" s="1241"/>
      <c r="G28" s="1256" t="s">
        <v>4060</v>
      </c>
      <c r="H28" s="1257"/>
      <c r="I28" s="519"/>
      <c r="J28" s="519"/>
      <c r="K28" s="678"/>
    </row>
    <row r="29" spans="1:13" s="301" customFormat="1" ht="17.649999999999999" customHeight="1" thickBot="1">
      <c r="A29" s="130"/>
      <c r="B29" s="130"/>
      <c r="C29" s="130"/>
      <c r="D29" s="130"/>
      <c r="E29" s="1234" t="s">
        <v>92</v>
      </c>
      <c r="F29" s="1235"/>
      <c r="G29" s="1235"/>
      <c r="H29" s="1236"/>
      <c r="I29" s="130"/>
      <c r="J29" s="130"/>
      <c r="K29" s="678"/>
    </row>
    <row r="30" spans="1:13" s="113" customFormat="1" ht="12.75" customHeight="1">
      <c r="D30" s="136"/>
      <c r="E30" s="136"/>
      <c r="F30" s="143"/>
      <c r="G30" s="104"/>
      <c r="H30" s="104"/>
      <c r="I30" s="104"/>
      <c r="J30" s="104"/>
    </row>
    <row r="31" spans="1:13" s="113" customFormat="1" ht="12.75" customHeight="1">
      <c r="D31" s="136"/>
      <c r="E31" s="136"/>
      <c r="F31" s="143"/>
      <c r="G31" s="104"/>
      <c r="H31" s="104"/>
      <c r="I31" s="104"/>
      <c r="J31" s="104"/>
    </row>
    <row r="32" spans="1:13" s="113" customFormat="1" ht="12.75" customHeight="1">
      <c r="B32" s="140"/>
      <c r="C32" s="140"/>
      <c r="D32" s="136"/>
      <c r="E32" s="136"/>
      <c r="F32" s="136"/>
      <c r="G32" s="136"/>
      <c r="H32" s="136"/>
      <c r="I32" s="136"/>
      <c r="J32" s="135"/>
    </row>
    <row r="33" spans="1:11" s="113" customFormat="1" ht="12.75" customHeight="1">
      <c r="D33" s="136"/>
      <c r="E33" s="136"/>
      <c r="F33" s="143"/>
      <c r="G33" s="104"/>
      <c r="H33" s="104"/>
      <c r="I33" s="104"/>
      <c r="J33" s="104"/>
    </row>
    <row r="34" spans="1:11" s="113" customFormat="1" ht="12.75" customHeight="1">
      <c r="D34" s="136"/>
      <c r="E34" s="136"/>
      <c r="F34" s="143"/>
      <c r="G34" s="104"/>
      <c r="H34" s="104"/>
      <c r="I34" s="104"/>
      <c r="J34" s="104"/>
    </row>
    <row r="35" spans="1:11" s="113" customFormat="1" ht="18" customHeight="1" thickBot="1">
      <c r="C35" s="136"/>
      <c r="D35" s="135"/>
      <c r="E35" s="146"/>
      <c r="F35" s="104"/>
      <c r="G35" s="1013"/>
      <c r="H35" s="998"/>
      <c r="I35" s="149"/>
      <c r="J35" s="150"/>
    </row>
    <row r="36" spans="1:11" s="113" customFormat="1" ht="15.75" customHeight="1" thickBot="1">
      <c r="E36" s="1007" t="s">
        <v>167</v>
      </c>
      <c r="F36" s="1089"/>
      <c r="G36" s="1002"/>
      <c r="H36" s="1002"/>
      <c r="I36" s="1002"/>
      <c r="J36" s="1003"/>
    </row>
    <row r="37" spans="1:11" s="291" customFormat="1" ht="59.25" thickBot="1">
      <c r="D37" s="292" t="s">
        <v>123</v>
      </c>
      <c r="E37" s="292" t="s">
        <v>169</v>
      </c>
      <c r="F37" s="292" t="s">
        <v>170</v>
      </c>
      <c r="G37" s="292" t="s">
        <v>171</v>
      </c>
      <c r="H37" s="292" t="s">
        <v>172</v>
      </c>
      <c r="I37" s="292" t="s">
        <v>173</v>
      </c>
      <c r="J37" s="292" t="s">
        <v>174</v>
      </c>
    </row>
    <row r="38" spans="1:11" s="293" customFormat="1" ht="21" thickBot="1">
      <c r="D38" s="294">
        <v>28</v>
      </c>
      <c r="E38" s="294"/>
      <c r="F38" s="295" t="s">
        <v>1154</v>
      </c>
      <c r="G38" s="296" t="s">
        <v>1155</v>
      </c>
      <c r="H38" s="297">
        <v>3089.36</v>
      </c>
      <c r="I38" s="76">
        <f>SUM(H38:H38)*(1-50%)</f>
        <v>1544.68</v>
      </c>
      <c r="J38" s="76">
        <f>I38*E38</f>
        <v>0</v>
      </c>
    </row>
    <row r="39" spans="1:11" s="301" customFormat="1" ht="19.5" thickBot="1">
      <c r="A39" s="299"/>
      <c r="B39" s="300"/>
      <c r="C39" s="300"/>
      <c r="D39" s="1246" t="s">
        <v>182</v>
      </c>
      <c r="E39" s="1247"/>
      <c r="F39" s="1247"/>
      <c r="G39" s="1247"/>
      <c r="H39" s="1247"/>
      <c r="I39" s="1247"/>
      <c r="J39" s="1247"/>
    </row>
    <row r="40" spans="1:11" s="301" customFormat="1" ht="19.5" thickBot="1">
      <c r="A40" s="299"/>
      <c r="B40" s="300"/>
      <c r="C40" s="300"/>
      <c r="D40" s="1248"/>
      <c r="E40" s="670"/>
      <c r="F40" s="681" t="s">
        <v>1160</v>
      </c>
      <c r="G40" s="682" t="s">
        <v>1065</v>
      </c>
      <c r="H40" s="683">
        <v>400.58762886597941</v>
      </c>
      <c r="I40" s="674">
        <f t="shared" ref="I40:I45" si="0">H40*(1-10%)</f>
        <v>360.52886597938146</v>
      </c>
      <c r="J40" s="674">
        <f t="shared" ref="J40:J45" si="1">I40*E40</f>
        <v>0</v>
      </c>
      <c r="K40" s="739"/>
    </row>
    <row r="41" spans="1:11" s="301" customFormat="1" ht="19.5" thickBot="1">
      <c r="A41" s="299"/>
      <c r="B41" s="300"/>
      <c r="C41" s="300"/>
      <c r="D41" s="1248"/>
      <c r="E41" s="302"/>
      <c r="F41" s="303" t="s">
        <v>1161</v>
      </c>
      <c r="G41" s="304" t="s">
        <v>1156</v>
      </c>
      <c r="H41" s="305">
        <v>396.17525773195882</v>
      </c>
      <c r="I41" s="27">
        <f t="shared" si="0"/>
        <v>356.55773195876293</v>
      </c>
      <c r="J41" s="27">
        <f t="shared" si="1"/>
        <v>0</v>
      </c>
      <c r="K41" s="739"/>
    </row>
    <row r="42" spans="1:11" s="301" customFormat="1" ht="19.5" thickBot="1">
      <c r="A42" s="299"/>
      <c r="B42" s="300"/>
      <c r="C42" s="300"/>
      <c r="D42" s="1248"/>
      <c r="E42" s="302"/>
      <c r="F42" s="303" t="s">
        <v>1162</v>
      </c>
      <c r="G42" s="304" t="s">
        <v>1157</v>
      </c>
      <c r="H42" s="305">
        <v>234.16494845360825</v>
      </c>
      <c r="I42" s="27">
        <f t="shared" si="0"/>
        <v>210.74845360824742</v>
      </c>
      <c r="J42" s="27">
        <f t="shared" si="1"/>
        <v>0</v>
      </c>
      <c r="K42" s="739"/>
    </row>
    <row r="43" spans="1:11" s="301" customFormat="1" ht="19.5" thickBot="1">
      <c r="A43" s="299"/>
      <c r="B43" s="300"/>
      <c r="C43" s="300"/>
      <c r="D43" s="1248"/>
      <c r="E43" s="302"/>
      <c r="F43" s="303" t="s">
        <v>1163</v>
      </c>
      <c r="G43" s="304" t="s">
        <v>1158</v>
      </c>
      <c r="H43" s="305">
        <v>116.35051546391753</v>
      </c>
      <c r="I43" s="27">
        <f t="shared" si="0"/>
        <v>104.71546391752578</v>
      </c>
      <c r="J43" s="27"/>
      <c r="K43" s="739"/>
    </row>
    <row r="44" spans="1:11" s="301" customFormat="1" ht="19.5" thickBot="1">
      <c r="A44" s="299"/>
      <c r="B44" s="300"/>
      <c r="C44" s="300"/>
      <c r="D44" s="1248"/>
      <c r="E44" s="302"/>
      <c r="F44" s="303" t="s">
        <v>1152</v>
      </c>
      <c r="G44" s="304" t="s">
        <v>1159</v>
      </c>
      <c r="H44" s="305">
        <v>564.06185567010311</v>
      </c>
      <c r="I44" s="27">
        <f t="shared" si="0"/>
        <v>507.6556701030928</v>
      </c>
      <c r="J44" s="27">
        <f t="shared" si="1"/>
        <v>0</v>
      </c>
      <c r="K44" s="739"/>
    </row>
    <row r="45" spans="1:11" s="301" customFormat="1" ht="19.5" thickBot="1">
      <c r="A45" s="299"/>
      <c r="B45" s="300"/>
      <c r="C45" s="300"/>
      <c r="D45" s="1249"/>
      <c r="E45" s="302"/>
      <c r="F45" s="303" t="s">
        <v>1089</v>
      </c>
      <c r="G45" s="307" t="s">
        <v>1076</v>
      </c>
      <c r="H45" s="305">
        <v>41.237113402061858</v>
      </c>
      <c r="I45" s="27">
        <f t="shared" si="0"/>
        <v>37.113402061855673</v>
      </c>
      <c r="J45" s="27">
        <f t="shared" si="1"/>
        <v>0</v>
      </c>
      <c r="K45" s="739"/>
    </row>
    <row r="46" spans="1:11" ht="23.25">
      <c r="C46" s="166"/>
      <c r="D46" s="308"/>
      <c r="E46" s="1258" t="s">
        <v>183</v>
      </c>
      <c r="F46" s="979"/>
      <c r="G46" s="979"/>
      <c r="H46" s="979"/>
      <c r="I46" s="979"/>
      <c r="J46" s="29">
        <f>SUM(J40:J45)+J38</f>
        <v>0</v>
      </c>
    </row>
    <row r="47" spans="1:11" ht="15.75">
      <c r="C47" s="166"/>
      <c r="D47" s="167"/>
      <c r="E47" s="168"/>
      <c r="F47" s="168"/>
    </row>
    <row r="48" spans="1:11" ht="15.75">
      <c r="C48" s="166"/>
      <c r="D48" s="167"/>
      <c r="E48" s="168"/>
      <c r="F48" s="168"/>
    </row>
    <row r="52" spans="2:3">
      <c r="B52" s="106"/>
      <c r="C52" s="106"/>
    </row>
  </sheetData>
  <mergeCells count="17">
    <mergeCell ref="E46:I46"/>
    <mergeCell ref="D39:J39"/>
    <mergeCell ref="G26:H26"/>
    <mergeCell ref="E27:F27"/>
    <mergeCell ref="G27:H27"/>
    <mergeCell ref="E36:J36"/>
    <mergeCell ref="D40:D45"/>
    <mergeCell ref="E29:H29"/>
    <mergeCell ref="G35:H35"/>
    <mergeCell ref="A4:J4"/>
    <mergeCell ref="A5:J5"/>
    <mergeCell ref="G10:I10"/>
    <mergeCell ref="E24:H24"/>
    <mergeCell ref="E28:F28"/>
    <mergeCell ref="G28:H28"/>
    <mergeCell ref="E26:F26"/>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5">
    <tabColor rgb="FFFF0000"/>
  </sheetPr>
  <dimension ref="A1:M42"/>
  <sheetViews>
    <sheetView topLeftCell="A4" zoomScale="65" zoomScaleNormal="65" workbookViewId="0">
      <selection activeCell="H33" sqref="H33"/>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21.5703125" style="165" customWidth="1"/>
    <col min="7" max="7" width="54.5703125" style="165" customWidth="1"/>
    <col min="8" max="8" width="22.42578125" style="104" customWidth="1"/>
    <col min="9" max="9" width="20.85546875" style="104" customWidth="1"/>
    <col min="10" max="10" width="23" style="104" customWidth="1"/>
    <col min="11" max="16384" width="8.85546875" style="104"/>
  </cols>
  <sheetData>
    <row r="1" spans="1:10" ht="13.5" thickBot="1">
      <c r="B1" s="105"/>
      <c r="C1" s="105"/>
      <c r="D1" s="106"/>
      <c r="E1" s="106"/>
      <c r="F1" s="107"/>
      <c r="G1" s="107"/>
      <c r="H1" s="107"/>
      <c r="I1" s="107"/>
      <c r="J1" s="107"/>
    </row>
    <row r="2" spans="1:10" ht="9" customHeight="1">
      <c r="A2" s="108"/>
      <c r="B2" s="109"/>
      <c r="C2" s="109"/>
      <c r="D2" s="110"/>
      <c r="E2" s="110"/>
      <c r="F2" s="111"/>
      <c r="G2" s="111"/>
      <c r="H2" s="111"/>
      <c r="I2" s="112"/>
      <c r="J2" s="112"/>
    </row>
    <row r="3" spans="1:10" ht="10.5" customHeight="1">
      <c r="B3" s="105"/>
      <c r="C3" s="105"/>
      <c r="D3" s="106"/>
      <c r="E3" s="106"/>
      <c r="F3" s="107"/>
      <c r="G3" s="107"/>
      <c r="H3" s="107"/>
      <c r="I3" s="113"/>
      <c r="J3" s="113"/>
    </row>
    <row r="4" spans="1:10" ht="34.5">
      <c r="A4" s="1242" t="s">
        <v>895</v>
      </c>
      <c r="B4" s="979"/>
      <c r="C4" s="979"/>
      <c r="D4" s="979"/>
      <c r="E4" s="979"/>
      <c r="F4" s="979"/>
      <c r="G4" s="979"/>
      <c r="H4" s="979"/>
      <c r="I4" s="979"/>
      <c r="J4" s="979"/>
    </row>
    <row r="5" spans="1:10" s="114" customFormat="1" ht="58.5" customHeight="1">
      <c r="A5" s="1243" t="s">
        <v>894</v>
      </c>
      <c r="B5" s="1244"/>
      <c r="C5" s="1244"/>
      <c r="D5" s="1244"/>
      <c r="E5" s="1244"/>
      <c r="F5" s="1244"/>
      <c r="G5" s="1244"/>
      <c r="H5" s="1244"/>
      <c r="I5" s="1244"/>
      <c r="J5" s="1244"/>
    </row>
    <row r="6" spans="1:10" ht="9" customHeight="1" thickBot="1">
      <c r="A6" s="115"/>
      <c r="B6" s="116"/>
      <c r="C6" s="116"/>
      <c r="D6" s="117"/>
      <c r="E6" s="117"/>
      <c r="F6" s="118"/>
      <c r="G6" s="118"/>
      <c r="H6" s="118"/>
      <c r="I6" s="119"/>
      <c r="J6" s="119"/>
    </row>
    <row r="9" spans="1:10" s="113" customFormat="1" ht="14.25">
      <c r="B9" s="120"/>
      <c r="C9" s="120"/>
      <c r="D9" s="121"/>
      <c r="E9" s="121"/>
      <c r="F9" s="121"/>
      <c r="G9" s="121"/>
      <c r="H9" s="121"/>
      <c r="I9" s="121"/>
      <c r="J9" s="121"/>
    </row>
    <row r="10" spans="1:10" s="113" customFormat="1" ht="18">
      <c r="F10" s="173"/>
      <c r="G10" s="1245" t="s">
        <v>3</v>
      </c>
      <c r="H10" s="1245"/>
      <c r="I10" s="1245"/>
    </row>
    <row r="11" spans="1:10" s="113" customFormat="1" ht="18">
      <c r="F11" s="156"/>
      <c r="G11" s="146" t="s">
        <v>4</v>
      </c>
      <c r="H11" s="284" t="s">
        <v>269</v>
      </c>
      <c r="I11" s="285"/>
    </row>
    <row r="12" spans="1:10" s="113" customFormat="1" ht="18">
      <c r="F12" s="156"/>
      <c r="G12" s="146" t="s">
        <v>5</v>
      </c>
      <c r="H12" s="284" t="s">
        <v>190</v>
      </c>
      <c r="I12" s="285"/>
    </row>
    <row r="13" spans="1:10" s="113" customFormat="1" ht="18">
      <c r="F13" s="286"/>
      <c r="G13" s="146" t="s">
        <v>8</v>
      </c>
      <c r="H13" s="287">
        <v>50000</v>
      </c>
      <c r="I13" s="288"/>
    </row>
    <row r="14" spans="1:10" s="113" customFormat="1" ht="18">
      <c r="F14" s="286"/>
      <c r="G14" s="146" t="s">
        <v>9</v>
      </c>
      <c r="H14" s="284" t="s">
        <v>952</v>
      </c>
      <c r="I14" s="285"/>
    </row>
    <row r="15" spans="1:10" s="113" customFormat="1" ht="18">
      <c r="A15" s="128"/>
      <c r="B15" s="104"/>
      <c r="C15" s="104"/>
      <c r="D15" s="104"/>
      <c r="E15" s="104"/>
      <c r="F15" s="162"/>
      <c r="G15" s="146" t="s">
        <v>10</v>
      </c>
      <c r="H15" s="284" t="s">
        <v>257</v>
      </c>
      <c r="I15" s="285"/>
    </row>
    <row r="16" spans="1:10" s="113" customFormat="1" ht="18">
      <c r="A16" s="130"/>
      <c r="B16" s="104"/>
      <c r="C16" s="104"/>
      <c r="E16" s="104"/>
      <c r="F16" s="162"/>
      <c r="G16" s="146" t="s">
        <v>12</v>
      </c>
      <c r="H16" s="284" t="s">
        <v>951</v>
      </c>
      <c r="I16" s="285"/>
    </row>
    <row r="17" spans="1:13" s="113" customFormat="1" ht="18">
      <c r="F17" s="286"/>
      <c r="G17" s="146" t="s">
        <v>16</v>
      </c>
      <c r="H17" s="284" t="s">
        <v>271</v>
      </c>
      <c r="I17" s="285"/>
    </row>
    <row r="18" spans="1:13" s="113" customFormat="1" ht="18">
      <c r="F18" s="286"/>
      <c r="G18" s="146" t="s">
        <v>19</v>
      </c>
      <c r="H18" s="284" t="s">
        <v>948</v>
      </c>
      <c r="I18" s="285"/>
    </row>
    <row r="19" spans="1:13" s="113" customFormat="1" ht="18">
      <c r="F19" s="121"/>
      <c r="G19" s="146" t="s">
        <v>20</v>
      </c>
      <c r="H19" s="284" t="s">
        <v>953</v>
      </c>
      <c r="I19" s="285"/>
    </row>
    <row r="20" spans="1:13" s="113" customFormat="1" ht="15.75" customHeight="1">
      <c r="D20" s="136"/>
      <c r="E20" s="136"/>
      <c r="F20" s="121"/>
      <c r="G20" s="146" t="s">
        <v>21</v>
      </c>
      <c r="H20" s="284" t="s">
        <v>912</v>
      </c>
      <c r="I20" s="285"/>
    </row>
    <row r="21" spans="1:13" s="113" customFormat="1" ht="18">
      <c r="D21" s="136"/>
      <c r="E21" s="136"/>
      <c r="F21" s="121"/>
      <c r="G21" s="146" t="s">
        <v>22</v>
      </c>
      <c r="H21" s="284" t="s">
        <v>913</v>
      </c>
      <c r="I21" s="285"/>
    </row>
    <row r="22" spans="1:13" s="113" customFormat="1" ht="18.75" thickBot="1">
      <c r="D22" s="136"/>
      <c r="E22" s="136"/>
      <c r="F22" s="121"/>
      <c r="G22" s="146"/>
      <c r="H22" s="284"/>
      <c r="I22" s="285"/>
    </row>
    <row r="23" spans="1:13" s="301" customFormat="1" ht="18">
      <c r="A23" s="130"/>
      <c r="B23" s="130"/>
      <c r="C23" s="130"/>
      <c r="D23" s="669"/>
      <c r="E23" s="1231" t="s">
        <v>23</v>
      </c>
      <c r="F23" s="1232"/>
      <c r="G23" s="1232"/>
      <c r="H23" s="1233"/>
      <c r="I23" s="669"/>
      <c r="J23" s="669"/>
      <c r="K23" s="677"/>
      <c r="L23" s="669"/>
      <c r="M23" s="669"/>
    </row>
    <row r="24" spans="1:13" s="301" customFormat="1" ht="17.45" customHeight="1">
      <c r="A24" s="130"/>
      <c r="B24" s="130"/>
      <c r="C24" s="130"/>
      <c r="D24" s="105"/>
      <c r="E24" s="1237" t="s">
        <v>3558</v>
      </c>
      <c r="F24" s="1238"/>
      <c r="G24" s="1238"/>
      <c r="H24" s="1239"/>
      <c r="I24" s="104"/>
      <c r="J24" s="104"/>
      <c r="K24" s="678"/>
    </row>
    <row r="25" spans="1:13" s="301" customFormat="1" ht="17.45" customHeight="1">
      <c r="A25" s="130"/>
      <c r="B25" s="130"/>
      <c r="C25" s="130"/>
      <c r="D25" s="105"/>
      <c r="E25" s="1240" t="s">
        <v>160</v>
      </c>
      <c r="F25" s="1241"/>
      <c r="G25" s="1256" t="s">
        <v>161</v>
      </c>
      <c r="H25" s="1257"/>
      <c r="I25" s="668"/>
      <c r="J25" s="668"/>
      <c r="K25" s="678"/>
    </row>
    <row r="26" spans="1:13" s="301" customFormat="1" ht="17.45" customHeight="1">
      <c r="A26" s="130"/>
      <c r="B26" s="130"/>
      <c r="C26" s="130"/>
      <c r="D26" s="105"/>
      <c r="E26" s="1240" t="s">
        <v>163</v>
      </c>
      <c r="F26" s="1241"/>
      <c r="G26" s="1259">
        <v>50</v>
      </c>
      <c r="H26" s="1260"/>
      <c r="I26" s="104"/>
      <c r="J26" s="104"/>
      <c r="K26" s="678"/>
    </row>
    <row r="27" spans="1:13" s="301" customFormat="1" ht="17.45" customHeight="1">
      <c r="A27" s="130"/>
      <c r="B27" s="130"/>
      <c r="C27" s="130"/>
      <c r="D27" s="105"/>
      <c r="E27" s="1240" t="s">
        <v>164</v>
      </c>
      <c r="F27" s="1241"/>
      <c r="G27" s="1256" t="s">
        <v>4060</v>
      </c>
      <c r="H27" s="1257"/>
      <c r="I27" s="519"/>
      <c r="J27" s="519"/>
      <c r="K27" s="678"/>
    </row>
    <row r="28" spans="1:13" s="301" customFormat="1" ht="17.649999999999999" customHeight="1" thickBot="1">
      <c r="A28" s="130"/>
      <c r="B28" s="130"/>
      <c r="C28" s="130"/>
      <c r="D28" s="130"/>
      <c r="E28" s="1234" t="s">
        <v>92</v>
      </c>
      <c r="F28" s="1235"/>
      <c r="G28" s="1235"/>
      <c r="H28" s="1236"/>
      <c r="I28" s="130"/>
      <c r="J28" s="130"/>
      <c r="K28" s="678"/>
    </row>
    <row r="29" spans="1:13" s="113" customFormat="1" ht="12.75" customHeight="1">
      <c r="D29" s="136"/>
      <c r="E29" s="136"/>
      <c r="F29" s="143"/>
      <c r="G29" s="104"/>
      <c r="H29" s="104"/>
      <c r="I29" s="104"/>
      <c r="J29" s="104"/>
    </row>
    <row r="30" spans="1:13" s="113" customFormat="1" ht="18" customHeight="1" thickBot="1">
      <c r="C30" s="136"/>
      <c r="D30" s="135"/>
      <c r="E30" s="146"/>
      <c r="F30" s="104"/>
      <c r="G30" s="1013"/>
      <c r="H30" s="998"/>
      <c r="I30" s="149"/>
      <c r="J30" s="150"/>
    </row>
    <row r="31" spans="1:13" s="113" customFormat="1" ht="15.75" customHeight="1" thickBot="1">
      <c r="E31" s="1007" t="s">
        <v>167</v>
      </c>
      <c r="F31" s="1089"/>
      <c r="G31" s="1002"/>
      <c r="H31" s="1002"/>
      <c r="I31" s="1002"/>
      <c r="J31" s="1003"/>
    </row>
    <row r="32" spans="1:13" s="291" customFormat="1" ht="59.25" thickBot="1">
      <c r="D32" s="292" t="s">
        <v>123</v>
      </c>
      <c r="E32" s="292" t="s">
        <v>169</v>
      </c>
      <c r="F32" s="292" t="s">
        <v>170</v>
      </c>
      <c r="G32" s="292" t="s">
        <v>171</v>
      </c>
      <c r="H32" s="292" t="s">
        <v>172</v>
      </c>
      <c r="I32" s="292" t="s">
        <v>173</v>
      </c>
      <c r="J32" s="292" t="s">
        <v>174</v>
      </c>
    </row>
    <row r="33" spans="1:10" s="293" customFormat="1" ht="91.9" customHeight="1" thickBot="1">
      <c r="D33" s="294">
        <v>28</v>
      </c>
      <c r="E33" s="294"/>
      <c r="F33" s="295" t="s">
        <v>893</v>
      </c>
      <c r="G33" s="580" t="s">
        <v>895</v>
      </c>
      <c r="H33" s="297">
        <v>565.13</v>
      </c>
      <c r="I33" s="76">
        <f>SUM(H33:H33)*(1-30%)</f>
        <v>395.59099999999995</v>
      </c>
      <c r="J33" s="76">
        <f>I33*E33</f>
        <v>0</v>
      </c>
    </row>
    <row r="34" spans="1:10" s="301" customFormat="1" ht="19.5" thickBot="1">
      <c r="A34" s="299"/>
      <c r="B34" s="300"/>
      <c r="C34" s="300"/>
      <c r="D34" s="1246" t="s">
        <v>182</v>
      </c>
      <c r="E34" s="1247"/>
      <c r="F34" s="1247"/>
      <c r="G34" s="1247"/>
      <c r="H34" s="1247"/>
      <c r="I34" s="1247"/>
      <c r="J34" s="1247"/>
    </row>
    <row r="35" spans="1:10" s="589" customFormat="1" ht="21" thickBot="1">
      <c r="A35" s="581"/>
      <c r="B35" s="582"/>
      <c r="C35" s="582"/>
      <c r="D35" s="684"/>
      <c r="E35" s="685"/>
      <c r="F35" s="686" t="s">
        <v>896</v>
      </c>
      <c r="G35" s="687" t="s">
        <v>897</v>
      </c>
      <c r="H35" s="688">
        <v>185.4</v>
      </c>
      <c r="I35" s="689">
        <f>H35*(1-15%)</f>
        <v>157.59</v>
      </c>
      <c r="J35" s="689">
        <f>I35*E35</f>
        <v>0</v>
      </c>
    </row>
    <row r="36" spans="1:10" ht="23.25">
      <c r="C36" s="166"/>
      <c r="D36" s="308"/>
      <c r="E36" s="1258" t="s">
        <v>183</v>
      </c>
      <c r="F36" s="979"/>
      <c r="G36" s="979"/>
      <c r="H36" s="979"/>
      <c r="I36" s="979"/>
      <c r="J36" s="29">
        <f>SUM(J35:J35)+J33</f>
        <v>0</v>
      </c>
    </row>
    <row r="37" spans="1:10" ht="15.75">
      <c r="C37" s="166"/>
      <c r="D37" s="167"/>
      <c r="E37" s="168"/>
      <c r="F37" s="168"/>
    </row>
    <row r="38" spans="1:10" ht="15.75">
      <c r="C38" s="166"/>
      <c r="D38" s="167"/>
      <c r="E38" s="168"/>
      <c r="F38" s="168"/>
    </row>
    <row r="42" spans="1:10">
      <c r="B42" s="106"/>
      <c r="C42" s="106"/>
    </row>
  </sheetData>
  <mergeCells count="16">
    <mergeCell ref="E36:I36"/>
    <mergeCell ref="A4:J4"/>
    <mergeCell ref="A5:J5"/>
    <mergeCell ref="G10:I10"/>
    <mergeCell ref="G30:H30"/>
    <mergeCell ref="E31:J31"/>
    <mergeCell ref="E23:H23"/>
    <mergeCell ref="E24:H24"/>
    <mergeCell ref="E25:F25"/>
    <mergeCell ref="E28:H28"/>
    <mergeCell ref="D34:J34"/>
    <mergeCell ref="G25:H25"/>
    <mergeCell ref="E26:F26"/>
    <mergeCell ref="G26:H26"/>
    <mergeCell ref="E27:F27"/>
    <mergeCell ref="G27:H27"/>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2">
    <tabColor rgb="FF006600"/>
  </sheetPr>
  <dimension ref="A1:K54"/>
  <sheetViews>
    <sheetView topLeftCell="A14" zoomScale="73" zoomScaleNormal="73" workbookViewId="0">
      <selection activeCell="O37" sqref="O37"/>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18.28515625" style="165" customWidth="1"/>
    <col min="7" max="7" width="54.5703125" style="165" customWidth="1"/>
    <col min="8" max="8" width="22.42578125" style="104" customWidth="1"/>
    <col min="9" max="9" width="20.85546875" style="104" customWidth="1"/>
    <col min="10" max="10" width="23" style="104" customWidth="1"/>
    <col min="11" max="11" width="16" style="104" bestFit="1" customWidth="1"/>
    <col min="12" max="16384" width="8.85546875" style="104"/>
  </cols>
  <sheetData>
    <row r="1" spans="1:10" ht="13.5" thickBot="1">
      <c r="B1" s="105"/>
      <c r="C1" s="105"/>
      <c r="D1" s="106"/>
      <c r="E1" s="106"/>
      <c r="F1" s="107"/>
      <c r="G1" s="107"/>
      <c r="H1" s="107"/>
      <c r="I1" s="107"/>
      <c r="J1" s="107"/>
    </row>
    <row r="2" spans="1:10" ht="9" customHeight="1">
      <c r="A2" s="108"/>
      <c r="B2" s="109"/>
      <c r="C2" s="109"/>
      <c r="D2" s="110"/>
      <c r="E2" s="110"/>
      <c r="F2" s="111"/>
      <c r="G2" s="111"/>
      <c r="H2" s="111"/>
      <c r="I2" s="112"/>
      <c r="J2" s="112"/>
    </row>
    <row r="3" spans="1:10" ht="10.5" customHeight="1">
      <c r="B3" s="105"/>
      <c r="C3" s="105"/>
      <c r="D3" s="106"/>
      <c r="E3" s="106"/>
      <c r="F3" s="107"/>
      <c r="G3" s="107"/>
      <c r="H3" s="107"/>
      <c r="I3" s="113"/>
      <c r="J3" s="113"/>
    </row>
    <row r="4" spans="1:10" ht="34.5">
      <c r="A4" s="1242" t="s">
        <v>1165</v>
      </c>
      <c r="B4" s="979"/>
      <c r="C4" s="979"/>
      <c r="D4" s="979"/>
      <c r="E4" s="979"/>
      <c r="F4" s="979"/>
      <c r="G4" s="979"/>
      <c r="H4" s="979"/>
      <c r="I4" s="979"/>
      <c r="J4" s="979"/>
    </row>
    <row r="5" spans="1:10" s="114" customFormat="1" ht="58.5" customHeight="1">
      <c r="A5" s="1243" t="s">
        <v>1166</v>
      </c>
      <c r="B5" s="1244"/>
      <c r="C5" s="1244"/>
      <c r="D5" s="1244"/>
      <c r="E5" s="1244"/>
      <c r="F5" s="1244"/>
      <c r="G5" s="1244"/>
      <c r="H5" s="1244"/>
      <c r="I5" s="1244"/>
      <c r="J5" s="1244"/>
    </row>
    <row r="6" spans="1:10" ht="9" customHeight="1" thickBot="1">
      <c r="A6" s="115"/>
      <c r="B6" s="116"/>
      <c r="C6" s="116"/>
      <c r="D6" s="117"/>
      <c r="E6" s="117"/>
      <c r="F6" s="118"/>
      <c r="G6" s="118"/>
      <c r="H6" s="118"/>
      <c r="I6" s="119"/>
      <c r="J6" s="119"/>
    </row>
    <row r="9" spans="1:10" s="113" customFormat="1" ht="14.25">
      <c r="B9" s="120"/>
      <c r="C9" s="120"/>
      <c r="D9" s="121"/>
      <c r="E9" s="121"/>
      <c r="F9" s="121"/>
      <c r="G9" s="121"/>
      <c r="H9" s="121"/>
      <c r="I9" s="121"/>
      <c r="J9" s="121"/>
    </row>
    <row r="10" spans="1:10" s="113" customFormat="1" ht="18">
      <c r="F10" s="173"/>
      <c r="G10" s="1245" t="s">
        <v>3</v>
      </c>
      <c r="H10" s="1245"/>
      <c r="I10" s="1245"/>
    </row>
    <row r="11" spans="1:10" s="113" customFormat="1" ht="18">
      <c r="F11" s="156"/>
      <c r="G11" s="146" t="s">
        <v>4</v>
      </c>
      <c r="H11" s="284" t="s">
        <v>90</v>
      </c>
      <c r="I11" s="285"/>
    </row>
    <row r="12" spans="1:10" s="113" customFormat="1" ht="18">
      <c r="F12" s="156"/>
      <c r="G12" s="146" t="s">
        <v>5</v>
      </c>
      <c r="H12" s="284" t="s">
        <v>3425</v>
      </c>
      <c r="I12" s="285"/>
    </row>
    <row r="13" spans="1:10" s="113" customFormat="1" ht="18">
      <c r="F13" s="286"/>
      <c r="G13" s="146" t="s">
        <v>8</v>
      </c>
      <c r="H13" s="287">
        <v>200000</v>
      </c>
      <c r="I13" s="288"/>
    </row>
    <row r="14" spans="1:10" s="113" customFormat="1" ht="18">
      <c r="F14" s="286"/>
      <c r="G14" s="146" t="s">
        <v>9</v>
      </c>
      <c r="H14" s="284" t="s">
        <v>3438</v>
      </c>
      <c r="I14" s="285"/>
    </row>
    <row r="15" spans="1:10" s="113" customFormat="1" ht="18">
      <c r="A15" s="128"/>
      <c r="B15" s="104"/>
      <c r="C15" s="104"/>
      <c r="D15" s="104"/>
      <c r="E15" s="104"/>
      <c r="F15" s="162"/>
      <c r="G15" s="146" t="s">
        <v>10</v>
      </c>
      <c r="H15" s="284" t="s">
        <v>128</v>
      </c>
      <c r="I15" s="285"/>
    </row>
    <row r="16" spans="1:10" s="113" customFormat="1" ht="18">
      <c r="A16" s="130"/>
      <c r="B16" s="104"/>
      <c r="C16" s="104"/>
      <c r="E16" s="104"/>
      <c r="F16" s="162"/>
      <c r="G16" s="146" t="s">
        <v>12</v>
      </c>
      <c r="H16" s="284" t="s">
        <v>3439</v>
      </c>
      <c r="I16" s="285"/>
    </row>
    <row r="17" spans="1:10" s="113" customFormat="1" ht="18">
      <c r="F17" s="286"/>
      <c r="G17" s="146" t="s">
        <v>16</v>
      </c>
      <c r="H17" s="284" t="s">
        <v>17</v>
      </c>
      <c r="I17" s="285"/>
    </row>
    <row r="18" spans="1:10" s="113" customFormat="1" ht="18">
      <c r="F18" s="286"/>
      <c r="G18" s="146" t="s">
        <v>18</v>
      </c>
      <c r="H18" s="284" t="s">
        <v>3440</v>
      </c>
      <c r="I18" s="285"/>
    </row>
    <row r="19" spans="1:10" s="113" customFormat="1" ht="18">
      <c r="F19" s="121"/>
      <c r="G19" s="146" t="s">
        <v>19</v>
      </c>
      <c r="H19" s="284" t="s">
        <v>3417</v>
      </c>
      <c r="I19" s="285"/>
    </row>
    <row r="20" spans="1:10" s="113" customFormat="1" ht="15.75" customHeight="1">
      <c r="D20" s="136"/>
      <c r="E20" s="136"/>
      <c r="F20" s="121"/>
      <c r="G20" s="146" t="s">
        <v>20</v>
      </c>
      <c r="H20" s="284" t="s">
        <v>191</v>
      </c>
      <c r="I20" s="285"/>
    </row>
    <row r="21" spans="1:10" s="113" customFormat="1" ht="18">
      <c r="D21" s="136"/>
      <c r="E21" s="136"/>
      <c r="F21" s="121"/>
      <c r="G21" s="146" t="s">
        <v>21</v>
      </c>
      <c r="H21" s="284" t="s">
        <v>3436</v>
      </c>
      <c r="I21" s="285"/>
    </row>
    <row r="22" spans="1:10" s="113" customFormat="1" ht="18">
      <c r="D22" s="136"/>
      <c r="E22" s="136"/>
      <c r="F22" s="121"/>
      <c r="G22" s="146" t="s">
        <v>22</v>
      </c>
      <c r="H22" s="284" t="s">
        <v>3437</v>
      </c>
      <c r="I22" s="285"/>
    </row>
    <row r="23" spans="1:10" s="113" customFormat="1" ht="12.6" customHeight="1">
      <c r="D23" s="136"/>
      <c r="E23" s="136"/>
      <c r="F23" s="289"/>
      <c r="G23" s="290"/>
      <c r="H23" s="284"/>
      <c r="I23" s="285"/>
    </row>
    <row r="24" spans="1:10" s="113" customFormat="1" ht="12.75" customHeight="1" thickBot="1">
      <c r="B24" s="140"/>
      <c r="C24" s="140"/>
      <c r="D24" s="136"/>
      <c r="E24" s="136"/>
      <c r="F24" s="136"/>
      <c r="G24" s="136"/>
      <c r="H24" s="136"/>
      <c r="I24" s="136"/>
      <c r="J24" s="135"/>
    </row>
    <row r="25" spans="1:10" s="301" customFormat="1" ht="18">
      <c r="A25" s="130"/>
      <c r="B25" s="130"/>
      <c r="C25" s="130"/>
      <c r="D25" s="669"/>
      <c r="E25" s="1231" t="s">
        <v>23</v>
      </c>
      <c r="F25" s="1232"/>
      <c r="G25" s="1232"/>
      <c r="H25" s="1233"/>
      <c r="I25" s="669"/>
      <c r="J25" s="669"/>
    </row>
    <row r="26" spans="1:10" s="301" customFormat="1" ht="17.45" customHeight="1">
      <c r="A26" s="130"/>
      <c r="B26" s="130"/>
      <c r="C26" s="130"/>
      <c r="D26" s="105"/>
      <c r="E26" s="1237" t="s">
        <v>3559</v>
      </c>
      <c r="F26" s="1238"/>
      <c r="G26" s="1238"/>
      <c r="H26" s="1239"/>
      <c r="I26" s="104"/>
      <c r="J26" s="104"/>
    </row>
    <row r="27" spans="1:10" s="301" customFormat="1" ht="17.45" customHeight="1">
      <c r="A27" s="130"/>
      <c r="B27" s="130"/>
      <c r="C27" s="130"/>
      <c r="D27" s="105"/>
      <c r="E27" s="1240" t="s">
        <v>160</v>
      </c>
      <c r="F27" s="1241"/>
      <c r="G27" s="1256" t="s">
        <v>161</v>
      </c>
      <c r="H27" s="1257"/>
      <c r="I27" s="668"/>
      <c r="J27" s="668"/>
    </row>
    <row r="28" spans="1:10" s="301" customFormat="1" ht="17.45" customHeight="1">
      <c r="A28" s="130"/>
      <c r="B28" s="130"/>
      <c r="C28" s="130"/>
      <c r="D28" s="105"/>
      <c r="E28" s="1240" t="s">
        <v>163</v>
      </c>
      <c r="F28" s="1241"/>
      <c r="G28" s="1259">
        <v>300</v>
      </c>
      <c r="H28" s="1260"/>
      <c r="I28" s="104"/>
      <c r="J28" s="104"/>
    </row>
    <row r="29" spans="1:10" s="301" customFormat="1" ht="17.45" customHeight="1">
      <c r="A29" s="130"/>
      <c r="B29" s="130"/>
      <c r="C29" s="130"/>
      <c r="D29" s="105"/>
      <c r="E29" s="1240" t="s">
        <v>164</v>
      </c>
      <c r="F29" s="1241"/>
      <c r="G29" s="1256" t="s">
        <v>4060</v>
      </c>
      <c r="H29" s="1257"/>
      <c r="I29" s="519"/>
      <c r="J29" s="519"/>
    </row>
    <row r="30" spans="1:10" s="301" customFormat="1" ht="17.649999999999999" customHeight="1" thickBot="1">
      <c r="A30" s="130"/>
      <c r="B30" s="130"/>
      <c r="C30" s="130"/>
      <c r="D30" s="130"/>
      <c r="E30" s="1234" t="s">
        <v>92</v>
      </c>
      <c r="F30" s="1235"/>
      <c r="G30" s="1235"/>
      <c r="H30" s="1236"/>
      <c r="I30" s="130"/>
      <c r="J30" s="130"/>
    </row>
    <row r="31" spans="1:10" s="113" customFormat="1" ht="12.75" customHeight="1">
      <c r="D31" s="136"/>
      <c r="E31" s="136"/>
      <c r="F31" s="143"/>
      <c r="G31" s="104"/>
      <c r="H31" s="104"/>
      <c r="I31" s="104"/>
      <c r="J31" s="104"/>
    </row>
    <row r="32" spans="1:10" s="113" customFormat="1" ht="12.75" customHeight="1">
      <c r="B32" s="140"/>
      <c r="C32" s="140"/>
      <c r="D32" s="136"/>
      <c r="E32" s="136"/>
      <c r="F32" s="136"/>
      <c r="G32" s="136"/>
      <c r="H32" s="136"/>
      <c r="I32" s="136"/>
      <c r="J32" s="135"/>
    </row>
    <row r="33" spans="1:11" s="113" customFormat="1" ht="12.75" customHeight="1">
      <c r="D33" s="136"/>
      <c r="E33" s="136"/>
      <c r="F33" s="143"/>
      <c r="G33" s="104"/>
      <c r="H33" s="104"/>
      <c r="I33" s="104"/>
      <c r="J33" s="104"/>
    </row>
    <row r="34" spans="1:11" s="113" customFormat="1" ht="12.75" customHeight="1">
      <c r="D34" s="136"/>
      <c r="E34" s="136"/>
      <c r="F34" s="143"/>
      <c r="G34" s="104"/>
      <c r="H34" s="104"/>
      <c r="I34" s="104"/>
      <c r="J34" s="104"/>
    </row>
    <row r="35" spans="1:11" s="113" customFormat="1" ht="18" customHeight="1" thickBot="1">
      <c r="C35" s="136"/>
      <c r="D35" s="135"/>
      <c r="E35" s="146"/>
      <c r="F35" s="104"/>
      <c r="G35" s="1013"/>
      <c r="H35" s="998"/>
      <c r="I35" s="149"/>
      <c r="J35" s="150"/>
    </row>
    <row r="36" spans="1:11" s="113" customFormat="1" ht="15.75" customHeight="1" thickBot="1">
      <c r="E36" s="1007" t="s">
        <v>167</v>
      </c>
      <c r="F36" s="1089"/>
      <c r="G36" s="1002"/>
      <c r="H36" s="1002"/>
      <c r="I36" s="1002"/>
      <c r="J36" s="1003"/>
    </row>
    <row r="37" spans="1:11" s="291" customFormat="1" ht="59.25" thickBot="1">
      <c r="D37" s="292" t="s">
        <v>123</v>
      </c>
      <c r="E37" s="292" t="s">
        <v>169</v>
      </c>
      <c r="F37" s="292" t="s">
        <v>170</v>
      </c>
      <c r="G37" s="292" t="s">
        <v>171</v>
      </c>
      <c r="H37" s="292" t="s">
        <v>172</v>
      </c>
      <c r="I37" s="292" t="s">
        <v>173</v>
      </c>
      <c r="J37" s="292" t="s">
        <v>174</v>
      </c>
    </row>
    <row r="38" spans="1:11" s="293" customFormat="1" ht="21" thickBot="1">
      <c r="D38" s="294">
        <v>29</v>
      </c>
      <c r="E38" s="294"/>
      <c r="F38" s="295" t="s">
        <v>1168</v>
      </c>
      <c r="G38" s="296" t="s">
        <v>1167</v>
      </c>
      <c r="H38" s="297">
        <v>4446.7299999999996</v>
      </c>
      <c r="I38" s="76">
        <f>SUM(H38:H38)*(1-50%)</f>
        <v>2223.3649999999998</v>
      </c>
      <c r="J38" s="76">
        <f>I38*E38</f>
        <v>0</v>
      </c>
    </row>
    <row r="39" spans="1:11" s="301" customFormat="1" ht="19.5" thickBot="1">
      <c r="A39" s="299"/>
      <c r="B39" s="300"/>
      <c r="C39" s="300"/>
      <c r="D39" s="1246" t="s">
        <v>182</v>
      </c>
      <c r="E39" s="1247"/>
      <c r="F39" s="1247"/>
      <c r="G39" s="1247"/>
      <c r="H39" s="1247"/>
      <c r="I39" s="1247"/>
      <c r="J39" s="1247"/>
    </row>
    <row r="40" spans="1:11" s="301" customFormat="1" ht="19.5" thickBot="1">
      <c r="A40" s="299"/>
      <c r="B40" s="300"/>
      <c r="C40" s="300"/>
      <c r="D40" s="1248"/>
      <c r="E40" s="670"/>
      <c r="F40" s="681" t="s">
        <v>1175</v>
      </c>
      <c r="G40" s="682" t="s">
        <v>1169</v>
      </c>
      <c r="H40" s="683">
        <v>1191.4536082474228</v>
      </c>
      <c r="I40" s="674">
        <f>H40*(1-10%)</f>
        <v>1072.3082474226806</v>
      </c>
      <c r="J40" s="674">
        <f t="shared" ref="J40:J47" si="0">I40*E40</f>
        <v>0</v>
      </c>
      <c r="K40" s="739"/>
    </row>
    <row r="41" spans="1:11" s="301" customFormat="1" ht="19.5" thickBot="1">
      <c r="A41" s="299"/>
      <c r="B41" s="300"/>
      <c r="C41" s="300"/>
      <c r="D41" s="1248"/>
      <c r="E41" s="302"/>
      <c r="F41" s="303" t="s">
        <v>1176</v>
      </c>
      <c r="G41" s="304" t="s">
        <v>1065</v>
      </c>
      <c r="H41" s="305">
        <v>400.58762886597941</v>
      </c>
      <c r="I41" s="27">
        <f t="shared" ref="I41:I47" si="1">H41*(1-10%)</f>
        <v>360.52886597938146</v>
      </c>
      <c r="J41" s="27">
        <f t="shared" si="0"/>
        <v>0</v>
      </c>
      <c r="K41" s="739"/>
    </row>
    <row r="42" spans="1:11" s="301" customFormat="1" ht="19.5" thickBot="1">
      <c r="A42" s="299"/>
      <c r="B42" s="300"/>
      <c r="C42" s="300"/>
      <c r="D42" s="1248"/>
      <c r="E42" s="302"/>
      <c r="F42" s="303" t="s">
        <v>1177</v>
      </c>
      <c r="G42" s="304" t="s">
        <v>1170</v>
      </c>
      <c r="H42" s="305">
        <v>400.58762886597941</v>
      </c>
      <c r="I42" s="27">
        <f t="shared" si="1"/>
        <v>360.52886597938146</v>
      </c>
      <c r="J42" s="27">
        <f t="shared" si="0"/>
        <v>0</v>
      </c>
      <c r="K42" s="739"/>
    </row>
    <row r="43" spans="1:11" s="301" customFormat="1" ht="19.5" thickBot="1">
      <c r="A43" s="299"/>
      <c r="B43" s="300"/>
      <c r="C43" s="300"/>
      <c r="D43" s="1248"/>
      <c r="E43" s="302"/>
      <c r="F43" s="303" t="s">
        <v>1178</v>
      </c>
      <c r="G43" s="304" t="s">
        <v>1171</v>
      </c>
      <c r="H43" s="305">
        <v>462.44329896907215</v>
      </c>
      <c r="I43" s="27">
        <f>H43*(1-10%)</f>
        <v>416.19896907216491</v>
      </c>
      <c r="J43" s="27">
        <f>I43*E43</f>
        <v>0</v>
      </c>
      <c r="K43" s="739"/>
    </row>
    <row r="44" spans="1:11" s="301" customFormat="1" ht="19.5" thickBot="1">
      <c r="A44" s="299"/>
      <c r="B44" s="300"/>
      <c r="C44" s="300"/>
      <c r="D44" s="1248"/>
      <c r="E44" s="302"/>
      <c r="F44" s="303" t="s">
        <v>1152</v>
      </c>
      <c r="G44" s="304" t="s">
        <v>1172</v>
      </c>
      <c r="H44" s="305">
        <v>564.06185567010311</v>
      </c>
      <c r="I44" s="27">
        <f>H44*(1-10%)</f>
        <v>507.6556701030928</v>
      </c>
      <c r="J44" s="27">
        <f>I44*E44</f>
        <v>0</v>
      </c>
      <c r="K44" s="739"/>
    </row>
    <row r="45" spans="1:11" s="301" customFormat="1" ht="19.5" thickBot="1">
      <c r="A45" s="299"/>
      <c r="B45" s="300"/>
      <c r="C45" s="300"/>
      <c r="D45" s="1248"/>
      <c r="E45" s="302"/>
      <c r="F45" s="303" t="s">
        <v>1179</v>
      </c>
      <c r="G45" s="304" t="s">
        <v>1173</v>
      </c>
      <c r="H45" s="305">
        <v>462.44329896907215</v>
      </c>
      <c r="I45" s="27">
        <f t="shared" si="1"/>
        <v>416.19896907216491</v>
      </c>
      <c r="J45" s="27"/>
      <c r="K45" s="739"/>
    </row>
    <row r="46" spans="1:11" s="301" customFormat="1" ht="19.5" thickBot="1">
      <c r="A46" s="299"/>
      <c r="B46" s="300"/>
      <c r="C46" s="300"/>
      <c r="D46" s="1248"/>
      <c r="E46" s="302"/>
      <c r="F46" s="303" t="s">
        <v>1180</v>
      </c>
      <c r="G46" s="304" t="s">
        <v>1174</v>
      </c>
      <c r="H46" s="305">
        <v>131.0721649484536</v>
      </c>
      <c r="I46" s="27">
        <f t="shared" si="1"/>
        <v>117.96494845360824</v>
      </c>
      <c r="J46" s="27">
        <f t="shared" si="0"/>
        <v>0</v>
      </c>
      <c r="K46" s="739"/>
    </row>
    <row r="47" spans="1:11" s="301" customFormat="1" ht="19.5" thickBot="1">
      <c r="A47" s="299"/>
      <c r="B47" s="300"/>
      <c r="C47" s="300"/>
      <c r="D47" s="1249"/>
      <c r="E47" s="302"/>
      <c r="F47" s="303" t="s">
        <v>1089</v>
      </c>
      <c r="G47" s="307" t="s">
        <v>1076</v>
      </c>
      <c r="H47" s="305">
        <v>41.237113402061858</v>
      </c>
      <c r="I47" s="27">
        <f t="shared" si="1"/>
        <v>37.113402061855673</v>
      </c>
      <c r="J47" s="27">
        <f t="shared" si="0"/>
        <v>0</v>
      </c>
      <c r="K47" s="739"/>
    </row>
    <row r="48" spans="1:11" ht="23.25">
      <c r="C48" s="166"/>
      <c r="D48" s="308"/>
      <c r="E48" s="1258" t="s">
        <v>183</v>
      </c>
      <c r="F48" s="979"/>
      <c r="G48" s="979"/>
      <c r="H48" s="979"/>
      <c r="I48" s="979"/>
      <c r="J48" s="29">
        <f>SUM(J40:J47)+J38</f>
        <v>0</v>
      </c>
    </row>
    <row r="49" spans="2:6" ht="15.75">
      <c r="C49" s="166"/>
      <c r="D49" s="167"/>
      <c r="E49" s="168"/>
      <c r="F49" s="168"/>
    </row>
    <row r="50" spans="2:6" ht="15.75">
      <c r="C50" s="166"/>
      <c r="D50" s="167"/>
      <c r="E50" s="168"/>
      <c r="F50" s="168"/>
    </row>
    <row r="54" spans="2:6">
      <c r="B54" s="106"/>
      <c r="C54" s="106"/>
    </row>
  </sheetData>
  <mergeCells count="17">
    <mergeCell ref="E48:I48"/>
    <mergeCell ref="D39:J39"/>
    <mergeCell ref="G27:H27"/>
    <mergeCell ref="E28:F28"/>
    <mergeCell ref="G28:H28"/>
    <mergeCell ref="E36:J36"/>
    <mergeCell ref="D40:D47"/>
    <mergeCell ref="E30:H30"/>
    <mergeCell ref="G35:H35"/>
    <mergeCell ref="A4:J4"/>
    <mergeCell ref="A5:J5"/>
    <mergeCell ref="G10:I10"/>
    <mergeCell ref="E25:H25"/>
    <mergeCell ref="E29:F29"/>
    <mergeCell ref="G29:H29"/>
    <mergeCell ref="E27:F27"/>
    <mergeCell ref="E26:H26"/>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9">
    <tabColor rgb="FFFF0000"/>
  </sheetPr>
  <dimension ref="A1:M61"/>
  <sheetViews>
    <sheetView topLeftCell="A19" zoomScale="65" zoomScaleNormal="65" workbookViewId="0">
      <selection activeCell="P39" sqref="P39"/>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21.7109375" style="165" customWidth="1"/>
    <col min="7" max="7" width="54.5703125" style="165" customWidth="1"/>
    <col min="8" max="8" width="22.42578125" style="104" customWidth="1"/>
    <col min="9" max="9" width="20.85546875" style="104" customWidth="1"/>
    <col min="10" max="10" width="23" style="104" customWidth="1"/>
    <col min="11" max="16384" width="8.85546875" style="104"/>
  </cols>
  <sheetData>
    <row r="1" spans="1:10" ht="13.5" thickBot="1">
      <c r="B1" s="105"/>
      <c r="C1" s="105"/>
      <c r="D1" s="106"/>
      <c r="E1" s="106"/>
      <c r="F1" s="107"/>
      <c r="G1" s="107"/>
      <c r="H1" s="107"/>
      <c r="I1" s="107"/>
      <c r="J1" s="107"/>
    </row>
    <row r="2" spans="1:10" ht="9" customHeight="1">
      <c r="A2" s="108"/>
      <c r="B2" s="109"/>
      <c r="C2" s="109"/>
      <c r="D2" s="110"/>
      <c r="E2" s="110"/>
      <c r="F2" s="111"/>
      <c r="G2" s="111"/>
      <c r="H2" s="111"/>
      <c r="I2" s="112"/>
      <c r="J2" s="112"/>
    </row>
    <row r="3" spans="1:10" ht="10.5" customHeight="1">
      <c r="B3" s="105"/>
      <c r="C3" s="105"/>
      <c r="D3" s="106"/>
      <c r="E3" s="106"/>
      <c r="F3" s="107"/>
      <c r="G3" s="107"/>
      <c r="H3" s="107"/>
      <c r="I3" s="113"/>
      <c r="J3" s="113"/>
    </row>
    <row r="4" spans="1:10" ht="34.5">
      <c r="A4" s="1242" t="s">
        <v>4247</v>
      </c>
      <c r="B4" s="979"/>
      <c r="C4" s="979"/>
      <c r="D4" s="979"/>
      <c r="E4" s="979"/>
      <c r="F4" s="979"/>
      <c r="G4" s="979"/>
      <c r="H4" s="979"/>
      <c r="I4" s="979"/>
      <c r="J4" s="979"/>
    </row>
    <row r="5" spans="1:10" s="114" customFormat="1" ht="58.5" customHeight="1">
      <c r="A5" s="1243" t="s">
        <v>4243</v>
      </c>
      <c r="B5" s="1244"/>
      <c r="C5" s="1244"/>
      <c r="D5" s="1244"/>
      <c r="E5" s="1244"/>
      <c r="F5" s="1244"/>
      <c r="G5" s="1244"/>
      <c r="H5" s="1244"/>
      <c r="I5" s="1244"/>
      <c r="J5" s="1244"/>
    </row>
    <row r="6" spans="1:10" ht="9" customHeight="1" thickBot="1">
      <c r="A6" s="115"/>
      <c r="B6" s="116"/>
      <c r="C6" s="116"/>
      <c r="D6" s="117"/>
      <c r="E6" s="117"/>
      <c r="F6" s="118"/>
      <c r="G6" s="118"/>
      <c r="H6" s="118"/>
      <c r="I6" s="119"/>
      <c r="J6" s="119"/>
    </row>
    <row r="9" spans="1:10" s="113" customFormat="1" ht="14.25">
      <c r="B9" s="120"/>
      <c r="C9" s="120"/>
      <c r="D9" s="121"/>
      <c r="E9" s="121"/>
      <c r="F9" s="121"/>
      <c r="G9" s="121"/>
      <c r="H9" s="121"/>
      <c r="I9" s="121"/>
      <c r="J9" s="121"/>
    </row>
    <row r="10" spans="1:10" s="113" customFormat="1" ht="18">
      <c r="F10" s="173"/>
      <c r="G10" s="1245" t="s">
        <v>3</v>
      </c>
      <c r="H10" s="1245"/>
      <c r="I10" s="1245"/>
    </row>
    <row r="11" spans="1:10" s="113" customFormat="1" ht="18">
      <c r="F11" s="156"/>
      <c r="G11" s="146" t="s">
        <v>4</v>
      </c>
      <c r="H11" s="284" t="s">
        <v>269</v>
      </c>
      <c r="I11" s="285"/>
    </row>
    <row r="12" spans="1:10" s="113" customFormat="1" ht="18">
      <c r="F12" s="156"/>
      <c r="G12" s="146" t="s">
        <v>5</v>
      </c>
      <c r="H12" s="284" t="s">
        <v>190</v>
      </c>
      <c r="I12" s="285"/>
    </row>
    <row r="13" spans="1:10" s="113" customFormat="1" ht="18">
      <c r="F13" s="286"/>
      <c r="G13" s="146" t="s">
        <v>8</v>
      </c>
      <c r="H13" s="287">
        <v>80000</v>
      </c>
      <c r="I13" s="288"/>
    </row>
    <row r="14" spans="1:10" s="113" customFormat="1" ht="18">
      <c r="F14" s="286"/>
      <c r="G14" s="146" t="s">
        <v>9</v>
      </c>
      <c r="H14" s="284" t="s">
        <v>911</v>
      </c>
      <c r="I14" s="285"/>
    </row>
    <row r="15" spans="1:10" s="113" customFormat="1" ht="18">
      <c r="A15" s="128"/>
      <c r="B15" s="104"/>
      <c r="C15" s="104"/>
      <c r="D15" s="104"/>
      <c r="E15" s="104"/>
      <c r="F15" s="162"/>
      <c r="G15" s="146" t="s">
        <v>10</v>
      </c>
      <c r="H15" s="284" t="s">
        <v>270</v>
      </c>
      <c r="I15" s="285"/>
    </row>
    <row r="16" spans="1:10" s="113" customFormat="1" ht="18">
      <c r="A16" s="130"/>
      <c r="B16" s="104"/>
      <c r="C16" s="104"/>
      <c r="E16" s="104"/>
      <c r="F16" s="162"/>
      <c r="G16" s="146" t="s">
        <v>12</v>
      </c>
      <c r="H16" s="284" t="s">
        <v>4244</v>
      </c>
      <c r="I16" s="285"/>
    </row>
    <row r="17" spans="1:13" s="113" customFormat="1" ht="18">
      <c r="F17" s="286"/>
      <c r="G17" s="146" t="s">
        <v>16</v>
      </c>
      <c r="H17" s="284" t="s">
        <v>271</v>
      </c>
      <c r="I17" s="285"/>
    </row>
    <row r="18" spans="1:13" s="113" customFormat="1" ht="18">
      <c r="F18" s="121"/>
      <c r="G18" s="146" t="s">
        <v>19</v>
      </c>
      <c r="H18" s="284" t="s">
        <v>914</v>
      </c>
      <c r="I18" s="285"/>
    </row>
    <row r="19" spans="1:13" s="113" customFormat="1" ht="15.75" customHeight="1">
      <c r="D19" s="136"/>
      <c r="E19" s="136"/>
      <c r="F19" s="121"/>
      <c r="G19" s="146" t="s">
        <v>20</v>
      </c>
      <c r="H19" s="284" t="s">
        <v>915</v>
      </c>
      <c r="I19" s="285"/>
    </row>
    <row r="20" spans="1:13" s="113" customFormat="1" ht="18">
      <c r="D20" s="136"/>
      <c r="E20" s="136"/>
      <c r="F20" s="121"/>
      <c r="G20" s="146" t="s">
        <v>21</v>
      </c>
      <c r="H20" s="284" t="s">
        <v>4245</v>
      </c>
      <c r="I20" s="285"/>
    </row>
    <row r="21" spans="1:13" s="113" customFormat="1" ht="18">
      <c r="D21" s="136"/>
      <c r="E21" s="136"/>
      <c r="F21" s="121"/>
      <c r="G21" s="146" t="s">
        <v>22</v>
      </c>
      <c r="H21" s="284" t="s">
        <v>4246</v>
      </c>
      <c r="I21" s="285"/>
    </row>
    <row r="22" spans="1:13" s="113" customFormat="1" ht="12.6" customHeight="1">
      <c r="D22" s="136"/>
      <c r="E22" s="136"/>
      <c r="F22" s="289"/>
      <c r="G22" s="290"/>
      <c r="H22" s="284"/>
      <c r="I22" s="285"/>
    </row>
    <row r="23" spans="1:13" s="113" customFormat="1" ht="12.75" customHeight="1" thickBot="1">
      <c r="B23" s="140"/>
      <c r="C23" s="140"/>
      <c r="D23" s="136"/>
      <c r="E23" s="136"/>
      <c r="F23" s="136"/>
      <c r="G23" s="136"/>
      <c r="H23" s="136"/>
      <c r="I23" s="136"/>
      <c r="J23" s="135"/>
    </row>
    <row r="24" spans="1:13" s="301" customFormat="1" ht="18">
      <c r="A24" s="130"/>
      <c r="B24" s="130"/>
      <c r="C24" s="130"/>
      <c r="D24" s="669"/>
      <c r="E24" s="1231" t="s">
        <v>23</v>
      </c>
      <c r="F24" s="1232"/>
      <c r="G24" s="1232"/>
      <c r="H24" s="1233"/>
      <c r="I24" s="669"/>
      <c r="J24" s="669"/>
      <c r="K24" s="677"/>
      <c r="L24" s="669"/>
      <c r="M24" s="669"/>
    </row>
    <row r="25" spans="1:13" s="301" customFormat="1" ht="17.45" customHeight="1">
      <c r="A25" s="130"/>
      <c r="B25" s="130"/>
      <c r="C25" s="130"/>
      <c r="D25" s="105"/>
      <c r="E25" s="1237" t="s">
        <v>3559</v>
      </c>
      <c r="F25" s="1238"/>
      <c r="G25" s="1238"/>
      <c r="H25" s="1239"/>
      <c r="I25" s="104"/>
      <c r="J25" s="104"/>
      <c r="K25" s="678"/>
    </row>
    <row r="26" spans="1:13" s="301" customFormat="1" ht="17.45" customHeight="1">
      <c r="A26" s="130"/>
      <c r="B26" s="130"/>
      <c r="C26" s="130"/>
      <c r="D26" s="105"/>
      <c r="E26" s="1240" t="s">
        <v>160</v>
      </c>
      <c r="F26" s="1241"/>
      <c r="G26" s="1256" t="s">
        <v>161</v>
      </c>
      <c r="H26" s="1257"/>
      <c r="I26" s="668"/>
      <c r="J26" s="668"/>
      <c r="K26" s="678"/>
    </row>
    <row r="27" spans="1:13" s="301" customFormat="1" ht="17.45" customHeight="1">
      <c r="A27" s="130"/>
      <c r="B27" s="130"/>
      <c r="C27" s="130"/>
      <c r="D27" s="105"/>
      <c r="E27" s="1240" t="s">
        <v>163</v>
      </c>
      <c r="F27" s="1241"/>
      <c r="G27" s="1259">
        <v>50</v>
      </c>
      <c r="H27" s="1260"/>
      <c r="I27" s="104"/>
      <c r="J27" s="104"/>
      <c r="K27" s="678"/>
    </row>
    <row r="28" spans="1:13" s="301" customFormat="1" ht="17.45" customHeight="1">
      <c r="A28" s="130"/>
      <c r="B28" s="130"/>
      <c r="C28" s="130"/>
      <c r="D28" s="105"/>
      <c r="E28" s="1240" t="s">
        <v>164</v>
      </c>
      <c r="F28" s="1241"/>
      <c r="G28" s="1256" t="s">
        <v>4060</v>
      </c>
      <c r="H28" s="1257"/>
      <c r="I28" s="519"/>
      <c r="J28" s="519"/>
      <c r="K28" s="678"/>
    </row>
    <row r="29" spans="1:13" s="301" customFormat="1" ht="17.649999999999999" customHeight="1" thickBot="1">
      <c r="A29" s="130"/>
      <c r="B29" s="130"/>
      <c r="C29" s="130"/>
      <c r="D29" s="130"/>
      <c r="E29" s="1234" t="s">
        <v>92</v>
      </c>
      <c r="F29" s="1235"/>
      <c r="G29" s="1235"/>
      <c r="H29" s="1236"/>
      <c r="I29" s="130"/>
      <c r="J29" s="130"/>
      <c r="K29" s="678"/>
    </row>
    <row r="30" spans="1:13" s="113" customFormat="1" ht="12.75" customHeight="1">
      <c r="D30" s="136"/>
      <c r="E30" s="136"/>
      <c r="F30" s="143"/>
      <c r="G30" s="104"/>
      <c r="H30" s="104"/>
      <c r="I30" s="104"/>
      <c r="J30" s="104"/>
    </row>
    <row r="31" spans="1:13" s="113" customFormat="1" ht="12.75" customHeight="1">
      <c r="B31" s="140"/>
      <c r="C31" s="140"/>
      <c r="D31" s="136"/>
      <c r="E31" s="136"/>
      <c r="F31" s="136"/>
      <c r="G31" s="136"/>
      <c r="H31" s="136"/>
      <c r="I31" s="136"/>
      <c r="J31" s="135"/>
    </row>
    <row r="32" spans="1:13" s="113" customFormat="1" ht="12.75" customHeight="1">
      <c r="D32" s="136"/>
      <c r="E32" s="136"/>
      <c r="F32" s="143"/>
      <c r="G32" s="104"/>
      <c r="H32" s="104"/>
      <c r="I32" s="104"/>
      <c r="J32" s="104"/>
    </row>
    <row r="33" spans="1:10" s="113" customFormat="1" ht="12.75" customHeight="1">
      <c r="D33" s="136"/>
      <c r="E33" s="136"/>
      <c r="F33" s="143"/>
      <c r="G33" s="104"/>
      <c r="H33" s="104"/>
      <c r="I33" s="104"/>
      <c r="J33" s="104"/>
    </row>
    <row r="34" spans="1:10" s="113" customFormat="1" ht="18" customHeight="1" thickBot="1">
      <c r="C34" s="136"/>
      <c r="D34" s="135"/>
      <c r="E34" s="146"/>
      <c r="F34" s="104"/>
      <c r="G34" s="1013"/>
      <c r="H34" s="998"/>
      <c r="I34" s="149"/>
      <c r="J34" s="150"/>
    </row>
    <row r="35" spans="1:10" s="113" customFormat="1" ht="15.75" customHeight="1" thickBot="1">
      <c r="E35" s="1007" t="s">
        <v>167</v>
      </c>
      <c r="F35" s="1089"/>
      <c r="G35" s="1002"/>
      <c r="H35" s="1002"/>
      <c r="I35" s="1002"/>
      <c r="J35" s="1003"/>
    </row>
    <row r="36" spans="1:10" s="291" customFormat="1" ht="59.25" thickBot="1">
      <c r="D36" s="292" t="s">
        <v>123</v>
      </c>
      <c r="E36" s="292" t="s">
        <v>169</v>
      </c>
      <c r="F36" s="292" t="s">
        <v>170</v>
      </c>
      <c r="G36" s="292" t="s">
        <v>171</v>
      </c>
      <c r="H36" s="292" t="s">
        <v>172</v>
      </c>
      <c r="I36" s="292" t="s">
        <v>173</v>
      </c>
      <c r="J36" s="292" t="s">
        <v>174</v>
      </c>
    </row>
    <row r="37" spans="1:10" s="293" customFormat="1" ht="91.15" customHeight="1" thickBot="1">
      <c r="D37" s="294">
        <v>29</v>
      </c>
      <c r="E37" s="294"/>
      <c r="F37" s="295" t="s">
        <v>4220</v>
      </c>
      <c r="G37" s="590" t="s">
        <v>4221</v>
      </c>
      <c r="H37" s="297">
        <v>1600</v>
      </c>
      <c r="I37" s="713">
        <f>SUM(H37:H37)*(1-30%)</f>
        <v>1120</v>
      </c>
      <c r="J37" s="76">
        <f>I37*E37</f>
        <v>0</v>
      </c>
    </row>
    <row r="38" spans="1:10" s="301" customFormat="1" ht="19.5" thickBot="1">
      <c r="A38" s="299"/>
      <c r="B38" s="300"/>
      <c r="C38" s="300"/>
      <c r="D38" s="1246" t="s">
        <v>182</v>
      </c>
      <c r="E38" s="1247"/>
      <c r="F38" s="1247"/>
      <c r="G38" s="1247"/>
      <c r="H38" s="1247"/>
      <c r="I38" s="1247"/>
      <c r="J38" s="1247"/>
    </row>
    <row r="39" spans="1:10" s="301" customFormat="1" ht="19.5" thickBot="1">
      <c r="A39" s="299"/>
      <c r="B39" s="300"/>
      <c r="C39" s="300"/>
      <c r="D39" s="1248"/>
      <c r="E39" s="670"/>
      <c r="F39" s="753" t="s">
        <v>3353</v>
      </c>
      <c r="G39" s="682" t="s">
        <v>4229</v>
      </c>
      <c r="H39" s="754">
        <v>247.37</v>
      </c>
      <c r="I39" s="674">
        <f t="shared" ref="I39:I54" si="0">H39*(1-15%)</f>
        <v>210.2645</v>
      </c>
      <c r="J39" s="674">
        <f t="shared" ref="J39:J54" si="1">I39*E39</f>
        <v>0</v>
      </c>
    </row>
    <row r="40" spans="1:10" s="301" customFormat="1" ht="19.5" thickBot="1">
      <c r="A40" s="299"/>
      <c r="B40" s="300"/>
      <c r="C40" s="300"/>
      <c r="D40" s="1248"/>
      <c r="E40" s="302"/>
      <c r="F40" s="306" t="s">
        <v>905</v>
      </c>
      <c r="G40" s="565" t="s">
        <v>4229</v>
      </c>
      <c r="H40" s="751">
        <v>247.37</v>
      </c>
      <c r="I40" s="27">
        <f t="shared" si="0"/>
        <v>210.2645</v>
      </c>
      <c r="J40" s="27">
        <f t="shared" si="1"/>
        <v>0</v>
      </c>
    </row>
    <row r="41" spans="1:10" s="301" customFormat="1" ht="19.5" thickBot="1">
      <c r="A41" s="299"/>
      <c r="B41" s="300"/>
      <c r="C41" s="300"/>
      <c r="D41" s="1248"/>
      <c r="E41" s="302"/>
      <c r="F41" s="750" t="s">
        <v>898</v>
      </c>
      <c r="G41" s="565" t="s">
        <v>4224</v>
      </c>
      <c r="H41" s="305">
        <v>868.9</v>
      </c>
      <c r="I41" s="27">
        <f t="shared" si="0"/>
        <v>738.56499999999994</v>
      </c>
      <c r="J41" s="27">
        <f t="shared" si="1"/>
        <v>0</v>
      </c>
    </row>
    <row r="42" spans="1:10" s="301" customFormat="1" ht="19.5" thickBot="1">
      <c r="A42" s="299"/>
      <c r="B42" s="300"/>
      <c r="C42" s="300"/>
      <c r="D42" s="1248"/>
      <c r="E42" s="302"/>
      <c r="F42" s="750" t="s">
        <v>902</v>
      </c>
      <c r="G42" s="565" t="s">
        <v>4233</v>
      </c>
      <c r="H42" s="751">
        <v>369.6</v>
      </c>
      <c r="I42" s="27">
        <f t="shared" si="0"/>
        <v>314.16000000000003</v>
      </c>
      <c r="J42" s="27">
        <f t="shared" si="1"/>
        <v>0</v>
      </c>
    </row>
    <row r="43" spans="1:10" s="301" customFormat="1" ht="19.5" thickBot="1">
      <c r="A43" s="299"/>
      <c r="B43" s="300"/>
      <c r="C43" s="300"/>
      <c r="D43" s="1248"/>
      <c r="E43" s="302"/>
      <c r="F43" s="750" t="s">
        <v>903</v>
      </c>
      <c r="G43" s="565" t="s">
        <v>4225</v>
      </c>
      <c r="H43" s="305">
        <v>443.52</v>
      </c>
      <c r="I43" s="27">
        <f t="shared" si="0"/>
        <v>376.99199999999996</v>
      </c>
      <c r="J43" s="27">
        <f t="shared" si="1"/>
        <v>0</v>
      </c>
    </row>
    <row r="44" spans="1:10" s="301" customFormat="1" ht="19.5" thickBot="1">
      <c r="A44" s="299"/>
      <c r="B44" s="300"/>
      <c r="C44" s="300"/>
      <c r="D44" s="1248"/>
      <c r="E44" s="302"/>
      <c r="F44" s="750" t="s">
        <v>901</v>
      </c>
      <c r="G44" s="565" t="s">
        <v>4234</v>
      </c>
      <c r="H44" s="751">
        <v>616.82000000000005</v>
      </c>
      <c r="I44" s="27">
        <f t="shared" si="0"/>
        <v>524.29700000000003</v>
      </c>
      <c r="J44" s="27">
        <f t="shared" si="1"/>
        <v>0</v>
      </c>
    </row>
    <row r="45" spans="1:10" s="301" customFormat="1" ht="19.5" thickBot="1">
      <c r="A45" s="299"/>
      <c r="B45" s="300"/>
      <c r="C45" s="300"/>
      <c r="D45" s="1248"/>
      <c r="E45" s="302"/>
      <c r="F45" s="306" t="s">
        <v>4237</v>
      </c>
      <c r="G45" s="565" t="s">
        <v>4236</v>
      </c>
      <c r="H45" s="751">
        <v>221</v>
      </c>
      <c r="I45" s="27">
        <f t="shared" si="0"/>
        <v>187.85</v>
      </c>
      <c r="J45" s="27">
        <f t="shared" si="1"/>
        <v>0</v>
      </c>
    </row>
    <row r="46" spans="1:10" s="301" customFormat="1" ht="19.5" thickBot="1">
      <c r="A46" s="299"/>
      <c r="B46" s="300"/>
      <c r="C46" s="300"/>
      <c r="D46" s="1248"/>
      <c r="E46" s="302"/>
      <c r="F46" s="750" t="s">
        <v>900</v>
      </c>
      <c r="G46" s="565" t="s">
        <v>4226</v>
      </c>
      <c r="H46" s="751">
        <v>50.42</v>
      </c>
      <c r="I46" s="27">
        <f t="shared" si="0"/>
        <v>42.856999999999999</v>
      </c>
      <c r="J46" s="27">
        <f t="shared" si="1"/>
        <v>0</v>
      </c>
    </row>
    <row r="47" spans="1:10" s="301" customFormat="1" ht="37.5" thickBot="1">
      <c r="A47" s="299"/>
      <c r="B47" s="300"/>
      <c r="C47" s="300"/>
      <c r="D47" s="1248"/>
      <c r="E47" s="302"/>
      <c r="F47" s="306" t="s">
        <v>899</v>
      </c>
      <c r="G47" s="565" t="s">
        <v>4230</v>
      </c>
      <c r="H47" s="751">
        <v>85.77</v>
      </c>
      <c r="I47" s="27">
        <f t="shared" si="0"/>
        <v>72.904499999999999</v>
      </c>
      <c r="J47" s="27">
        <f t="shared" si="1"/>
        <v>0</v>
      </c>
    </row>
    <row r="48" spans="1:10" s="301" customFormat="1" ht="19.5" thickBot="1">
      <c r="A48" s="299"/>
      <c r="B48" s="300"/>
      <c r="C48" s="300"/>
      <c r="D48" s="1248"/>
      <c r="E48" s="302"/>
      <c r="F48" s="306" t="s">
        <v>4232</v>
      </c>
      <c r="G48" s="565" t="s">
        <v>4231</v>
      </c>
      <c r="H48" s="751">
        <v>98.2</v>
      </c>
      <c r="I48" s="27">
        <f t="shared" si="0"/>
        <v>83.47</v>
      </c>
      <c r="J48" s="27">
        <f t="shared" si="1"/>
        <v>0</v>
      </c>
    </row>
    <row r="49" spans="1:10" s="301" customFormat="1" ht="19.5" thickBot="1">
      <c r="A49" s="299"/>
      <c r="B49" s="300"/>
      <c r="C49" s="300"/>
      <c r="D49" s="1248"/>
      <c r="E49" s="302"/>
      <c r="F49" s="306" t="s">
        <v>4239</v>
      </c>
      <c r="G49" s="565" t="s">
        <v>4238</v>
      </c>
      <c r="H49" s="751">
        <v>219</v>
      </c>
      <c r="I49" s="27">
        <f t="shared" si="0"/>
        <v>186.15</v>
      </c>
      <c r="J49" s="27">
        <f t="shared" si="1"/>
        <v>0</v>
      </c>
    </row>
    <row r="50" spans="1:10" s="301" customFormat="1" ht="19.5" thickBot="1">
      <c r="A50" s="299"/>
      <c r="B50" s="300"/>
      <c r="C50" s="300"/>
      <c r="D50" s="1248"/>
      <c r="E50" s="302"/>
      <c r="F50" s="750" t="s">
        <v>4228</v>
      </c>
      <c r="G50" s="565" t="s">
        <v>4227</v>
      </c>
      <c r="H50" s="751">
        <v>350</v>
      </c>
      <c r="I50" s="27">
        <f t="shared" si="0"/>
        <v>297.5</v>
      </c>
      <c r="J50" s="27">
        <f t="shared" si="1"/>
        <v>0</v>
      </c>
    </row>
    <row r="51" spans="1:10" s="301" customFormat="1" ht="19.5" thickBot="1">
      <c r="A51" s="299"/>
      <c r="B51" s="300"/>
      <c r="C51" s="300"/>
      <c r="D51" s="1248"/>
      <c r="E51" s="302"/>
      <c r="F51" s="750" t="s">
        <v>4223</v>
      </c>
      <c r="G51" s="565" t="s">
        <v>4222</v>
      </c>
      <c r="H51" s="305">
        <v>744.59</v>
      </c>
      <c r="I51" s="27">
        <f t="shared" si="0"/>
        <v>632.90150000000006</v>
      </c>
      <c r="J51" s="27">
        <f t="shared" si="1"/>
        <v>0</v>
      </c>
    </row>
    <row r="52" spans="1:10" s="301" customFormat="1" ht="37.5" thickBot="1">
      <c r="A52" s="299"/>
      <c r="B52" s="300"/>
      <c r="C52" s="300"/>
      <c r="D52" s="1248"/>
      <c r="E52" s="302"/>
      <c r="F52" s="750" t="s">
        <v>3349</v>
      </c>
      <c r="G52" s="565" t="s">
        <v>4240</v>
      </c>
      <c r="H52" s="751">
        <v>482.9</v>
      </c>
      <c r="I52" s="27">
        <f t="shared" si="0"/>
        <v>410.46499999999997</v>
      </c>
      <c r="J52" s="27">
        <f t="shared" si="1"/>
        <v>0</v>
      </c>
    </row>
    <row r="53" spans="1:10" s="301" customFormat="1" ht="19.5" thickBot="1">
      <c r="A53" s="299"/>
      <c r="B53" s="300"/>
      <c r="C53" s="300"/>
      <c r="D53" s="1248"/>
      <c r="E53" s="302"/>
      <c r="F53" s="750" t="s">
        <v>3354</v>
      </c>
      <c r="G53" s="565" t="s">
        <v>4235</v>
      </c>
      <c r="H53" s="751">
        <v>616.82000000000005</v>
      </c>
      <c r="I53" s="27">
        <f t="shared" si="0"/>
        <v>524.29700000000003</v>
      </c>
      <c r="J53" s="27">
        <f t="shared" si="1"/>
        <v>0</v>
      </c>
    </row>
    <row r="54" spans="1:10" s="301" customFormat="1" ht="19.5" thickBot="1">
      <c r="A54" s="299"/>
      <c r="B54" s="300"/>
      <c r="C54" s="300"/>
      <c r="D54" s="1249"/>
      <c r="E54" s="302"/>
      <c r="F54" s="750" t="s">
        <v>4242</v>
      </c>
      <c r="G54" s="752" t="s">
        <v>4241</v>
      </c>
      <c r="H54" s="751">
        <v>199</v>
      </c>
      <c r="I54" s="27">
        <f t="shared" si="0"/>
        <v>169.15</v>
      </c>
      <c r="J54" s="27">
        <f t="shared" si="1"/>
        <v>0</v>
      </c>
    </row>
    <row r="55" spans="1:10" ht="23.25">
      <c r="C55" s="166"/>
      <c r="D55" s="308"/>
      <c r="E55" s="1258" t="s">
        <v>183</v>
      </c>
      <c r="F55" s="979"/>
      <c r="G55" s="979"/>
      <c r="H55" s="979"/>
      <c r="I55" s="979"/>
      <c r="J55" s="29">
        <f>SUM(J39:J54)+J37</f>
        <v>0</v>
      </c>
    </row>
    <row r="56" spans="1:10" ht="15.75">
      <c r="C56" s="166"/>
      <c r="D56" s="167"/>
      <c r="E56" s="168"/>
      <c r="F56" s="168"/>
    </row>
    <row r="57" spans="1:10" ht="15.75">
      <c r="C57" s="166"/>
      <c r="D57" s="167"/>
      <c r="E57" s="168"/>
      <c r="F57" s="168"/>
    </row>
    <row r="61" spans="1:10">
      <c r="B61" s="106"/>
      <c r="C61" s="106"/>
    </row>
  </sheetData>
  <mergeCells count="17">
    <mergeCell ref="E55:I55"/>
    <mergeCell ref="D38:J38"/>
    <mergeCell ref="G26:H26"/>
    <mergeCell ref="E27:F27"/>
    <mergeCell ref="G27:H27"/>
    <mergeCell ref="E35:J35"/>
    <mergeCell ref="D39:D54"/>
    <mergeCell ref="E29:H29"/>
    <mergeCell ref="G34:H34"/>
    <mergeCell ref="A4:J4"/>
    <mergeCell ref="A5:J5"/>
    <mergeCell ref="G10:I10"/>
    <mergeCell ref="E24:H24"/>
    <mergeCell ref="E28:F28"/>
    <mergeCell ref="G28:H28"/>
    <mergeCell ref="E26:F26"/>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7">
    <tabColor indexed="44"/>
  </sheetPr>
  <dimension ref="A1:O55"/>
  <sheetViews>
    <sheetView topLeftCell="B8" zoomScale="77" zoomScaleNormal="77" workbookViewId="0">
      <selection activeCell="N23" sqref="N22:N23"/>
    </sheetView>
  </sheetViews>
  <sheetFormatPr defaultColWidth="8.85546875" defaultRowHeight="12.75"/>
  <cols>
    <col min="1" max="1" width="15" style="104" customWidth="1"/>
    <col min="2" max="2" width="10" style="104" customWidth="1"/>
    <col min="3" max="3" width="16.5703125" style="104" customWidth="1"/>
    <col min="4" max="4" width="44.42578125" style="104" customWidth="1"/>
    <col min="5" max="5" width="17.42578125" style="104" customWidth="1"/>
    <col min="6" max="6" width="15.5703125" style="165" customWidth="1"/>
    <col min="7" max="7" width="23.42578125" style="165" customWidth="1"/>
    <col min="8" max="8" width="28.28515625" style="104" bestFit="1" customWidth="1"/>
    <col min="9" max="9" width="19" style="104" customWidth="1"/>
    <col min="10" max="10" width="25" style="104" bestFit="1" customWidth="1"/>
    <col min="11" max="11" width="19" style="104" customWidth="1"/>
    <col min="12" max="12" width="25" style="104" bestFit="1" customWidth="1"/>
    <col min="13" max="13" width="18.42578125" style="104" customWidth="1"/>
    <col min="14" max="14" width="25" style="104" bestFit="1" customWidth="1"/>
    <col min="15" max="16384" width="8.85546875" style="104"/>
  </cols>
  <sheetData>
    <row r="1" spans="1:15" ht="13.5" thickBot="1">
      <c r="B1" s="105"/>
      <c r="C1" s="105"/>
      <c r="D1" s="106"/>
      <c r="E1" s="106"/>
      <c r="F1" s="107"/>
      <c r="G1" s="107"/>
      <c r="H1" s="107"/>
      <c r="I1" s="107"/>
      <c r="J1" s="107"/>
      <c r="K1" s="106"/>
      <c r="L1" s="107"/>
    </row>
    <row r="2" spans="1:15" ht="9" customHeight="1">
      <c r="A2" s="108"/>
      <c r="B2" s="109"/>
      <c r="C2" s="109"/>
      <c r="D2" s="110"/>
      <c r="E2" s="110"/>
      <c r="F2" s="111"/>
      <c r="G2" s="111"/>
      <c r="H2" s="111"/>
      <c r="I2" s="112"/>
      <c r="J2" s="112"/>
      <c r="K2" s="112"/>
      <c r="L2" s="112"/>
      <c r="M2" s="108"/>
      <c r="N2" s="108"/>
    </row>
    <row r="3" spans="1:15" ht="10.5" customHeight="1">
      <c r="A3" s="1261"/>
      <c r="B3" s="1261"/>
      <c r="C3" s="1261"/>
      <c r="D3" s="1261"/>
      <c r="E3" s="1261"/>
      <c r="F3" s="1261"/>
      <c r="G3" s="1261"/>
      <c r="H3" s="1261"/>
      <c r="I3" s="1261"/>
      <c r="J3" s="1261"/>
      <c r="K3" s="1261"/>
      <c r="L3" s="1261"/>
      <c r="M3" s="1261"/>
      <c r="N3" s="1261"/>
    </row>
    <row r="4" spans="1:15" ht="36" customHeight="1">
      <c r="A4" s="1175" t="s">
        <v>823</v>
      </c>
      <c r="B4" s="1175"/>
      <c r="C4" s="1175"/>
      <c r="D4" s="1175"/>
      <c r="E4" s="1175"/>
      <c r="F4" s="1175"/>
      <c r="G4" s="1175"/>
      <c r="H4" s="1175"/>
      <c r="I4" s="1175"/>
      <c r="J4" s="1175"/>
      <c r="K4" s="1175"/>
      <c r="L4" s="1175"/>
      <c r="M4" s="1175"/>
      <c r="N4" s="1175"/>
    </row>
    <row r="5" spans="1:15" s="114" customFormat="1" ht="41.25" customHeight="1">
      <c r="A5" s="1262" t="s">
        <v>3405</v>
      </c>
      <c r="B5" s="1262"/>
      <c r="C5" s="1262"/>
      <c r="D5" s="1262"/>
      <c r="E5" s="1262"/>
      <c r="F5" s="1262"/>
      <c r="G5" s="1262"/>
      <c r="H5" s="1262"/>
      <c r="I5" s="1262"/>
      <c r="J5" s="1262"/>
      <c r="K5" s="1262"/>
      <c r="L5" s="1262"/>
      <c r="M5" s="1262"/>
      <c r="N5" s="1262"/>
    </row>
    <row r="6" spans="1:15" ht="9" customHeight="1" thickBot="1">
      <c r="A6" s="115"/>
      <c r="B6" s="115"/>
      <c r="C6" s="115"/>
      <c r="D6" s="115"/>
      <c r="E6" s="115"/>
      <c r="F6" s="115"/>
      <c r="G6" s="115"/>
      <c r="H6" s="115"/>
      <c r="I6" s="115"/>
      <c r="J6" s="115"/>
      <c r="K6" s="115"/>
      <c r="L6" s="119"/>
      <c r="M6" s="115"/>
      <c r="N6" s="115"/>
    </row>
    <row r="7" spans="1:15" s="113" customFormat="1" ht="14.25">
      <c r="B7" s="120"/>
      <c r="C7" s="120"/>
      <c r="D7" s="121"/>
      <c r="E7" s="121"/>
      <c r="F7" s="121"/>
      <c r="G7" s="121"/>
      <c r="H7" s="121"/>
      <c r="I7" s="121"/>
      <c r="J7" s="121"/>
      <c r="K7" s="121"/>
      <c r="L7" s="121"/>
      <c r="M7" s="121"/>
      <c r="N7" s="121"/>
      <c r="O7" s="121"/>
    </row>
    <row r="8" spans="1:15" s="113" customFormat="1" ht="12" customHeight="1" thickBot="1">
      <c r="F8" s="249"/>
      <c r="G8" s="249"/>
      <c r="H8" s="123"/>
      <c r="I8" s="124"/>
      <c r="J8" s="124"/>
      <c r="L8" s="124"/>
    </row>
    <row r="9" spans="1:15" s="113" customFormat="1" ht="18">
      <c r="A9" s="1231" t="s">
        <v>23</v>
      </c>
      <c r="B9" s="1232"/>
      <c r="C9" s="1232"/>
      <c r="D9" s="1232"/>
      <c r="E9" s="1232"/>
      <c r="F9" s="1232"/>
      <c r="G9" s="1232"/>
      <c r="H9" s="1232"/>
      <c r="I9" s="1232"/>
      <c r="J9" s="1232"/>
      <c r="K9" s="1232"/>
      <c r="L9" s="1232"/>
      <c r="M9" s="1232"/>
      <c r="N9" s="1232"/>
    </row>
    <row r="10" spans="1:15" s="113" customFormat="1" ht="18" customHeight="1">
      <c r="A10" s="1265" t="s">
        <v>818</v>
      </c>
      <c r="B10" s="1266"/>
      <c r="C10" s="1266"/>
      <c r="D10" s="1266"/>
      <c r="E10" s="1266"/>
      <c r="F10" s="1266"/>
      <c r="G10" s="1266"/>
      <c r="H10" s="1266"/>
      <c r="I10" s="1266"/>
      <c r="J10" s="1266"/>
      <c r="K10" s="1266"/>
      <c r="L10" s="1266"/>
      <c r="M10" s="1266"/>
      <c r="N10" s="1266"/>
    </row>
    <row r="11" spans="1:15" s="113" customFormat="1" ht="18" customHeight="1">
      <c r="A11" s="1240" t="s">
        <v>820</v>
      </c>
      <c r="B11" s="1241"/>
      <c r="C11" s="1241"/>
      <c r="D11" s="1241"/>
      <c r="E11" s="1241"/>
      <c r="F11" s="1241"/>
      <c r="G11" s="1241"/>
      <c r="H11" s="1241"/>
      <c r="I11" s="1264">
        <v>6300</v>
      </c>
      <c r="J11" s="1264"/>
      <c r="K11" s="1264"/>
      <c r="L11" s="1264"/>
      <c r="M11" s="1264"/>
      <c r="N11" s="1264"/>
    </row>
    <row r="12" spans="1:15" s="113" customFormat="1" ht="18" customHeight="1" thickBot="1">
      <c r="A12" s="1234" t="s">
        <v>819</v>
      </c>
      <c r="B12" s="1235"/>
      <c r="C12" s="1235"/>
      <c r="D12" s="1235"/>
      <c r="E12" s="1235"/>
      <c r="F12" s="1235"/>
      <c r="G12" s="1235"/>
      <c r="H12" s="1235"/>
      <c r="I12" s="1235"/>
      <c r="J12" s="1235"/>
      <c r="K12" s="1235"/>
      <c r="L12" s="1235"/>
      <c r="M12" s="1235"/>
      <c r="N12" s="1235"/>
    </row>
    <row r="13" spans="1:15" s="113" customFormat="1" ht="18" customHeight="1">
      <c r="A13" s="566"/>
      <c r="B13" s="301"/>
      <c r="C13" s="301"/>
      <c r="D13" s="301"/>
      <c r="E13" s="301"/>
      <c r="F13" s="301"/>
      <c r="G13" s="301"/>
      <c r="H13" s="301"/>
      <c r="I13" s="301"/>
      <c r="J13" s="301"/>
      <c r="K13" s="301"/>
      <c r="L13" s="301"/>
      <c r="M13" s="301"/>
      <c r="N13" s="301"/>
    </row>
    <row r="14" spans="1:15" s="113" customFormat="1" ht="14.25">
      <c r="D14" s="136"/>
      <c r="E14" s="136"/>
      <c r="F14" s="135"/>
      <c r="G14" s="135"/>
      <c r="I14" s="150"/>
      <c r="J14" s="150"/>
      <c r="K14" s="150"/>
      <c r="L14" s="150"/>
    </row>
    <row r="15" spans="1:15" s="113" customFormat="1" ht="13.5" thickBot="1">
      <c r="F15" s="1269" t="s">
        <v>167</v>
      </c>
      <c r="G15" s="1270"/>
      <c r="H15" s="1270"/>
      <c r="I15" s="1270"/>
      <c r="J15" s="1270"/>
      <c r="K15" s="1270"/>
    </row>
    <row r="16" spans="1:15" s="113" customFormat="1" ht="57.75" customHeight="1" thickBot="1">
      <c r="E16" s="254" t="s">
        <v>122</v>
      </c>
      <c r="F16" s="254" t="s">
        <v>169</v>
      </c>
      <c r="G16" s="255" t="s">
        <v>170</v>
      </c>
      <c r="H16" s="255" t="s">
        <v>171</v>
      </c>
      <c r="I16" s="255" t="s">
        <v>172</v>
      </c>
      <c r="J16" s="255" t="s">
        <v>821</v>
      </c>
      <c r="K16" s="254" t="s">
        <v>174</v>
      </c>
    </row>
    <row r="17" spans="5:12" s="113" customFormat="1" ht="35.65" customHeight="1" thickBot="1">
      <c r="E17" s="256">
        <v>30</v>
      </c>
      <c r="F17" s="257"/>
      <c r="G17" s="521" t="s">
        <v>3406</v>
      </c>
      <c r="H17" s="281" t="s">
        <v>3407</v>
      </c>
      <c r="I17" s="260">
        <v>25768.04</v>
      </c>
      <c r="J17" s="19">
        <f>SUM(I17:I17)*(1-22%)+I11</f>
        <v>26399.071200000002</v>
      </c>
      <c r="K17" s="20">
        <f>J17*F17</f>
        <v>0</v>
      </c>
    </row>
    <row r="18" spans="5:12" s="266" customFormat="1" ht="15.75" customHeight="1" thickBot="1">
      <c r="E18" s="1271" t="s">
        <v>498</v>
      </c>
      <c r="F18" s="1272"/>
      <c r="G18" s="1272"/>
      <c r="H18" s="1272"/>
      <c r="I18" s="1272"/>
      <c r="J18" s="1272"/>
      <c r="K18" s="1273"/>
    </row>
    <row r="19" spans="5:12" s="266" customFormat="1" ht="39" thickBot="1">
      <c r="E19" s="1267"/>
      <c r="F19" s="221"/>
      <c r="G19" s="174" t="s">
        <v>510</v>
      </c>
      <c r="H19" s="176" t="s">
        <v>533</v>
      </c>
      <c r="I19" s="23">
        <v>2056.7010309278353</v>
      </c>
      <c r="J19" s="23">
        <f>I19*(1-10%)</f>
        <v>1851.0309278350519</v>
      </c>
      <c r="K19" s="3">
        <f t="shared" ref="K19:K32" si="0">J19*F19</f>
        <v>0</v>
      </c>
      <c r="L19" s="740"/>
    </row>
    <row r="20" spans="5:12" s="266" customFormat="1" ht="39" thickBot="1">
      <c r="E20" s="1267"/>
      <c r="F20" s="221"/>
      <c r="G20" s="174" t="s">
        <v>253</v>
      </c>
      <c r="H20" s="176" t="s">
        <v>532</v>
      </c>
      <c r="I20" s="23">
        <v>953.60824742268039</v>
      </c>
      <c r="J20" s="23">
        <f t="shared" ref="J20:J34" si="1">I20*(1-10%)</f>
        <v>858.24742268041234</v>
      </c>
      <c r="K20" s="3">
        <f>J20*F20</f>
        <v>0</v>
      </c>
      <c r="L20" s="740"/>
    </row>
    <row r="21" spans="5:12" s="266" customFormat="1" ht="26.25" thickBot="1">
      <c r="E21" s="1267"/>
      <c r="F21" s="221"/>
      <c r="G21" s="174" t="s">
        <v>511</v>
      </c>
      <c r="H21" s="176" t="s">
        <v>499</v>
      </c>
      <c r="I21" s="23">
        <v>231.95876288659795</v>
      </c>
      <c r="J21" s="23">
        <f t="shared" si="1"/>
        <v>208.76288659793815</v>
      </c>
      <c r="K21" s="3">
        <f t="shared" si="0"/>
        <v>0</v>
      </c>
      <c r="L21" s="740"/>
    </row>
    <row r="22" spans="5:12" s="266" customFormat="1" ht="13.5" thickBot="1">
      <c r="E22" s="1267"/>
      <c r="F22" s="221"/>
      <c r="G22" s="174" t="s">
        <v>512</v>
      </c>
      <c r="H22" s="176" t="s">
        <v>500</v>
      </c>
      <c r="I22" s="23">
        <v>53.608247422680414</v>
      </c>
      <c r="J22" s="23">
        <f t="shared" si="1"/>
        <v>48.24742268041237</v>
      </c>
      <c r="K22" s="3">
        <f t="shared" si="0"/>
        <v>0</v>
      </c>
      <c r="L22" s="740"/>
    </row>
    <row r="23" spans="5:12" s="266" customFormat="1" ht="13.5" thickBot="1">
      <c r="E23" s="1267"/>
      <c r="F23" s="221"/>
      <c r="G23" s="174" t="s">
        <v>513</v>
      </c>
      <c r="H23" s="176" t="s">
        <v>501</v>
      </c>
      <c r="I23" s="23">
        <v>1932.9896907216496</v>
      </c>
      <c r="J23" s="23">
        <f t="shared" si="1"/>
        <v>1739.6907216494847</v>
      </c>
      <c r="K23" s="3">
        <f t="shared" si="0"/>
        <v>0</v>
      </c>
      <c r="L23" s="740"/>
    </row>
    <row r="24" spans="5:12" s="156" customFormat="1" ht="13.5" thickBot="1">
      <c r="E24" s="1267"/>
      <c r="F24" s="221"/>
      <c r="G24" s="174" t="s">
        <v>514</v>
      </c>
      <c r="H24" s="176" t="s">
        <v>502</v>
      </c>
      <c r="I24" s="23">
        <v>53.608247422680414</v>
      </c>
      <c r="J24" s="23">
        <f t="shared" si="1"/>
        <v>48.24742268041237</v>
      </c>
      <c r="K24" s="3">
        <f t="shared" si="0"/>
        <v>0</v>
      </c>
      <c r="L24" s="740"/>
    </row>
    <row r="25" spans="5:12" s="151" customFormat="1" ht="13.5" thickBot="1">
      <c r="E25" s="1267"/>
      <c r="F25" s="221"/>
      <c r="G25" s="174" t="s">
        <v>515</v>
      </c>
      <c r="H25" s="176" t="s">
        <v>503</v>
      </c>
      <c r="I25" s="23">
        <v>77.319587628865975</v>
      </c>
      <c r="J25" s="23">
        <f t="shared" si="1"/>
        <v>69.587628865979383</v>
      </c>
      <c r="K25" s="3">
        <f t="shared" si="0"/>
        <v>0</v>
      </c>
      <c r="L25" s="740"/>
    </row>
    <row r="26" spans="5:12" s="266" customFormat="1" ht="26.25" thickBot="1">
      <c r="E26" s="1267"/>
      <c r="F26" s="221"/>
      <c r="G26" s="174" t="s">
        <v>516</v>
      </c>
      <c r="H26" s="176" t="s">
        <v>504</v>
      </c>
      <c r="I26" s="23">
        <v>149.48453608247422</v>
      </c>
      <c r="J26" s="23">
        <f t="shared" si="1"/>
        <v>134.53608247422682</v>
      </c>
      <c r="K26" s="3">
        <f t="shared" si="0"/>
        <v>0</v>
      </c>
      <c r="L26" s="740"/>
    </row>
    <row r="27" spans="5:12" s="266" customFormat="1" ht="13.5" thickBot="1">
      <c r="E27" s="1267"/>
      <c r="F27" s="221"/>
      <c r="G27" s="174" t="s">
        <v>517</v>
      </c>
      <c r="H27" s="176" t="s">
        <v>505</v>
      </c>
      <c r="I27" s="23">
        <v>77.319587628865975</v>
      </c>
      <c r="J27" s="23">
        <f t="shared" si="1"/>
        <v>69.587628865979383</v>
      </c>
      <c r="K27" s="3">
        <f t="shared" si="0"/>
        <v>0</v>
      </c>
      <c r="L27" s="740"/>
    </row>
    <row r="28" spans="5:12" s="266" customFormat="1" ht="13.5" thickBot="1">
      <c r="E28" s="1267"/>
      <c r="F28" s="221"/>
      <c r="G28" s="174" t="s">
        <v>518</v>
      </c>
      <c r="H28" s="176" t="s">
        <v>506</v>
      </c>
      <c r="I28" s="23">
        <v>824.74226804123714</v>
      </c>
      <c r="J28" s="23">
        <f t="shared" si="1"/>
        <v>742.26804123711349</v>
      </c>
      <c r="K28" s="3">
        <f t="shared" si="0"/>
        <v>0</v>
      </c>
      <c r="L28" s="740"/>
    </row>
    <row r="29" spans="5:12" s="266" customFormat="1" ht="64.5" thickBot="1">
      <c r="E29" s="1267"/>
      <c r="F29" s="221"/>
      <c r="G29" s="174" t="s">
        <v>519</v>
      </c>
      <c r="H29" s="176" t="s">
        <v>507</v>
      </c>
      <c r="I29" s="23">
        <v>613.40206185567013</v>
      </c>
      <c r="J29" s="23">
        <f t="shared" si="1"/>
        <v>552.06185567010311</v>
      </c>
      <c r="K29" s="3">
        <f t="shared" si="0"/>
        <v>0</v>
      </c>
      <c r="L29" s="740"/>
    </row>
    <row r="30" spans="5:12" s="151" customFormat="1" ht="26.25" thickBot="1">
      <c r="E30" s="1267"/>
      <c r="F30" s="221"/>
      <c r="G30" s="174" t="s">
        <v>520</v>
      </c>
      <c r="H30" s="176" t="s">
        <v>508</v>
      </c>
      <c r="I30" s="23">
        <v>1644.3298969072166</v>
      </c>
      <c r="J30" s="23">
        <f t="shared" si="1"/>
        <v>1479.896907216495</v>
      </c>
      <c r="K30" s="3">
        <f t="shared" si="0"/>
        <v>0</v>
      </c>
      <c r="L30" s="740"/>
    </row>
    <row r="31" spans="5:12" s="151" customFormat="1" ht="64.5" thickBot="1">
      <c r="E31" s="1267"/>
      <c r="F31" s="221"/>
      <c r="G31" s="174" t="s">
        <v>521</v>
      </c>
      <c r="H31" s="176" t="s">
        <v>534</v>
      </c>
      <c r="I31" s="23">
        <v>510.30927835051546</v>
      </c>
      <c r="J31" s="23">
        <f t="shared" si="1"/>
        <v>459.2783505154639</v>
      </c>
      <c r="K31" s="3">
        <f t="shared" si="0"/>
        <v>0</v>
      </c>
      <c r="L31" s="740"/>
    </row>
    <row r="32" spans="5:12" s="151" customFormat="1" ht="13.5" thickBot="1">
      <c r="E32" s="1267"/>
      <c r="F32" s="221"/>
      <c r="G32" s="174" t="s">
        <v>522</v>
      </c>
      <c r="H32" s="176" t="s">
        <v>509</v>
      </c>
      <c r="I32" s="23">
        <v>1726.8041237113403</v>
      </c>
      <c r="J32" s="23">
        <f t="shared" si="1"/>
        <v>1554.1237113402062</v>
      </c>
      <c r="K32" s="3">
        <f t="shared" si="0"/>
        <v>0</v>
      </c>
      <c r="L32" s="740"/>
    </row>
    <row r="33" spans="1:14" s="151" customFormat="1" ht="39" thickBot="1">
      <c r="E33" s="1267"/>
      <c r="F33" s="221"/>
      <c r="G33" s="174" t="s">
        <v>523</v>
      </c>
      <c r="H33" s="176" t="s">
        <v>535</v>
      </c>
      <c r="I33" s="23">
        <v>13195.876288659794</v>
      </c>
      <c r="J33" s="23">
        <f t="shared" si="1"/>
        <v>11876.288659793816</v>
      </c>
      <c r="K33" s="3">
        <f>J33*F33</f>
        <v>0</v>
      </c>
      <c r="L33" s="740"/>
    </row>
    <row r="34" spans="1:14" s="151" customFormat="1" ht="26.25" thickBot="1">
      <c r="E34" s="1268"/>
      <c r="F34" s="221"/>
      <c r="G34" s="174" t="s">
        <v>524</v>
      </c>
      <c r="H34" s="176" t="s">
        <v>536</v>
      </c>
      <c r="I34" s="23">
        <v>30721.649484536083</v>
      </c>
      <c r="J34" s="23">
        <f t="shared" si="1"/>
        <v>27649.484536082477</v>
      </c>
      <c r="K34" s="3">
        <f>J34*F34</f>
        <v>0</v>
      </c>
      <c r="L34" s="740"/>
    </row>
    <row r="35" spans="1:14" s="151" customFormat="1" ht="15">
      <c r="A35" s="156"/>
      <c r="B35" s="106"/>
      <c r="C35" s="106"/>
      <c r="E35" s="567"/>
      <c r="F35" s="567"/>
      <c r="H35" s="567"/>
      <c r="I35" s="1263" t="s">
        <v>183</v>
      </c>
      <c r="J35" s="1263"/>
      <c r="K35" s="9">
        <f>SUM(K19:K33)+K17</f>
        <v>0</v>
      </c>
    </row>
    <row r="36" spans="1:14" s="151" customFormat="1">
      <c r="A36" s="162"/>
      <c r="B36" s="104"/>
      <c r="C36" s="104"/>
      <c r="D36" s="162"/>
      <c r="E36" s="162"/>
      <c r="F36" s="172"/>
      <c r="G36" s="172"/>
      <c r="H36" s="162"/>
      <c r="I36" s="162"/>
      <c r="J36" s="162"/>
      <c r="K36" s="162"/>
      <c r="L36" s="162"/>
      <c r="M36" s="162"/>
      <c r="N36" s="162"/>
    </row>
    <row r="37" spans="1:14" s="151" customFormat="1" ht="15.75">
      <c r="A37" s="104"/>
      <c r="B37" s="271"/>
      <c r="C37" s="271"/>
      <c r="D37" s="272"/>
      <c r="E37" s="272"/>
      <c r="F37" s="273"/>
      <c r="G37" s="165"/>
      <c r="H37" s="104"/>
      <c r="I37" s="104"/>
      <c r="J37" s="104"/>
      <c r="K37" s="104"/>
      <c r="L37" s="104"/>
      <c r="M37" s="104"/>
      <c r="N37" s="104"/>
    </row>
    <row r="38" spans="1:14" s="156" customFormat="1">
      <c r="A38" s="104"/>
      <c r="B38" s="104"/>
      <c r="C38" s="104"/>
      <c r="D38" s="104"/>
      <c r="E38" s="104"/>
      <c r="F38" s="273"/>
      <c r="G38" s="165"/>
      <c r="H38" s="104"/>
      <c r="I38" s="104"/>
      <c r="J38" s="104"/>
      <c r="K38" s="104"/>
      <c r="L38" s="104"/>
      <c r="M38" s="104"/>
      <c r="N38" s="104"/>
    </row>
    <row r="39" spans="1:14" s="156" customFormat="1">
      <c r="A39" s="104"/>
      <c r="B39" s="104"/>
      <c r="C39" s="104"/>
      <c r="D39" s="104"/>
      <c r="E39" s="104"/>
      <c r="F39" s="165"/>
      <c r="G39" s="165"/>
      <c r="H39" s="104"/>
      <c r="I39" s="104"/>
      <c r="J39" s="104"/>
      <c r="K39" s="104"/>
      <c r="L39" s="665">
        <f>F39*0.0256</f>
        <v>0</v>
      </c>
      <c r="M39" s="104"/>
      <c r="N39" s="104"/>
    </row>
    <row r="40" spans="1:14" s="274" customFormat="1" hidden="1">
      <c r="A40" s="104"/>
      <c r="B40" s="104"/>
      <c r="C40" s="104"/>
      <c r="D40" s="104"/>
      <c r="E40" s="104"/>
      <c r="F40" s="165"/>
      <c r="G40" s="165"/>
      <c r="H40" s="104"/>
      <c r="I40" s="104"/>
      <c r="J40" s="104"/>
      <c r="K40" s="104"/>
      <c r="L40" s="104"/>
      <c r="M40" s="104"/>
      <c r="N40" s="104"/>
    </row>
    <row r="41" spans="1:14" s="156" customFormat="1">
      <c r="A41" s="104"/>
      <c r="B41" s="104"/>
      <c r="C41" s="104"/>
      <c r="D41" s="104"/>
      <c r="E41" s="104"/>
      <c r="F41" s="165"/>
      <c r="G41" s="165"/>
      <c r="H41" s="104"/>
      <c r="I41" s="104"/>
      <c r="J41" s="104"/>
      <c r="K41" s="104"/>
      <c r="L41" s="104"/>
      <c r="M41" s="104"/>
      <c r="N41" s="104"/>
    </row>
    <row r="42" spans="1:14" s="162" customFormat="1">
      <c r="A42" s="104"/>
      <c r="B42" s="104"/>
      <c r="C42" s="104"/>
      <c r="D42" s="104"/>
      <c r="E42" s="104"/>
      <c r="F42" s="165"/>
      <c r="G42" s="165"/>
      <c r="H42" s="104"/>
      <c r="I42" s="104"/>
      <c r="J42" s="104"/>
      <c r="K42" s="104"/>
      <c r="L42" s="104"/>
      <c r="M42" s="104"/>
      <c r="N42" s="104"/>
    </row>
    <row r="55" spans="2:3">
      <c r="B55" s="106"/>
      <c r="C55" s="106"/>
    </row>
  </sheetData>
  <mergeCells count="12">
    <mergeCell ref="A3:N3"/>
    <mergeCell ref="A4:N4"/>
    <mergeCell ref="A5:N5"/>
    <mergeCell ref="I35:J35"/>
    <mergeCell ref="A12:N12"/>
    <mergeCell ref="A11:H11"/>
    <mergeCell ref="I11:N11"/>
    <mergeCell ref="A9:N9"/>
    <mergeCell ref="A10:N10"/>
    <mergeCell ref="E19:E34"/>
    <mergeCell ref="F15:K15"/>
    <mergeCell ref="E18:K18"/>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8">
    <tabColor indexed="44"/>
  </sheetPr>
  <dimension ref="A1:O44"/>
  <sheetViews>
    <sheetView zoomScale="65" zoomScaleNormal="65" workbookViewId="0">
      <selection activeCell="N22" sqref="N22"/>
    </sheetView>
  </sheetViews>
  <sheetFormatPr defaultColWidth="8.85546875" defaultRowHeight="12.75"/>
  <cols>
    <col min="1" max="1" width="15" style="104" customWidth="1"/>
    <col min="2" max="2" width="10" style="104" customWidth="1"/>
    <col min="3" max="3" width="16.5703125" style="104" customWidth="1"/>
    <col min="4" max="4" width="44.42578125" style="104" customWidth="1"/>
    <col min="5" max="5" width="17.42578125" style="104" customWidth="1"/>
    <col min="6" max="6" width="15.5703125" style="165" customWidth="1"/>
    <col min="7" max="7" width="23.42578125" style="165" customWidth="1"/>
    <col min="8" max="8" width="31.85546875" style="104" bestFit="1" customWidth="1"/>
    <col min="9" max="9" width="19" style="104" customWidth="1"/>
    <col min="10" max="10" width="25" style="104" bestFit="1" customWidth="1"/>
    <col min="11" max="11" width="19" style="104" customWidth="1"/>
    <col min="12" max="12" width="25" style="104" bestFit="1" customWidth="1"/>
    <col min="13" max="13" width="18.42578125" style="104" customWidth="1"/>
    <col min="14" max="14" width="25" style="104" bestFit="1" customWidth="1"/>
    <col min="15" max="16384" width="8.85546875" style="104"/>
  </cols>
  <sheetData>
    <row r="1" spans="1:15" ht="13.5" thickBot="1">
      <c r="B1" s="105"/>
      <c r="C1" s="105"/>
      <c r="D1" s="106"/>
      <c r="E1" s="106"/>
      <c r="F1" s="107"/>
      <c r="G1" s="107"/>
      <c r="H1" s="107"/>
      <c r="I1" s="107"/>
      <c r="J1" s="107"/>
      <c r="K1" s="106"/>
      <c r="L1" s="107"/>
    </row>
    <row r="2" spans="1:15" ht="9" customHeight="1">
      <c r="A2" s="108"/>
      <c r="B2" s="109"/>
      <c r="C2" s="109"/>
      <c r="D2" s="110"/>
      <c r="E2" s="110"/>
      <c r="F2" s="111"/>
      <c r="G2" s="111"/>
      <c r="H2" s="111"/>
      <c r="I2" s="112"/>
      <c r="J2" s="112"/>
      <c r="K2" s="112"/>
      <c r="L2" s="112"/>
      <c r="M2" s="108"/>
      <c r="N2" s="108"/>
    </row>
    <row r="3" spans="1:15" ht="10.5" customHeight="1">
      <c r="B3" s="105"/>
      <c r="C3" s="105"/>
      <c r="D3" s="106"/>
      <c r="E3" s="106"/>
      <c r="F3" s="107"/>
      <c r="G3" s="107"/>
      <c r="H3" s="107"/>
      <c r="I3" s="113"/>
      <c r="J3" s="113"/>
      <c r="K3" s="113"/>
      <c r="L3" s="113"/>
    </row>
    <row r="4" spans="1:15" ht="36" customHeight="1">
      <c r="A4" s="1175" t="s">
        <v>822</v>
      </c>
      <c r="B4" s="1175"/>
      <c r="C4" s="1175"/>
      <c r="D4" s="1175"/>
      <c r="E4" s="1175"/>
      <c r="F4" s="1175"/>
      <c r="G4" s="1175"/>
      <c r="H4" s="1175"/>
      <c r="I4" s="1175"/>
      <c r="J4" s="1175"/>
      <c r="K4" s="1175"/>
      <c r="L4" s="1175"/>
      <c r="M4" s="1175"/>
      <c r="N4" s="1175"/>
    </row>
    <row r="5" spans="1:15" s="114" customFormat="1" ht="41.25" customHeight="1">
      <c r="A5" s="1262" t="s">
        <v>531</v>
      </c>
      <c r="B5" s="1262"/>
      <c r="C5" s="1262"/>
      <c r="D5" s="1262"/>
      <c r="E5" s="1262"/>
      <c r="F5" s="1262"/>
      <c r="G5" s="1262"/>
      <c r="H5" s="1262"/>
      <c r="I5" s="1262"/>
      <c r="J5" s="1262"/>
      <c r="K5" s="1262"/>
      <c r="L5" s="1262"/>
      <c r="M5" s="1262"/>
      <c r="N5" s="1262"/>
    </row>
    <row r="6" spans="1:15" ht="9" customHeight="1" thickBot="1">
      <c r="A6" s="115"/>
      <c r="B6" s="115"/>
      <c r="C6" s="115"/>
      <c r="D6" s="115"/>
      <c r="E6" s="115"/>
      <c r="F6" s="115"/>
      <c r="G6" s="115"/>
      <c r="H6" s="115"/>
      <c r="I6" s="115"/>
      <c r="J6" s="115"/>
      <c r="K6" s="115"/>
      <c r="L6" s="119"/>
      <c r="M6" s="115"/>
      <c r="N6" s="115"/>
    </row>
    <row r="7" spans="1:15" s="113" customFormat="1" ht="14.25">
      <c r="B7" s="120"/>
      <c r="C7" s="120"/>
      <c r="D7" s="121"/>
      <c r="E7" s="121"/>
      <c r="F7" s="121"/>
      <c r="G7" s="121"/>
      <c r="H7" s="121"/>
      <c r="I7" s="121"/>
      <c r="J7" s="121"/>
      <c r="K7" s="121"/>
      <c r="L7" s="121"/>
      <c r="M7" s="121"/>
      <c r="N7" s="121"/>
      <c r="O7" s="121"/>
    </row>
    <row r="8" spans="1:15" s="113" customFormat="1" ht="12" customHeight="1" thickBot="1">
      <c r="F8" s="249"/>
      <c r="G8" s="249"/>
      <c r="H8" s="123"/>
      <c r="I8" s="124"/>
      <c r="J8" s="124"/>
      <c r="L8" s="124"/>
    </row>
    <row r="9" spans="1:15" s="113" customFormat="1" ht="18">
      <c r="A9" s="1231" t="s">
        <v>23</v>
      </c>
      <c r="B9" s="1232"/>
      <c r="C9" s="1232"/>
      <c r="D9" s="1232"/>
      <c r="E9" s="1232"/>
      <c r="F9" s="1232"/>
      <c r="G9" s="1232"/>
      <c r="H9" s="1232"/>
      <c r="I9" s="1232"/>
      <c r="J9" s="1232"/>
      <c r="K9" s="1232"/>
      <c r="L9" s="1232"/>
      <c r="M9" s="1232"/>
      <c r="N9" s="1232"/>
    </row>
    <row r="10" spans="1:15" s="113" customFormat="1" ht="18" customHeight="1">
      <c r="A10" s="1265" t="s">
        <v>3408</v>
      </c>
      <c r="B10" s="1266"/>
      <c r="C10" s="1266"/>
      <c r="D10" s="1266"/>
      <c r="E10" s="1266"/>
      <c r="F10" s="1266"/>
      <c r="G10" s="1266"/>
      <c r="H10" s="1266"/>
      <c r="I10" s="1266"/>
      <c r="J10" s="1266"/>
      <c r="K10" s="1266"/>
      <c r="L10" s="1266"/>
      <c r="M10" s="1266"/>
      <c r="N10" s="1266"/>
    </row>
    <row r="11" spans="1:15" s="113" customFormat="1" ht="18" customHeight="1">
      <c r="A11" s="1240" t="s">
        <v>820</v>
      </c>
      <c r="B11" s="1241"/>
      <c r="C11" s="1241"/>
      <c r="D11" s="1241"/>
      <c r="E11" s="1241"/>
      <c r="F11" s="1241"/>
      <c r="G11" s="1241"/>
      <c r="H11" s="1241"/>
      <c r="I11" s="1264">
        <v>5220</v>
      </c>
      <c r="J11" s="1264"/>
      <c r="K11" s="1264"/>
      <c r="L11" s="1264"/>
      <c r="M11" s="1264"/>
      <c r="N11" s="1264"/>
    </row>
    <row r="12" spans="1:15" s="113" customFormat="1" ht="18" customHeight="1" thickBot="1">
      <c r="A12" s="1234" t="s">
        <v>819</v>
      </c>
      <c r="B12" s="1235"/>
      <c r="C12" s="1235"/>
      <c r="D12" s="1235"/>
      <c r="E12" s="1235"/>
      <c r="F12" s="1235"/>
      <c r="G12" s="1235"/>
      <c r="H12" s="1235"/>
      <c r="I12" s="1235"/>
      <c r="J12" s="1235"/>
      <c r="K12" s="1235"/>
      <c r="L12" s="1235"/>
      <c r="M12" s="1235"/>
      <c r="N12" s="1235"/>
    </row>
    <row r="13" spans="1:15" s="113" customFormat="1" ht="14.25">
      <c r="D13" s="136"/>
      <c r="E13" s="136"/>
      <c r="F13" s="135"/>
      <c r="G13" s="135"/>
      <c r="I13" s="150"/>
      <c r="J13" s="150"/>
      <c r="K13" s="150"/>
      <c r="L13" s="150"/>
    </row>
    <row r="14" spans="1:15" s="113" customFormat="1" ht="13.5" thickBot="1">
      <c r="F14" s="1269" t="s">
        <v>167</v>
      </c>
      <c r="G14" s="1270"/>
      <c r="H14" s="1270"/>
      <c r="I14" s="1270"/>
      <c r="J14" s="1270"/>
      <c r="K14" s="1270"/>
    </row>
    <row r="15" spans="1:15" s="113" customFormat="1" ht="57.75" customHeight="1" thickBot="1">
      <c r="E15" s="254" t="s">
        <v>122</v>
      </c>
      <c r="F15" s="254" t="s">
        <v>169</v>
      </c>
      <c r="G15" s="255" t="s">
        <v>170</v>
      </c>
      <c r="H15" s="255" t="s">
        <v>171</v>
      </c>
      <c r="I15" s="255" t="s">
        <v>172</v>
      </c>
      <c r="J15" s="255" t="s">
        <v>821</v>
      </c>
      <c r="K15" s="254" t="s">
        <v>174</v>
      </c>
    </row>
    <row r="16" spans="1:15" s="113" customFormat="1" ht="35.65" customHeight="1" thickBot="1">
      <c r="E16" s="256">
        <v>31</v>
      </c>
      <c r="F16" s="257"/>
      <c r="G16" s="521" t="s">
        <v>497</v>
      </c>
      <c r="H16" s="281" t="s">
        <v>496</v>
      </c>
      <c r="I16" s="260">
        <v>31958.77</v>
      </c>
      <c r="J16" s="19">
        <f>SUM(I16:I16)*(1-22%)+I11</f>
        <v>30147.8406</v>
      </c>
      <c r="K16" s="20">
        <f>J16*F16</f>
        <v>0</v>
      </c>
    </row>
    <row r="17" spans="1:14" s="266" customFormat="1" ht="15.75" customHeight="1" thickBot="1">
      <c r="E17" s="1271" t="s">
        <v>498</v>
      </c>
      <c r="F17" s="1272"/>
      <c r="G17" s="1272"/>
      <c r="H17" s="1272"/>
      <c r="I17" s="1272"/>
      <c r="J17" s="1272"/>
      <c r="K17" s="1273"/>
    </row>
    <row r="18" spans="1:14" s="266" customFormat="1" ht="13.5" thickBot="1">
      <c r="E18" s="1267"/>
      <c r="F18" s="221"/>
      <c r="G18" s="174" t="s">
        <v>522</v>
      </c>
      <c r="H18" s="176" t="s">
        <v>509</v>
      </c>
      <c r="I18" s="23">
        <v>1726.8041237113403</v>
      </c>
      <c r="J18" s="23">
        <f t="shared" ref="J18:J23" si="0">I18*(1-10%)</f>
        <v>1554.1237113402062</v>
      </c>
      <c r="K18" s="3">
        <f t="shared" ref="K18:K23" si="1">J18*F18</f>
        <v>0</v>
      </c>
      <c r="L18" s="740"/>
    </row>
    <row r="19" spans="1:14" s="151" customFormat="1" ht="43.15" customHeight="1" thickBot="1">
      <c r="E19" s="1267"/>
      <c r="F19" s="221"/>
      <c r="G19" s="174" t="s">
        <v>3411</v>
      </c>
      <c r="H19" s="176" t="s">
        <v>252</v>
      </c>
      <c r="I19" s="23">
        <v>2056.7010309278353</v>
      </c>
      <c r="J19" s="23">
        <f t="shared" si="0"/>
        <v>1851.0309278350519</v>
      </c>
      <c r="K19" s="3">
        <f t="shared" si="1"/>
        <v>0</v>
      </c>
      <c r="L19" s="740"/>
    </row>
    <row r="20" spans="1:14" s="151" customFormat="1" ht="26.25" thickBot="1">
      <c r="E20" s="1267"/>
      <c r="F20" s="221"/>
      <c r="G20" s="174" t="s">
        <v>511</v>
      </c>
      <c r="H20" s="176" t="s">
        <v>977</v>
      </c>
      <c r="I20" s="23">
        <v>298.96907216494844</v>
      </c>
      <c r="J20" s="23">
        <f t="shared" si="0"/>
        <v>269.07216494845363</v>
      </c>
      <c r="K20" s="3">
        <f t="shared" si="1"/>
        <v>0</v>
      </c>
      <c r="L20" s="740"/>
    </row>
    <row r="21" spans="1:14" s="151" customFormat="1" ht="13.5" thickBot="1">
      <c r="E21" s="1267"/>
      <c r="F21" s="221"/>
      <c r="G21" s="174" t="s">
        <v>3412</v>
      </c>
      <c r="H21" s="176" t="s">
        <v>3409</v>
      </c>
      <c r="I21" s="23">
        <v>824.74226804123714</v>
      </c>
      <c r="J21" s="23">
        <f t="shared" si="0"/>
        <v>742.26804123711349</v>
      </c>
      <c r="K21" s="3">
        <f t="shared" si="1"/>
        <v>0</v>
      </c>
      <c r="L21" s="740"/>
    </row>
    <row r="22" spans="1:14" s="151" customFormat="1" ht="13.5" thickBot="1">
      <c r="E22" s="1267"/>
      <c r="F22" s="221"/>
      <c r="G22" s="174" t="s">
        <v>519</v>
      </c>
      <c r="H22" s="176" t="s">
        <v>967</v>
      </c>
      <c r="I22" s="23">
        <v>613.40206185567013</v>
      </c>
      <c r="J22" s="23">
        <f t="shared" si="0"/>
        <v>552.06185567010311</v>
      </c>
      <c r="K22" s="3">
        <f t="shared" si="1"/>
        <v>0</v>
      </c>
      <c r="L22" s="740"/>
    </row>
    <row r="23" spans="1:14" s="151" customFormat="1" ht="26.25" thickBot="1">
      <c r="E23" s="1268"/>
      <c r="F23" s="221"/>
      <c r="G23" s="174" t="s">
        <v>521</v>
      </c>
      <c r="H23" s="176" t="s">
        <v>3410</v>
      </c>
      <c r="I23" s="23">
        <v>510.30927835051546</v>
      </c>
      <c r="J23" s="23">
        <f t="shared" si="0"/>
        <v>459.2783505154639</v>
      </c>
      <c r="K23" s="3">
        <f t="shared" si="1"/>
        <v>0</v>
      </c>
      <c r="L23" s="740"/>
    </row>
    <row r="24" spans="1:14" s="151" customFormat="1" ht="15">
      <c r="A24" s="156"/>
      <c r="B24" s="106"/>
      <c r="C24" s="106"/>
      <c r="D24" s="997"/>
      <c r="E24" s="998"/>
      <c r="F24" s="998"/>
      <c r="G24" s="9"/>
      <c r="I24" s="1263" t="s">
        <v>183</v>
      </c>
      <c r="J24" s="1263"/>
      <c r="K24" s="9">
        <f>SUM(K18:K22)+K16</f>
        <v>0</v>
      </c>
    </row>
    <row r="25" spans="1:14" s="151" customFormat="1">
      <c r="A25" s="162"/>
      <c r="B25" s="104"/>
      <c r="C25" s="104"/>
      <c r="D25" s="162"/>
      <c r="E25" s="162"/>
      <c r="F25" s="172"/>
      <c r="G25" s="172"/>
      <c r="H25" s="162"/>
      <c r="I25" s="162"/>
      <c r="J25" s="162"/>
      <c r="K25" s="162"/>
      <c r="L25" s="162"/>
      <c r="M25" s="162"/>
      <c r="N25" s="162"/>
    </row>
    <row r="26" spans="1:14" s="151" customFormat="1" ht="15.75">
      <c r="A26" s="104"/>
      <c r="B26" s="271"/>
      <c r="C26" s="271"/>
      <c r="D26" s="272"/>
      <c r="E26" s="272"/>
      <c r="F26" s="273"/>
      <c r="G26" s="165"/>
      <c r="H26" s="104"/>
      <c r="I26" s="104"/>
      <c r="J26" s="104"/>
      <c r="K26" s="104"/>
      <c r="L26" s="104"/>
      <c r="M26" s="104"/>
      <c r="N26" s="104"/>
    </row>
    <row r="27" spans="1:14" s="156" customFormat="1">
      <c r="A27" s="104"/>
      <c r="B27" s="104"/>
      <c r="C27" s="104"/>
      <c r="D27" s="104"/>
      <c r="E27" s="104"/>
      <c r="F27" s="273"/>
      <c r="G27" s="165"/>
      <c r="H27" s="104"/>
      <c r="I27" s="104"/>
      <c r="J27" s="104"/>
      <c r="K27" s="104"/>
      <c r="L27" s="104"/>
      <c r="M27" s="104"/>
      <c r="N27" s="104"/>
    </row>
    <row r="28" spans="1:14" s="156" customFormat="1">
      <c r="A28" s="104"/>
      <c r="B28" s="104"/>
      <c r="C28" s="104"/>
      <c r="D28" s="104"/>
      <c r="E28" s="104"/>
      <c r="F28" s="165"/>
      <c r="G28" s="165"/>
      <c r="H28" s="104"/>
      <c r="I28" s="104"/>
      <c r="J28" s="104"/>
      <c r="K28" s="104"/>
      <c r="L28" s="104"/>
      <c r="M28" s="104"/>
      <c r="N28" s="104"/>
    </row>
    <row r="29" spans="1:14" s="274" customFormat="1" hidden="1">
      <c r="A29" s="104"/>
      <c r="B29" s="104"/>
      <c r="C29" s="104"/>
      <c r="D29" s="104"/>
      <c r="E29" s="104"/>
      <c r="F29" s="165"/>
      <c r="G29" s="165"/>
      <c r="H29" s="104"/>
      <c r="I29" s="104"/>
      <c r="J29" s="104"/>
      <c r="K29" s="104"/>
      <c r="L29" s="104"/>
      <c r="M29" s="104"/>
      <c r="N29" s="104"/>
    </row>
    <row r="30" spans="1:14" s="156" customFormat="1">
      <c r="A30" s="104"/>
      <c r="B30" s="104"/>
      <c r="C30" s="104"/>
      <c r="D30" s="104"/>
      <c r="E30" s="104"/>
      <c r="F30" s="165"/>
      <c r="G30" s="165"/>
      <c r="H30" s="104"/>
      <c r="I30" s="104"/>
      <c r="J30" s="104"/>
      <c r="K30" s="104"/>
      <c r="L30" s="104"/>
      <c r="M30" s="104"/>
      <c r="N30" s="104"/>
    </row>
    <row r="31" spans="1:14" s="162" customFormat="1">
      <c r="A31" s="104"/>
      <c r="B31" s="104"/>
      <c r="C31" s="104"/>
      <c r="D31" s="104"/>
      <c r="E31" s="104"/>
      <c r="F31" s="165"/>
      <c r="G31" s="165"/>
      <c r="H31" s="104"/>
      <c r="I31" s="104"/>
      <c r="J31" s="104"/>
      <c r="K31" s="104"/>
      <c r="L31" s="104"/>
      <c r="M31" s="104"/>
      <c r="N31" s="104"/>
    </row>
    <row r="39" spans="2:12">
      <c r="L39" s="665"/>
    </row>
    <row r="44" spans="2:12">
      <c r="B44" s="106"/>
      <c r="C44" s="106"/>
    </row>
  </sheetData>
  <mergeCells count="12">
    <mergeCell ref="I11:N11"/>
    <mergeCell ref="A12:N12"/>
    <mergeCell ref="D24:F24"/>
    <mergeCell ref="A4:N4"/>
    <mergeCell ref="A5:N5"/>
    <mergeCell ref="I24:J24"/>
    <mergeCell ref="A9:N9"/>
    <mergeCell ref="A10:N10"/>
    <mergeCell ref="E17:K17"/>
    <mergeCell ref="E18:E23"/>
    <mergeCell ref="F14:K14"/>
    <mergeCell ref="A11:H11"/>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8">
    <tabColor indexed="44"/>
  </sheetPr>
  <dimension ref="A1:R48"/>
  <sheetViews>
    <sheetView topLeftCell="A4" zoomScale="65" zoomScaleNormal="65" workbookViewId="0">
      <selection activeCell="J42" sqref="J42"/>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8" width="10.85546875" style="104" customWidth="1"/>
    <col min="19"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825</v>
      </c>
      <c r="B4" s="979"/>
      <c r="C4" s="979"/>
      <c r="D4" s="979"/>
      <c r="E4" s="979"/>
      <c r="F4" s="979"/>
      <c r="G4" s="979"/>
      <c r="H4" s="979"/>
      <c r="I4" s="979"/>
      <c r="J4" s="979"/>
      <c r="K4" s="979"/>
      <c r="L4" s="979"/>
      <c r="M4" s="979"/>
      <c r="N4" s="979"/>
      <c r="O4" s="979"/>
    </row>
    <row r="5" spans="1:18" s="114" customFormat="1" ht="41.25" customHeight="1">
      <c r="A5" s="1276" t="s">
        <v>251</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F8" s="249"/>
      <c r="G8" s="249"/>
      <c r="H8" s="1275"/>
      <c r="I8" s="1275"/>
      <c r="J8" s="1275"/>
      <c r="K8" s="173"/>
    </row>
    <row r="9" spans="1:18" s="113" customFormat="1">
      <c r="F9" s="249"/>
      <c r="G9" s="249"/>
      <c r="H9" s="123"/>
    </row>
    <row r="10" spans="1:18" s="113" customFormat="1">
      <c r="F10" s="249"/>
      <c r="G10" s="249"/>
      <c r="H10" s="123"/>
      <c r="J10" s="124"/>
      <c r="L10" s="124"/>
    </row>
    <row r="11" spans="1:18" s="113" customFormat="1" ht="12" customHeight="1">
      <c r="F11" s="249"/>
      <c r="G11" s="249"/>
      <c r="H11" s="123"/>
      <c r="I11" s="124"/>
      <c r="J11" s="124"/>
      <c r="L11" s="124"/>
    </row>
    <row r="12" spans="1:18" s="113" customFormat="1" ht="18.75" thickBot="1">
      <c r="A12" s="1279" t="s">
        <v>23</v>
      </c>
      <c r="B12" s="1245"/>
      <c r="C12" s="1245"/>
      <c r="D12" s="1245"/>
      <c r="E12" s="1245"/>
      <c r="F12" s="1245"/>
      <c r="G12" s="1245"/>
      <c r="H12" s="1245"/>
      <c r="I12" s="1245"/>
      <c r="J12" s="1245"/>
      <c r="K12" s="1245"/>
      <c r="L12" s="1245"/>
      <c r="M12" s="1245"/>
      <c r="N12" s="1245"/>
      <c r="O12" s="1245"/>
      <c r="P12" s="1245"/>
      <c r="Q12" s="1245"/>
    </row>
    <row r="13" spans="1:18" s="113" customFormat="1" ht="18" customHeight="1">
      <c r="A13" s="1280" t="s">
        <v>93</v>
      </c>
      <c r="B13" s="1281"/>
      <c r="C13" s="1281"/>
      <c r="D13" s="1281"/>
      <c r="E13" s="1281"/>
      <c r="F13" s="1281"/>
      <c r="G13" s="1281"/>
      <c r="H13" s="1281"/>
      <c r="I13" s="1281"/>
      <c r="J13" s="1281"/>
      <c r="K13" s="1281"/>
      <c r="L13" s="1281"/>
      <c r="M13" s="1281"/>
      <c r="N13" s="1281"/>
      <c r="O13" s="1281"/>
      <c r="P13" s="1281"/>
      <c r="Q13" s="1282"/>
    </row>
    <row r="14" spans="1:18" s="113" customFormat="1" ht="18" customHeight="1">
      <c r="A14" s="1240" t="s">
        <v>91</v>
      </c>
      <c r="B14" s="1241"/>
      <c r="C14" s="1241"/>
      <c r="D14" s="1241"/>
      <c r="E14" s="1241"/>
      <c r="F14" s="1241"/>
      <c r="G14" s="1241"/>
      <c r="H14" s="1241"/>
      <c r="I14" s="1264">
        <v>1500</v>
      </c>
      <c r="J14" s="1264"/>
      <c r="K14" s="1264"/>
      <c r="L14" s="1264"/>
      <c r="M14" s="1264"/>
      <c r="N14" s="1264"/>
      <c r="O14" s="1264"/>
      <c r="P14" s="1264"/>
      <c r="Q14" s="1283"/>
    </row>
    <row r="15" spans="1:18" s="113" customFormat="1" ht="18" customHeight="1" thickBot="1">
      <c r="A15" s="1234" t="s">
        <v>0</v>
      </c>
      <c r="B15" s="1235"/>
      <c r="C15" s="1235"/>
      <c r="D15" s="1235"/>
      <c r="E15" s="1235"/>
      <c r="F15" s="1235"/>
      <c r="G15" s="1235"/>
      <c r="H15" s="1235"/>
      <c r="I15" s="1235"/>
      <c r="J15" s="1235"/>
      <c r="K15" s="1235"/>
      <c r="L15" s="1235"/>
      <c r="M15" s="1235"/>
      <c r="N15" s="1235"/>
      <c r="O15" s="1235"/>
      <c r="P15" s="1235"/>
      <c r="Q15" s="1236"/>
    </row>
    <row r="16" spans="1:18" s="113" customFormat="1" ht="15" thickBot="1">
      <c r="D16" s="136"/>
      <c r="E16" s="136"/>
      <c r="F16" s="135"/>
      <c r="G16" s="135"/>
      <c r="I16" s="150"/>
      <c r="J16" s="150"/>
      <c r="K16" s="150"/>
      <c r="L16" s="150"/>
    </row>
    <row r="17" spans="1:18" s="113" customFormat="1" ht="13.5" thickBot="1">
      <c r="F17" s="1217" t="s">
        <v>167</v>
      </c>
      <c r="G17" s="1008"/>
      <c r="H17" s="1277" t="s">
        <v>168</v>
      </c>
      <c r="I17" s="1278"/>
      <c r="J17" s="1278"/>
      <c r="K17" s="1278"/>
      <c r="L17" s="1278"/>
      <c r="M17" s="1278"/>
      <c r="N17" s="1278"/>
      <c r="O17" s="1278"/>
      <c r="P17" s="1278"/>
      <c r="Q17" s="1278"/>
    </row>
    <row r="18" spans="1:18" s="113" customFormat="1" ht="57.75" customHeight="1" thickBot="1">
      <c r="A18" s="254" t="s">
        <v>122</v>
      </c>
      <c r="B18" s="254" t="s">
        <v>169</v>
      </c>
      <c r="C18" s="255" t="s">
        <v>170</v>
      </c>
      <c r="D18" s="255" t="s">
        <v>171</v>
      </c>
      <c r="E18" s="255" t="s">
        <v>172</v>
      </c>
      <c r="F18" s="255" t="s">
        <v>173</v>
      </c>
      <c r="G18" s="254" t="s">
        <v>174</v>
      </c>
      <c r="H18" s="255" t="s">
        <v>176</v>
      </c>
      <c r="I18" s="254" t="s">
        <v>174</v>
      </c>
      <c r="J18" s="255" t="s">
        <v>177</v>
      </c>
      <c r="K18" s="254" t="s">
        <v>174</v>
      </c>
      <c r="L18" s="255" t="s">
        <v>178</v>
      </c>
      <c r="M18" s="254" t="s">
        <v>174</v>
      </c>
      <c r="N18" s="255" t="s">
        <v>157</v>
      </c>
      <c r="O18" s="254" t="s">
        <v>174</v>
      </c>
      <c r="P18" s="255" t="s">
        <v>824</v>
      </c>
      <c r="Q18" s="254" t="s">
        <v>174</v>
      </c>
    </row>
    <row r="19" spans="1:18" s="113" customFormat="1" ht="46.5" customHeight="1" thickBot="1">
      <c r="A19" s="563">
        <v>40</v>
      </c>
      <c r="B19" s="257"/>
      <c r="C19" s="258" t="s">
        <v>954</v>
      </c>
      <c r="D19" s="281" t="s">
        <v>955</v>
      </c>
      <c r="E19" s="260">
        <v>19793.82</v>
      </c>
      <c r="F19" s="19">
        <f>SUM(E19:E19)*(1-22%)</f>
        <v>15439.179599999999</v>
      </c>
      <c r="G19" s="20">
        <f>F19*B19</f>
        <v>0</v>
      </c>
      <c r="H19" s="19">
        <f>F19*0.03137+I14/12</f>
        <v>609.32706405199997</v>
      </c>
      <c r="I19" s="20">
        <f>H19*B19</f>
        <v>0</v>
      </c>
      <c r="J19" s="19">
        <f>F19*0.0274+I14/12</f>
        <v>548.03352103999998</v>
      </c>
      <c r="K19" s="20">
        <f>J19*B19</f>
        <v>0</v>
      </c>
      <c r="L19" s="20">
        <f>F19*0.0228+I14/12</f>
        <v>477.01329487999999</v>
      </c>
      <c r="M19" s="20">
        <f>L19*B19</f>
        <v>0</v>
      </c>
      <c r="N19" s="20">
        <f>F19*0.0204+I14/12</f>
        <v>439.95926384000001</v>
      </c>
      <c r="O19" s="20">
        <f>N19*B19</f>
        <v>0</v>
      </c>
      <c r="P19" s="20">
        <f>F19*0.0185+I14/12</f>
        <v>410.62482259999996</v>
      </c>
      <c r="Q19" s="20">
        <f>P19*B19</f>
        <v>0</v>
      </c>
    </row>
    <row r="20" spans="1:18" s="266" customFormat="1" ht="15.75" customHeight="1" thickBot="1">
      <c r="A20" s="1271" t="s">
        <v>182</v>
      </c>
      <c r="B20" s="1272"/>
      <c r="C20" s="1272"/>
      <c r="D20" s="1272"/>
      <c r="E20" s="1272"/>
      <c r="F20" s="1272"/>
      <c r="G20" s="1272"/>
      <c r="H20" s="1272"/>
      <c r="I20" s="1272"/>
      <c r="J20" s="1272"/>
      <c r="K20" s="1272"/>
      <c r="L20" s="1272"/>
      <c r="M20" s="1272"/>
      <c r="N20" s="1272"/>
      <c r="O20" s="1272"/>
      <c r="P20" s="1272"/>
      <c r="Q20" s="1273"/>
    </row>
    <row r="21" spans="1:18" s="266" customFormat="1" ht="26.25" thickBot="1">
      <c r="A21" s="1005"/>
      <c r="B21" s="568"/>
      <c r="C21" s="592" t="s">
        <v>956</v>
      </c>
      <c r="D21" s="569" t="s">
        <v>961</v>
      </c>
      <c r="E21" s="570">
        <v>716.4948453608248</v>
      </c>
      <c r="F21" s="43">
        <f>E21*(1-20%)</f>
        <v>573.19587628865986</v>
      </c>
      <c r="G21" s="74">
        <f t="shared" ref="G21:G27" si="0">F21*B21</f>
        <v>0</v>
      </c>
      <c r="H21" s="43">
        <f t="shared" ref="H21:H27" si="1">F21*0.03137</f>
        <v>17.981154639175262</v>
      </c>
      <c r="I21" s="74">
        <f t="shared" ref="I21:I27" si="2">H21*B21</f>
        <v>0</v>
      </c>
      <c r="J21" s="43">
        <f t="shared" ref="J21:J27" si="3">F21*0.0274</f>
        <v>15.705567010309281</v>
      </c>
      <c r="K21" s="74">
        <f t="shared" ref="K21:K27" si="4">J21*B21</f>
        <v>0</v>
      </c>
      <c r="L21" s="43">
        <f t="shared" ref="L21:L27" si="5">F21*0.0228</f>
        <v>13.068865979381446</v>
      </c>
      <c r="M21" s="43">
        <f t="shared" ref="M21:M27" si="6">L21*B21</f>
        <v>0</v>
      </c>
      <c r="N21" s="43">
        <f t="shared" ref="N21:N27" si="7">F21*0.0204</f>
        <v>11.693195876288662</v>
      </c>
      <c r="O21" s="43">
        <f t="shared" ref="O21:O27" si="8">N21*B21</f>
        <v>0</v>
      </c>
      <c r="P21" s="43">
        <f>F21*0.0185</f>
        <v>10.604123711340208</v>
      </c>
      <c r="Q21" s="43">
        <f>P21*B21</f>
        <v>0</v>
      </c>
      <c r="R21" s="740"/>
    </row>
    <row r="22" spans="1:18" s="156" customFormat="1" ht="13.5" thickBot="1">
      <c r="A22" s="1156"/>
      <c r="B22" s="221"/>
      <c r="C22" s="593" t="s">
        <v>957</v>
      </c>
      <c r="D22" s="282" t="s">
        <v>962</v>
      </c>
      <c r="E22" s="283">
        <v>1025.7731958762886</v>
      </c>
      <c r="F22" s="44">
        <f t="shared" ref="F22:F27" si="9">E22*(1-20%)</f>
        <v>820.61855670103091</v>
      </c>
      <c r="G22" s="3">
        <f>F22*B22</f>
        <v>0</v>
      </c>
      <c r="H22" s="21">
        <f t="shared" si="1"/>
        <v>25.742804123711341</v>
      </c>
      <c r="I22" s="2">
        <f>H22*B22</f>
        <v>0</v>
      </c>
      <c r="J22" s="21">
        <f t="shared" si="3"/>
        <v>22.484948453608247</v>
      </c>
      <c r="K22" s="22">
        <f>J22*B22</f>
        <v>0</v>
      </c>
      <c r="L22" s="21">
        <f t="shared" si="5"/>
        <v>18.710103092783505</v>
      </c>
      <c r="M22" s="21">
        <f>L22*B22</f>
        <v>0</v>
      </c>
      <c r="N22" s="21">
        <f t="shared" si="7"/>
        <v>16.740618556701033</v>
      </c>
      <c r="O22" s="21">
        <f>N22*B22</f>
        <v>0</v>
      </c>
      <c r="P22" s="43">
        <f t="shared" ref="P22:P27" si="10">F22*0.0185</f>
        <v>15.181443298969072</v>
      </c>
      <c r="Q22" s="43">
        <f t="shared" ref="Q22:Q27" si="11">P22*B22</f>
        <v>0</v>
      </c>
      <c r="R22" s="740"/>
    </row>
    <row r="23" spans="1:18" s="151" customFormat="1" ht="13.5" thickBot="1">
      <c r="A23" s="1156"/>
      <c r="B23" s="221"/>
      <c r="C23" s="593" t="s">
        <v>958</v>
      </c>
      <c r="D23" s="282" t="s">
        <v>963</v>
      </c>
      <c r="E23" s="283">
        <v>1958.7628865979382</v>
      </c>
      <c r="F23" s="44">
        <f t="shared" si="9"/>
        <v>1567.0103092783506</v>
      </c>
      <c r="G23" s="3">
        <f t="shared" si="0"/>
        <v>0</v>
      </c>
      <c r="H23" s="21">
        <f t="shared" si="1"/>
        <v>49.15711340206186</v>
      </c>
      <c r="I23" s="2">
        <f t="shared" si="2"/>
        <v>0</v>
      </c>
      <c r="J23" s="21">
        <f t="shared" si="3"/>
        <v>42.936082474226808</v>
      </c>
      <c r="K23" s="22">
        <f t="shared" si="4"/>
        <v>0</v>
      </c>
      <c r="L23" s="21">
        <f t="shared" si="5"/>
        <v>35.727835051546393</v>
      </c>
      <c r="M23" s="21">
        <f t="shared" si="6"/>
        <v>0</v>
      </c>
      <c r="N23" s="21">
        <f t="shared" si="7"/>
        <v>31.967010309278354</v>
      </c>
      <c r="O23" s="21">
        <f t="shared" si="8"/>
        <v>0</v>
      </c>
      <c r="P23" s="43">
        <f t="shared" si="10"/>
        <v>28.989690721649485</v>
      </c>
      <c r="Q23" s="43">
        <f t="shared" si="11"/>
        <v>0</v>
      </c>
      <c r="R23" s="740"/>
    </row>
    <row r="24" spans="1:18" s="151" customFormat="1" ht="26.25" thickBot="1">
      <c r="A24" s="1156"/>
      <c r="B24" s="221"/>
      <c r="C24" s="593" t="s">
        <v>959</v>
      </c>
      <c r="D24" s="282" t="s">
        <v>964</v>
      </c>
      <c r="E24" s="283">
        <v>2056.7010309278353</v>
      </c>
      <c r="F24" s="44">
        <f t="shared" si="9"/>
        <v>1645.3608247422683</v>
      </c>
      <c r="G24" s="3">
        <f t="shared" si="0"/>
        <v>0</v>
      </c>
      <c r="H24" s="21">
        <f t="shared" si="1"/>
        <v>51.614969072164961</v>
      </c>
      <c r="I24" s="2">
        <f t="shared" si="2"/>
        <v>0</v>
      </c>
      <c r="J24" s="21">
        <f t="shared" si="3"/>
        <v>45.082886597938149</v>
      </c>
      <c r="K24" s="22">
        <f t="shared" si="4"/>
        <v>0</v>
      </c>
      <c r="L24" s="21">
        <f t="shared" si="5"/>
        <v>37.514226804123716</v>
      </c>
      <c r="M24" s="21">
        <f t="shared" si="6"/>
        <v>0</v>
      </c>
      <c r="N24" s="21">
        <f t="shared" si="7"/>
        <v>33.565360824742278</v>
      </c>
      <c r="O24" s="21">
        <f t="shared" si="8"/>
        <v>0</v>
      </c>
      <c r="P24" s="43">
        <f t="shared" si="10"/>
        <v>30.439175257731961</v>
      </c>
      <c r="Q24" s="43">
        <f t="shared" si="11"/>
        <v>0</v>
      </c>
      <c r="R24" s="740"/>
    </row>
    <row r="25" spans="1:18" s="151" customFormat="1" ht="12.6" customHeight="1" thickBot="1">
      <c r="A25" s="1156"/>
      <c r="B25" s="221"/>
      <c r="C25" s="593" t="s">
        <v>511</v>
      </c>
      <c r="D25" s="282" t="s">
        <v>965</v>
      </c>
      <c r="E25" s="283">
        <v>298.96907216494844</v>
      </c>
      <c r="F25" s="44">
        <f t="shared" si="9"/>
        <v>239.17525773195877</v>
      </c>
      <c r="G25" s="3">
        <f t="shared" si="0"/>
        <v>0</v>
      </c>
      <c r="H25" s="21">
        <f t="shared" si="1"/>
        <v>7.5029278350515467</v>
      </c>
      <c r="I25" s="2">
        <f t="shared" si="2"/>
        <v>0</v>
      </c>
      <c r="J25" s="21">
        <f t="shared" si="3"/>
        <v>6.5534020618556701</v>
      </c>
      <c r="K25" s="22">
        <f t="shared" si="4"/>
        <v>0</v>
      </c>
      <c r="L25" s="21">
        <f t="shared" si="5"/>
        <v>5.4531958762886603</v>
      </c>
      <c r="M25" s="21">
        <f t="shared" si="6"/>
        <v>0</v>
      </c>
      <c r="N25" s="21">
        <f t="shared" si="7"/>
        <v>4.8791752577319594</v>
      </c>
      <c r="O25" s="21">
        <f t="shared" si="8"/>
        <v>0</v>
      </c>
      <c r="P25" s="43">
        <f t="shared" si="10"/>
        <v>4.4247422680412374</v>
      </c>
      <c r="Q25" s="43">
        <f t="shared" si="11"/>
        <v>0</v>
      </c>
      <c r="R25" s="740"/>
    </row>
    <row r="26" spans="1:18" s="151" customFormat="1" ht="13.5" thickBot="1">
      <c r="A26" s="1156"/>
      <c r="B26" s="221"/>
      <c r="C26" s="593" t="s">
        <v>960</v>
      </c>
      <c r="D26" s="282" t="s">
        <v>966</v>
      </c>
      <c r="E26" s="283">
        <v>819.58762886597935</v>
      </c>
      <c r="F26" s="44">
        <f t="shared" si="9"/>
        <v>655.67010309278351</v>
      </c>
      <c r="G26" s="3">
        <f t="shared" si="0"/>
        <v>0</v>
      </c>
      <c r="H26" s="21">
        <f t="shared" si="1"/>
        <v>20.568371134020619</v>
      </c>
      <c r="I26" s="2">
        <f t="shared" si="2"/>
        <v>0</v>
      </c>
      <c r="J26" s="21">
        <f t="shared" si="3"/>
        <v>17.96536082474227</v>
      </c>
      <c r="K26" s="22">
        <f t="shared" si="4"/>
        <v>0</v>
      </c>
      <c r="L26" s="21">
        <f t="shared" si="5"/>
        <v>14.949278350515465</v>
      </c>
      <c r="M26" s="21">
        <f t="shared" si="6"/>
        <v>0</v>
      </c>
      <c r="N26" s="21">
        <f t="shared" si="7"/>
        <v>13.375670103092785</v>
      </c>
      <c r="O26" s="21">
        <f t="shared" si="8"/>
        <v>0</v>
      </c>
      <c r="P26" s="43">
        <f t="shared" si="10"/>
        <v>12.129896907216494</v>
      </c>
      <c r="Q26" s="43">
        <f t="shared" si="11"/>
        <v>0</v>
      </c>
      <c r="R26" s="740"/>
    </row>
    <row r="27" spans="1:18" s="151" customFormat="1" ht="13.5" thickBot="1">
      <c r="A27" s="1227"/>
      <c r="B27" s="221"/>
      <c r="C27" s="593" t="s">
        <v>519</v>
      </c>
      <c r="D27" s="282" t="s">
        <v>967</v>
      </c>
      <c r="E27" s="283">
        <v>613.40206185567013</v>
      </c>
      <c r="F27" s="44">
        <f t="shared" si="9"/>
        <v>490.7216494845361</v>
      </c>
      <c r="G27" s="3">
        <f t="shared" si="0"/>
        <v>0</v>
      </c>
      <c r="H27" s="21">
        <f t="shared" si="1"/>
        <v>15.393938144329898</v>
      </c>
      <c r="I27" s="2">
        <f t="shared" si="2"/>
        <v>0</v>
      </c>
      <c r="J27" s="21">
        <f t="shared" si="3"/>
        <v>13.44577319587629</v>
      </c>
      <c r="K27" s="22">
        <f t="shared" si="4"/>
        <v>0</v>
      </c>
      <c r="L27" s="21">
        <f t="shared" si="5"/>
        <v>11.188453608247423</v>
      </c>
      <c r="M27" s="21">
        <f t="shared" si="6"/>
        <v>0</v>
      </c>
      <c r="N27" s="21">
        <f t="shared" si="7"/>
        <v>10.010721649484537</v>
      </c>
      <c r="O27" s="21">
        <f t="shared" si="8"/>
        <v>0</v>
      </c>
      <c r="P27" s="43">
        <f t="shared" si="10"/>
        <v>9.0783505154639172</v>
      </c>
      <c r="Q27" s="43">
        <f t="shared" si="11"/>
        <v>0</v>
      </c>
      <c r="R27" s="740"/>
    </row>
    <row r="28" spans="1:18" s="151" customFormat="1" ht="15">
      <c r="A28" s="156"/>
      <c r="B28" s="106"/>
      <c r="C28" s="106"/>
      <c r="D28" s="997" t="s">
        <v>183</v>
      </c>
      <c r="E28" s="998"/>
      <c r="F28" s="1274"/>
      <c r="G28" s="9">
        <f>SUM(G21:G27)+G19</f>
        <v>0</v>
      </c>
      <c r="H28" s="10" t="s">
        <v>185</v>
      </c>
      <c r="I28" s="9">
        <f>SUM(I21:I27)+I19</f>
        <v>0</v>
      </c>
      <c r="J28" s="10" t="s">
        <v>186</v>
      </c>
      <c r="K28" s="9">
        <f>SUM(K21:K27)+K19</f>
        <v>0</v>
      </c>
      <c r="L28" s="10" t="s">
        <v>187</v>
      </c>
      <c r="M28" s="9">
        <f>SUM(M21:M27)+M19</f>
        <v>0</v>
      </c>
      <c r="N28" s="10" t="s">
        <v>94</v>
      </c>
      <c r="O28" s="9">
        <f>SUM(O21:O27)+O19</f>
        <v>0</v>
      </c>
      <c r="P28" s="10" t="s">
        <v>826</v>
      </c>
      <c r="Q28" s="9">
        <f>SUM(Q21:Q27)+Q19</f>
        <v>0</v>
      </c>
    </row>
    <row r="29" spans="1:18" s="151" customFormat="1">
      <c r="A29" s="162"/>
      <c r="B29" s="104"/>
      <c r="C29" s="104"/>
      <c r="D29" s="162"/>
      <c r="E29" s="162"/>
      <c r="F29" s="24"/>
      <c r="G29" s="24"/>
      <c r="H29" s="26"/>
      <c r="I29" s="26"/>
      <c r="J29" s="26"/>
      <c r="K29" s="26"/>
      <c r="L29" s="26"/>
      <c r="M29" s="26"/>
      <c r="N29" s="26"/>
      <c r="O29" s="26"/>
      <c r="P29" s="26"/>
      <c r="Q29" s="26"/>
    </row>
    <row r="30" spans="1:18" s="151" customFormat="1" ht="15.75">
      <c r="A30" s="104"/>
      <c r="B30" s="271"/>
      <c r="C30" s="271"/>
      <c r="D30" s="272"/>
      <c r="E30" s="272"/>
      <c r="F30" s="25"/>
      <c r="G30" s="7"/>
      <c r="H30" s="8"/>
      <c r="I30" s="8"/>
      <c r="J30" s="8"/>
      <c r="K30" s="8"/>
      <c r="L30" s="8"/>
      <c r="M30" s="8"/>
      <c r="N30" s="8"/>
      <c r="O30" s="8"/>
      <c r="P30" s="8"/>
      <c r="Q30" s="8"/>
    </row>
    <row r="31" spans="1:18" s="156" customFormat="1">
      <c r="A31" s="104"/>
      <c r="B31" s="104"/>
      <c r="C31" s="104"/>
      <c r="D31" s="104"/>
      <c r="E31" s="104"/>
      <c r="F31" s="25"/>
      <c r="G31" s="7"/>
      <c r="H31" s="8"/>
      <c r="I31" s="8"/>
      <c r="J31" s="8"/>
      <c r="K31" s="8"/>
      <c r="L31" s="8"/>
      <c r="M31" s="8"/>
      <c r="N31" s="8"/>
      <c r="O31" s="8"/>
      <c r="P31" s="8"/>
      <c r="Q31" s="8"/>
    </row>
    <row r="32" spans="1:18" s="156" customFormat="1">
      <c r="A32" s="104"/>
      <c r="B32" s="104"/>
      <c r="C32" s="104"/>
      <c r="D32" s="104"/>
      <c r="E32" s="104"/>
      <c r="F32" s="7"/>
      <c r="G32" s="7"/>
      <c r="H32" s="8"/>
      <c r="I32" s="8"/>
      <c r="J32" s="8"/>
      <c r="K32" s="8"/>
      <c r="L32" s="8"/>
      <c r="M32" s="8"/>
      <c r="N32" s="8"/>
      <c r="O32" s="8"/>
      <c r="P32" s="8"/>
      <c r="Q32" s="8"/>
    </row>
    <row r="33" spans="1:17" s="274" customFormat="1" hidden="1">
      <c r="A33" s="104"/>
      <c r="B33" s="104"/>
      <c r="C33" s="104"/>
      <c r="D33" s="104"/>
      <c r="E33" s="104"/>
      <c r="F33" s="7"/>
      <c r="G33" s="7"/>
      <c r="H33" s="8"/>
      <c r="I33" s="8"/>
      <c r="J33" s="8"/>
      <c r="K33" s="8"/>
      <c r="L33" s="8"/>
      <c r="M33" s="8"/>
      <c r="N33" s="8"/>
      <c r="O33" s="8"/>
      <c r="P33" s="8"/>
      <c r="Q33" s="8"/>
    </row>
    <row r="34" spans="1:17" s="156" customFormat="1">
      <c r="A34" s="104"/>
      <c r="B34" s="104"/>
      <c r="C34" s="104"/>
      <c r="D34" s="104"/>
      <c r="E34" s="104"/>
      <c r="F34" s="165"/>
      <c r="G34" s="7"/>
      <c r="H34" s="104"/>
      <c r="I34" s="8"/>
      <c r="J34" s="104"/>
      <c r="K34" s="8"/>
      <c r="L34" s="104"/>
      <c r="M34" s="8"/>
      <c r="N34" s="104"/>
      <c r="O34" s="8"/>
      <c r="P34" s="104"/>
      <c r="Q34" s="8"/>
    </row>
    <row r="35" spans="1:17" s="162" customFormat="1">
      <c r="A35" s="104"/>
      <c r="B35" s="104"/>
      <c r="C35" s="104"/>
      <c r="D35" s="104"/>
      <c r="E35" s="104"/>
      <c r="F35" s="165"/>
      <c r="G35" s="165"/>
      <c r="H35" s="104"/>
      <c r="I35" s="104"/>
      <c r="J35" s="104"/>
      <c r="K35" s="104"/>
      <c r="L35" s="104"/>
      <c r="M35" s="104"/>
      <c r="N35" s="104"/>
      <c r="O35" s="104"/>
      <c r="P35" s="104"/>
      <c r="Q35" s="104"/>
    </row>
    <row r="39" spans="1:17">
      <c r="L39" s="665">
        <f>F39*0.0256</f>
        <v>0</v>
      </c>
    </row>
    <row r="48" spans="1:17">
      <c r="B48" s="106"/>
      <c r="C48" s="106"/>
    </row>
  </sheetData>
  <mergeCells count="13">
    <mergeCell ref="D28:F28"/>
    <mergeCell ref="F17:G17"/>
    <mergeCell ref="A14:H14"/>
    <mergeCell ref="A21:A27"/>
    <mergeCell ref="A4:O4"/>
    <mergeCell ref="H8:J8"/>
    <mergeCell ref="A5:O5"/>
    <mergeCell ref="H17:Q17"/>
    <mergeCell ref="A20:Q20"/>
    <mergeCell ref="A12:Q12"/>
    <mergeCell ref="A13:Q13"/>
    <mergeCell ref="I14:Q14"/>
    <mergeCell ref="A15:Q15"/>
  </mergeCells>
  <phoneticPr fontId="0" type="noConversion"/>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E930-D952-4B10-A2CB-D887E9C7863E}">
  <sheetPr>
    <tabColor indexed="62"/>
  </sheetPr>
  <dimension ref="A1:P95"/>
  <sheetViews>
    <sheetView showOutlineSymbols="0" topLeftCell="B14" zoomScale="87" zoomScaleNormal="87" workbookViewId="0">
      <selection activeCell="D59" sqref="D59"/>
    </sheetView>
  </sheetViews>
  <sheetFormatPr defaultColWidth="8.85546875" defaultRowHeight="12.75" outlineLevelRow="2"/>
  <cols>
    <col min="1" max="1" width="14.7109375" style="378" customWidth="1"/>
    <col min="2" max="2" width="8.7109375" style="378" customWidth="1"/>
    <col min="3" max="3" width="22" style="378" customWidth="1"/>
    <col min="4" max="4" width="50" style="378" customWidth="1"/>
    <col min="5" max="5" width="15.7109375" style="378" customWidth="1"/>
    <col min="6" max="6" width="19.42578125" style="455" customWidth="1"/>
    <col min="7" max="7" width="13.85546875" style="455" customWidth="1"/>
    <col min="8" max="8" width="19.7109375" style="378" customWidth="1"/>
    <col min="9" max="9" width="18" style="378" customWidth="1"/>
    <col min="10" max="10" width="20.140625" style="378" customWidth="1"/>
    <col min="11" max="11" width="22.28515625" style="378" customWidth="1"/>
    <col min="12" max="12" width="20.28515625" style="378" customWidth="1"/>
    <col min="13" max="13" width="23.42578125" style="378" customWidth="1"/>
    <col min="14" max="14" width="20.5703125" style="378" customWidth="1"/>
    <col min="15" max="15" width="23.42578125" style="378" customWidth="1"/>
    <col min="16" max="16" width="11.5703125" style="378" customWidth="1"/>
    <col min="17" max="16384" width="8.85546875" style="378"/>
  </cols>
  <sheetData>
    <row r="1" spans="1:15" ht="13.5" thickBot="1">
      <c r="B1" s="379"/>
      <c r="C1" s="379"/>
      <c r="D1" s="380"/>
      <c r="E1" s="380"/>
      <c r="F1" s="381"/>
      <c r="G1" s="381"/>
      <c r="H1" s="381"/>
      <c r="I1" s="381"/>
      <c r="J1" s="381"/>
      <c r="K1" s="381"/>
      <c r="L1" s="381"/>
    </row>
    <row r="2" spans="1:15" ht="9" customHeight="1">
      <c r="A2" s="382"/>
      <c r="B2" s="383"/>
      <c r="C2" s="383"/>
      <c r="D2" s="384"/>
      <c r="E2" s="384"/>
      <c r="F2" s="385"/>
      <c r="G2" s="385"/>
      <c r="H2" s="385"/>
      <c r="I2" s="386"/>
      <c r="J2" s="386"/>
      <c r="K2" s="386"/>
      <c r="L2" s="386"/>
      <c r="M2" s="382"/>
      <c r="N2" s="382"/>
      <c r="O2" s="382"/>
    </row>
    <row r="3" spans="1:15" ht="10.5" customHeight="1">
      <c r="B3" s="379"/>
      <c r="C3" s="379"/>
      <c r="D3" s="380"/>
      <c r="E3" s="380"/>
      <c r="F3" s="381"/>
      <c r="G3" s="381"/>
      <c r="H3" s="381"/>
      <c r="I3" s="387"/>
      <c r="J3" s="387"/>
      <c r="K3" s="387"/>
      <c r="L3" s="387"/>
    </row>
    <row r="4" spans="1:15" ht="30">
      <c r="A4" s="1022" t="s">
        <v>4293</v>
      </c>
      <c r="B4" s="1023"/>
      <c r="C4" s="1023"/>
      <c r="D4" s="1023"/>
      <c r="E4" s="1023"/>
      <c r="F4" s="1023"/>
      <c r="G4" s="1023"/>
      <c r="H4" s="1023"/>
      <c r="I4" s="1023"/>
      <c r="J4" s="1023"/>
      <c r="K4" s="1023"/>
      <c r="L4" s="1023"/>
      <c r="M4" s="1023"/>
      <c r="N4" s="1023"/>
      <c r="O4" s="1023"/>
    </row>
    <row r="5" spans="1:15" s="388" customFormat="1" ht="60.75" customHeight="1">
      <c r="A5" s="1024" t="s">
        <v>4294</v>
      </c>
      <c r="B5" s="1025"/>
      <c r="C5" s="1025"/>
      <c r="D5" s="1025"/>
      <c r="E5" s="1025"/>
      <c r="F5" s="1025"/>
      <c r="G5" s="1025"/>
      <c r="H5" s="1025"/>
      <c r="I5" s="1025"/>
      <c r="J5" s="1025"/>
      <c r="K5" s="1025"/>
      <c r="L5" s="1025"/>
      <c r="M5" s="1025"/>
      <c r="N5" s="1025"/>
      <c r="O5" s="1025"/>
    </row>
    <row r="6" spans="1:15" ht="9" customHeight="1" thickBot="1">
      <c r="A6" s="389"/>
      <c r="B6" s="773"/>
      <c r="C6" s="773"/>
      <c r="D6" s="774"/>
      <c r="E6" s="774"/>
      <c r="F6" s="775"/>
      <c r="G6" s="775"/>
      <c r="H6" s="775"/>
      <c r="I6" s="716"/>
      <c r="J6" s="716"/>
      <c r="K6" s="716"/>
      <c r="L6" s="716"/>
      <c r="M6" s="389"/>
      <c r="N6" s="389"/>
      <c r="O6" s="389"/>
    </row>
    <row r="9" spans="1:15" s="387" customFormat="1" ht="14.25">
      <c r="B9" s="390"/>
      <c r="C9" s="390"/>
      <c r="D9" s="391"/>
      <c r="E9" s="391"/>
      <c r="F9" s="391"/>
      <c r="G9" s="391"/>
      <c r="H9" s="391"/>
      <c r="I9" s="391"/>
      <c r="J9" s="391"/>
      <c r="K9" s="391"/>
      <c r="L9" s="391"/>
      <c r="M9" s="391"/>
      <c r="N9" s="391"/>
      <c r="O9" s="391"/>
    </row>
    <row r="10" spans="1:15" s="387" customFormat="1" ht="14.25">
      <c r="F10" s="616"/>
      <c r="G10" s="1026" t="s">
        <v>3</v>
      </c>
      <c r="H10" s="1026"/>
      <c r="I10" s="1026"/>
      <c r="J10" s="1026"/>
      <c r="K10" s="717"/>
    </row>
    <row r="11" spans="1:15" s="387" customFormat="1" ht="14.25">
      <c r="H11" s="397" t="s">
        <v>4</v>
      </c>
      <c r="I11" s="387" t="s">
        <v>264</v>
      </c>
    </row>
    <row r="12" spans="1:15" s="387" customFormat="1">
      <c r="H12" s="392" t="s">
        <v>5</v>
      </c>
      <c r="I12" s="404" t="s">
        <v>599</v>
      </c>
      <c r="J12" s="404"/>
      <c r="L12" s="404"/>
    </row>
    <row r="13" spans="1:15" s="387" customFormat="1">
      <c r="F13" s="616"/>
      <c r="G13" s="616"/>
      <c r="H13" s="398" t="s">
        <v>6</v>
      </c>
      <c r="I13" s="768" t="s">
        <v>7</v>
      </c>
      <c r="J13" s="768"/>
      <c r="L13" s="768"/>
    </row>
    <row r="14" spans="1:15" s="387" customFormat="1">
      <c r="F14" s="616"/>
      <c r="G14" s="616"/>
      <c r="H14" s="392" t="s">
        <v>8</v>
      </c>
      <c r="I14" s="776">
        <v>120000</v>
      </c>
      <c r="J14" s="776"/>
      <c r="L14" s="776"/>
    </row>
    <row r="15" spans="1:15" s="387" customFormat="1">
      <c r="F15" s="616"/>
      <c r="G15" s="616"/>
      <c r="H15" s="392" t="s">
        <v>9</v>
      </c>
      <c r="I15" s="387" t="s">
        <v>266</v>
      </c>
    </row>
    <row r="16" spans="1:15" s="387" customFormat="1">
      <c r="F16" s="616"/>
      <c r="G16" s="616"/>
      <c r="H16" s="392" t="s">
        <v>10</v>
      </c>
      <c r="I16" s="387" t="s">
        <v>257</v>
      </c>
    </row>
    <row r="17" spans="1:15" s="387" customFormat="1">
      <c r="B17" s="718"/>
      <c r="C17" s="718"/>
      <c r="F17" s="424"/>
      <c r="G17" s="424"/>
      <c r="H17" s="392" t="s">
        <v>188</v>
      </c>
      <c r="I17" s="387" t="s">
        <v>3821</v>
      </c>
    </row>
    <row r="18" spans="1:15" s="387" customFormat="1">
      <c r="H18" s="392" t="s">
        <v>13</v>
      </c>
      <c r="I18" s="387" t="s">
        <v>14</v>
      </c>
    </row>
    <row r="19" spans="1:15" s="387" customFormat="1">
      <c r="F19" s="616"/>
      <c r="G19" s="616"/>
      <c r="H19" s="380" t="s">
        <v>189</v>
      </c>
      <c r="I19" s="387" t="s">
        <v>207</v>
      </c>
    </row>
    <row r="20" spans="1:15" s="387" customFormat="1">
      <c r="F20" s="616"/>
      <c r="G20" s="616"/>
      <c r="H20" s="392" t="s">
        <v>15</v>
      </c>
      <c r="I20" s="387" t="s">
        <v>3807</v>
      </c>
    </row>
    <row r="21" spans="1:15" s="387" customFormat="1">
      <c r="F21" s="616"/>
      <c r="G21" s="616"/>
      <c r="H21" s="392" t="s">
        <v>16</v>
      </c>
      <c r="I21" s="387" t="s">
        <v>17</v>
      </c>
    </row>
    <row r="22" spans="1:15" s="387" customFormat="1">
      <c r="F22" s="616"/>
      <c r="G22" s="616"/>
      <c r="H22" s="392" t="s">
        <v>18</v>
      </c>
      <c r="I22" s="404" t="s">
        <v>3808</v>
      </c>
      <c r="J22" s="404"/>
      <c r="L22" s="404"/>
    </row>
    <row r="23" spans="1:15" s="387" customFormat="1" ht="15.75" customHeight="1">
      <c r="D23" s="1027"/>
      <c r="E23" s="399"/>
      <c r="F23" s="405"/>
      <c r="G23" s="405"/>
      <c r="H23" s="392" t="s">
        <v>19</v>
      </c>
      <c r="I23" s="387" t="s">
        <v>3809</v>
      </c>
    </row>
    <row r="24" spans="1:15" s="387" customFormat="1" ht="12.75" customHeight="1">
      <c r="D24" s="1027"/>
      <c r="E24" s="399"/>
      <c r="F24" s="405"/>
      <c r="G24" s="405"/>
      <c r="H24" s="392" t="s">
        <v>20</v>
      </c>
      <c r="I24" s="387" t="s">
        <v>3822</v>
      </c>
    </row>
    <row r="25" spans="1:15" s="387" customFormat="1" ht="12.75" customHeight="1">
      <c r="D25" s="399"/>
      <c r="E25" s="399"/>
      <c r="F25" s="405"/>
      <c r="G25" s="405"/>
      <c r="H25" s="392" t="s">
        <v>21</v>
      </c>
      <c r="I25" s="387" t="s">
        <v>3811</v>
      </c>
    </row>
    <row r="26" spans="1:15" s="387" customFormat="1" ht="12.75" customHeight="1">
      <c r="D26" s="399"/>
      <c r="E26" s="399"/>
      <c r="F26" s="405"/>
      <c r="G26" s="405"/>
      <c r="H26" s="392" t="s">
        <v>22</v>
      </c>
      <c r="I26" s="387" t="s">
        <v>3812</v>
      </c>
    </row>
    <row r="27" spans="1:15" s="387" customFormat="1" ht="14.25">
      <c r="A27" s="1028" t="s">
        <v>195</v>
      </c>
      <c r="B27" s="1023"/>
      <c r="C27" s="1023"/>
      <c r="D27" s="1023"/>
      <c r="E27" s="1023"/>
      <c r="F27" s="1023"/>
      <c r="G27" s="1023"/>
      <c r="H27" s="1023"/>
      <c r="I27" s="1023"/>
      <c r="J27" s="1023"/>
      <c r="K27" s="1023"/>
      <c r="L27" s="1023"/>
      <c r="M27" s="1023"/>
      <c r="N27" s="1023"/>
      <c r="O27" s="1032"/>
    </row>
    <row r="28" spans="1:15" s="387" customFormat="1" ht="14.25">
      <c r="A28" s="1016" t="s">
        <v>204</v>
      </c>
      <c r="B28" s="1023"/>
      <c r="C28" s="1023"/>
      <c r="D28" s="1023"/>
      <c r="E28" s="1023"/>
      <c r="F28" s="1023"/>
      <c r="G28" s="1023"/>
      <c r="H28" s="1032"/>
      <c r="I28" s="1019" t="s">
        <v>205</v>
      </c>
      <c r="J28" s="1020"/>
      <c r="K28" s="1020"/>
      <c r="L28" s="1020"/>
      <c r="M28" s="1020"/>
      <c r="N28" s="1020"/>
      <c r="O28" s="1021"/>
    </row>
    <row r="29" spans="1:15" s="387" customFormat="1" ht="12.75" customHeight="1">
      <c r="A29" s="1030" t="s">
        <v>160</v>
      </c>
      <c r="B29" s="1023"/>
      <c r="C29" s="1023"/>
      <c r="D29" s="1023"/>
      <c r="E29" s="1023" t="s">
        <v>161</v>
      </c>
      <c r="F29" s="1023"/>
      <c r="G29" s="1023"/>
      <c r="H29" s="771"/>
      <c r="I29" s="1030" t="s">
        <v>160</v>
      </c>
      <c r="J29" s="1023"/>
      <c r="K29" s="1023"/>
      <c r="L29" s="1023"/>
      <c r="M29" s="1023" t="s">
        <v>162</v>
      </c>
      <c r="N29" s="1023"/>
      <c r="O29" s="1032"/>
    </row>
    <row r="30" spans="1:15" s="387" customFormat="1" ht="12.75" customHeight="1">
      <c r="A30" s="1030" t="s">
        <v>163</v>
      </c>
      <c r="B30" s="1023"/>
      <c r="C30" s="1023"/>
      <c r="D30" s="1023"/>
      <c r="E30" s="1033">
        <v>0</v>
      </c>
      <c r="F30" s="1033"/>
      <c r="G30" s="1033"/>
      <c r="H30" s="771"/>
      <c r="I30" s="1030" t="s">
        <v>163</v>
      </c>
      <c r="J30" s="1023"/>
      <c r="K30" s="1023"/>
      <c r="L30" s="1023"/>
      <c r="M30" s="1033">
        <v>520</v>
      </c>
      <c r="N30" s="1033"/>
      <c r="O30" s="1034"/>
    </row>
    <row r="31" spans="1:15" s="387" customFormat="1" ht="12.75" customHeight="1">
      <c r="A31" s="1030" t="s">
        <v>164</v>
      </c>
      <c r="B31" s="1023"/>
      <c r="C31" s="1023"/>
      <c r="D31" s="1023"/>
      <c r="E31" s="1023" t="s">
        <v>165</v>
      </c>
      <c r="F31" s="1023"/>
      <c r="G31" s="1023"/>
      <c r="H31" s="771"/>
      <c r="I31" s="1030" t="s">
        <v>164</v>
      </c>
      <c r="J31" s="1023"/>
      <c r="K31" s="1023"/>
      <c r="L31" s="1023"/>
      <c r="M31" s="1023" t="s">
        <v>260</v>
      </c>
      <c r="N31" s="1023"/>
      <c r="O31" s="1032"/>
    </row>
    <row r="32" spans="1:15" s="387" customFormat="1" ht="12.75" customHeight="1" thickBot="1">
      <c r="A32" s="1035" t="s">
        <v>166</v>
      </c>
      <c r="B32" s="1037"/>
      <c r="C32" s="1037"/>
      <c r="D32" s="1037"/>
      <c r="E32" s="1037" t="s">
        <v>224</v>
      </c>
      <c r="F32" s="1037"/>
      <c r="G32" s="1037"/>
      <c r="H32" s="763"/>
      <c r="I32" s="1035" t="s">
        <v>166</v>
      </c>
      <c r="J32" s="1037"/>
      <c r="K32" s="1037"/>
      <c r="L32" s="1037"/>
      <c r="M32" s="1037" t="s">
        <v>224</v>
      </c>
      <c r="N32" s="1037"/>
      <c r="O32" s="1038"/>
    </row>
    <row r="33" spans="1:16" s="387" customFormat="1" ht="12.75" customHeight="1">
      <c r="B33" s="404"/>
      <c r="C33" s="404"/>
      <c r="D33" s="399"/>
      <c r="E33" s="399"/>
      <c r="F33" s="405"/>
      <c r="G33" s="405"/>
      <c r="H33" s="405"/>
      <c r="J33" s="778"/>
      <c r="K33" s="778"/>
      <c r="L33" s="778"/>
    </row>
    <row r="34" spans="1:16" s="387" customFormat="1" ht="12.75" customHeight="1">
      <c r="D34" s="399"/>
      <c r="E34" s="399"/>
      <c r="F34" s="1039"/>
      <c r="G34" s="1023"/>
      <c r="H34" s="1023"/>
      <c r="I34" s="1023"/>
      <c r="J34" s="1023"/>
      <c r="K34" s="778"/>
      <c r="L34" s="778"/>
      <c r="M34" s="392"/>
    </row>
    <row r="35" spans="1:16" s="387" customFormat="1" ht="12.75" customHeight="1">
      <c r="D35" s="399"/>
      <c r="E35" s="399"/>
      <c r="F35" s="1039"/>
      <c r="G35" s="1023"/>
      <c r="H35" s="1023"/>
      <c r="I35" s="1023"/>
      <c r="J35" s="1023"/>
      <c r="K35" s="778"/>
      <c r="L35" s="778"/>
      <c r="M35" s="392"/>
    </row>
    <row r="36" spans="1:16" s="387" customFormat="1" ht="12.75" customHeight="1" thickBot="1">
      <c r="D36" s="399"/>
      <c r="E36" s="399"/>
      <c r="F36" s="405"/>
      <c r="G36" s="405"/>
      <c r="J36" s="410"/>
      <c r="K36" s="410"/>
      <c r="L36" s="410"/>
    </row>
    <row r="37" spans="1:16" s="387" customFormat="1" ht="15.75" customHeight="1" thickBot="1">
      <c r="F37" s="1040" t="s">
        <v>167</v>
      </c>
      <c r="G37" s="1041"/>
      <c r="H37" s="1042" t="s">
        <v>168</v>
      </c>
      <c r="I37" s="1043"/>
      <c r="J37" s="1043"/>
      <c r="K37" s="1044"/>
      <c r="L37" s="1044"/>
      <c r="M37" s="1044"/>
      <c r="N37" s="1044"/>
      <c r="O37" s="1045"/>
    </row>
    <row r="38" spans="1:16" s="413" customFormat="1" ht="50.25" customHeight="1" thickBot="1">
      <c r="A38" s="411" t="s">
        <v>122</v>
      </c>
      <c r="B38" s="411" t="s">
        <v>169</v>
      </c>
      <c r="C38" s="412" t="s">
        <v>170</v>
      </c>
      <c r="D38" s="412" t="s">
        <v>171</v>
      </c>
      <c r="E38" s="412" t="s">
        <v>172</v>
      </c>
      <c r="F38" s="412" t="s">
        <v>173</v>
      </c>
      <c r="G38" s="411" t="s">
        <v>174</v>
      </c>
      <c r="H38" s="412" t="s">
        <v>175</v>
      </c>
      <c r="I38" s="411" t="s">
        <v>174</v>
      </c>
      <c r="J38" s="412" t="s">
        <v>176</v>
      </c>
      <c r="K38" s="411" t="s">
        <v>174</v>
      </c>
      <c r="L38" s="412" t="s">
        <v>177</v>
      </c>
      <c r="M38" s="411" t="s">
        <v>174</v>
      </c>
      <c r="N38" s="412" t="s">
        <v>178</v>
      </c>
      <c r="O38" s="411" t="s">
        <v>174</v>
      </c>
    </row>
    <row r="39" spans="1:16" s="777" customFormat="1" ht="39" thickBot="1">
      <c r="A39" s="1046">
        <v>9</v>
      </c>
      <c r="B39" s="1046"/>
      <c r="C39" s="770" t="s">
        <v>4301</v>
      </c>
      <c r="D39" s="779" t="s">
        <v>4295</v>
      </c>
      <c r="E39" s="780">
        <v>4758</v>
      </c>
      <c r="F39" s="760">
        <f>SUM(E39:E41)*(1-49%)</f>
        <v>2656.08</v>
      </c>
      <c r="G39" s="1050">
        <f>F39*B39</f>
        <v>0</v>
      </c>
      <c r="H39" s="1050">
        <f>F39*0.0832</f>
        <v>220.98585599999998</v>
      </c>
      <c r="I39" s="1050">
        <f>H39*B39</f>
        <v>0</v>
      </c>
      <c r="J39" s="1050">
        <f>F39*0.0313</f>
        <v>83.135304000000005</v>
      </c>
      <c r="K39" s="1050">
        <f>J39*B39</f>
        <v>0</v>
      </c>
      <c r="L39" s="1050">
        <f>F39*0.0256</f>
        <v>67.995648000000003</v>
      </c>
      <c r="M39" s="1050">
        <f>L39*B39</f>
        <v>0</v>
      </c>
      <c r="N39" s="1050">
        <f>F39*0.0213</f>
        <v>56.574503999999997</v>
      </c>
      <c r="O39" s="1050">
        <f>N39*B39</f>
        <v>0</v>
      </c>
      <c r="P39" s="781"/>
    </row>
    <row r="40" spans="1:16" s="413" customFormat="1" ht="13.5" thickBot="1">
      <c r="A40" s="1047"/>
      <c r="B40" s="1047"/>
      <c r="C40" s="419">
        <v>135900</v>
      </c>
      <c r="D40" s="782" t="s">
        <v>725</v>
      </c>
      <c r="E40" s="693">
        <v>375</v>
      </c>
      <c r="F40" s="52" t="s">
        <v>162</v>
      </c>
      <c r="G40" s="1051"/>
      <c r="H40" s="1051"/>
      <c r="I40" s="1051"/>
      <c r="J40" s="1051"/>
      <c r="K40" s="1051"/>
      <c r="L40" s="1051"/>
      <c r="M40" s="1051"/>
      <c r="N40" s="1051"/>
      <c r="O40" s="1051"/>
    </row>
    <row r="41" spans="1:16" s="413" customFormat="1" ht="13.5" thickBot="1">
      <c r="A41" s="1048"/>
      <c r="B41" s="1049"/>
      <c r="C41" s="419" t="s">
        <v>179</v>
      </c>
      <c r="D41" s="782" t="s">
        <v>180</v>
      </c>
      <c r="E41" s="693">
        <v>75</v>
      </c>
      <c r="F41" s="422" t="s">
        <v>162</v>
      </c>
      <c r="G41" s="1052"/>
      <c r="H41" s="1053"/>
      <c r="I41" s="1052"/>
      <c r="J41" s="1053"/>
      <c r="K41" s="1052"/>
      <c r="L41" s="1053"/>
      <c r="M41" s="1052"/>
      <c r="N41" s="1053"/>
      <c r="O41" s="1052"/>
    </row>
    <row r="42" spans="1:16" s="729" customFormat="1" ht="13.5" thickBot="1">
      <c r="A42" s="783"/>
      <c r="B42" s="430"/>
      <c r="C42" s="765"/>
      <c r="D42" s="757"/>
      <c r="E42" s="784"/>
      <c r="F42" s="434"/>
      <c r="G42" s="430"/>
      <c r="H42" s="436"/>
      <c r="I42" s="430"/>
      <c r="J42" s="436"/>
      <c r="K42" s="435"/>
      <c r="L42" s="436"/>
      <c r="M42" s="430"/>
      <c r="N42" s="436"/>
      <c r="O42" s="435"/>
    </row>
    <row r="43" spans="1:16" s="777" customFormat="1" ht="39" thickBot="1">
      <c r="A43" s="1046" t="s">
        <v>206</v>
      </c>
      <c r="B43" s="1046"/>
      <c r="C43" s="770" t="s">
        <v>4301</v>
      </c>
      <c r="D43" s="779" t="s">
        <v>4295</v>
      </c>
      <c r="E43" s="780">
        <v>4758</v>
      </c>
      <c r="F43" s="756">
        <f>SUM(E43:E45)*(1-49%)</f>
        <v>2656.08</v>
      </c>
      <c r="G43" s="1062">
        <f>F43*B43</f>
        <v>0</v>
      </c>
      <c r="H43" s="1062">
        <f>F43*0.0832+M30/12</f>
        <v>264.31918933333333</v>
      </c>
      <c r="I43" s="1062">
        <f>H43*B43</f>
        <v>0</v>
      </c>
      <c r="J43" s="1062">
        <f>F43*0.0313+M30/12</f>
        <v>126.46863733333333</v>
      </c>
      <c r="K43" s="1062">
        <f>J43*B43</f>
        <v>0</v>
      </c>
      <c r="L43" s="1062">
        <f>F43*0.0256+M30/12</f>
        <v>111.32898133333333</v>
      </c>
      <c r="M43" s="1062">
        <f>L43*B43</f>
        <v>0</v>
      </c>
      <c r="N43" s="1062">
        <f>F43*0.0213+M30/12</f>
        <v>99.907837333333333</v>
      </c>
      <c r="O43" s="1062">
        <f>N43*B43</f>
        <v>0</v>
      </c>
      <c r="P43" s="781"/>
    </row>
    <row r="44" spans="1:16" s="413" customFormat="1" ht="13.5" thickBot="1">
      <c r="A44" s="1047"/>
      <c r="B44" s="1047"/>
      <c r="C44" s="419">
        <v>135900</v>
      </c>
      <c r="D44" s="782" t="s">
        <v>725</v>
      </c>
      <c r="E44" s="693">
        <v>375</v>
      </c>
      <c r="F44" s="422" t="s">
        <v>162</v>
      </c>
      <c r="G44" s="1051"/>
      <c r="H44" s="1051"/>
      <c r="I44" s="1051"/>
      <c r="J44" s="1051"/>
      <c r="K44" s="1051"/>
      <c r="L44" s="1051"/>
      <c r="M44" s="1051"/>
      <c r="N44" s="1051"/>
      <c r="O44" s="1051"/>
    </row>
    <row r="45" spans="1:16" s="413" customFormat="1" ht="13.5" thickBot="1">
      <c r="A45" s="1048"/>
      <c r="B45" s="1049"/>
      <c r="C45" s="419" t="s">
        <v>179</v>
      </c>
      <c r="D45" s="782" t="s">
        <v>180</v>
      </c>
      <c r="E45" s="693">
        <v>75</v>
      </c>
      <c r="F45" s="422" t="s">
        <v>162</v>
      </c>
      <c r="G45" s="1064"/>
      <c r="H45" s="1063"/>
      <c r="I45" s="1064"/>
      <c r="J45" s="1063"/>
      <c r="K45" s="1064"/>
      <c r="L45" s="1063"/>
      <c r="M45" s="1064"/>
      <c r="N45" s="1063"/>
      <c r="O45" s="1064"/>
    </row>
    <row r="46" spans="1:16" s="729" customFormat="1" ht="13.5" customHeight="1" thickBot="1">
      <c r="A46" s="1054" t="s">
        <v>182</v>
      </c>
      <c r="B46" s="1044"/>
      <c r="C46" s="1061"/>
      <c r="D46" s="1061"/>
      <c r="E46" s="1044"/>
      <c r="F46" s="1055"/>
      <c r="G46" s="1055"/>
      <c r="H46" s="1055"/>
      <c r="I46" s="1055"/>
      <c r="J46" s="1055"/>
      <c r="K46" s="1055"/>
      <c r="L46" s="1055"/>
      <c r="M46" s="1055"/>
      <c r="N46" s="1055"/>
      <c r="O46" s="1056"/>
    </row>
    <row r="47" spans="1:16" s="413" customFormat="1" ht="13.5" thickBot="1">
      <c r="A47" s="1057"/>
      <c r="B47" s="441"/>
      <c r="C47" s="529" t="s">
        <v>486</v>
      </c>
      <c r="D47" s="958" t="s">
        <v>671</v>
      </c>
      <c r="E47" s="952">
        <v>129.99</v>
      </c>
      <c r="F47" s="444">
        <f>E47*(1-20%)</f>
        <v>103.99200000000002</v>
      </c>
      <c r="G47" s="62">
        <f t="shared" ref="G47:G71" si="0">F47*B47</f>
        <v>0</v>
      </c>
      <c r="H47" s="786">
        <f t="shared" ref="H47:H71" si="1">F47*0.0832</f>
        <v>8.6521344000000013</v>
      </c>
      <c r="I47" s="527">
        <f t="shared" ref="I47:I71" si="2">H47*B47</f>
        <v>0</v>
      </c>
      <c r="J47" s="786">
        <f t="shared" ref="J47:J71" si="3">F47*0.0313</f>
        <v>3.2549496000000007</v>
      </c>
      <c r="K47" s="527">
        <f t="shared" ref="K47:K71" si="4">J47*B47</f>
        <v>0</v>
      </c>
      <c r="L47" s="787">
        <f t="shared" ref="L47:L71" si="5">F47*0.0256</f>
        <v>2.6621952000000006</v>
      </c>
      <c r="M47" s="528">
        <f t="shared" ref="M47:M71" si="6">L47*B47</f>
        <v>0</v>
      </c>
      <c r="N47" s="787">
        <f t="shared" ref="N47:N71" si="7">F47*0.0213</f>
        <v>2.2150296000000003</v>
      </c>
      <c r="O47" s="528">
        <f t="shared" ref="O47:O71" si="8">N47*B47</f>
        <v>0</v>
      </c>
      <c r="P47" s="788"/>
    </row>
    <row r="48" spans="1:16" s="413" customFormat="1" ht="13.5" thickBot="1">
      <c r="A48" s="1057"/>
      <c r="B48" s="761"/>
      <c r="C48" s="529" t="s">
        <v>3491</v>
      </c>
      <c r="D48" s="958" t="s">
        <v>4429</v>
      </c>
      <c r="E48" s="952">
        <v>399</v>
      </c>
      <c r="F48" s="61">
        <f t="shared" ref="F48:F71" si="9">E48*(1-20%)</f>
        <v>319.20000000000005</v>
      </c>
      <c r="G48" s="61">
        <f t="shared" si="0"/>
        <v>0</v>
      </c>
      <c r="H48" s="527">
        <f t="shared" si="1"/>
        <v>26.557440000000003</v>
      </c>
      <c r="I48" s="527">
        <f t="shared" si="2"/>
        <v>0</v>
      </c>
      <c r="J48" s="527">
        <f t="shared" si="3"/>
        <v>9.9909600000000012</v>
      </c>
      <c r="K48" s="527">
        <f t="shared" si="4"/>
        <v>0</v>
      </c>
      <c r="L48" s="528">
        <f t="shared" si="5"/>
        <v>8.171520000000001</v>
      </c>
      <c r="M48" s="528">
        <f t="shared" si="6"/>
        <v>0</v>
      </c>
      <c r="N48" s="528">
        <f t="shared" si="7"/>
        <v>6.798960000000001</v>
      </c>
      <c r="O48" s="528">
        <f t="shared" si="8"/>
        <v>0</v>
      </c>
      <c r="P48" s="788"/>
    </row>
    <row r="49" spans="1:16" s="413" customFormat="1" ht="13.5" thickBot="1">
      <c r="A49" s="1057"/>
      <c r="B49" s="441"/>
      <c r="C49" s="955" t="s">
        <v>472</v>
      </c>
      <c r="D49" s="959" t="s">
        <v>54</v>
      </c>
      <c r="E49" s="952">
        <v>250</v>
      </c>
      <c r="F49" s="444">
        <f t="shared" si="9"/>
        <v>200</v>
      </c>
      <c r="G49" s="444">
        <f t="shared" si="0"/>
        <v>0</v>
      </c>
      <c r="H49" s="786">
        <f t="shared" si="1"/>
        <v>16.64</v>
      </c>
      <c r="I49" s="786">
        <f t="shared" si="2"/>
        <v>0</v>
      </c>
      <c r="J49" s="786">
        <f t="shared" si="3"/>
        <v>6.2600000000000007</v>
      </c>
      <c r="K49" s="786">
        <f t="shared" si="4"/>
        <v>0</v>
      </c>
      <c r="L49" s="787">
        <f t="shared" si="5"/>
        <v>5.12</v>
      </c>
      <c r="M49" s="787">
        <f t="shared" si="6"/>
        <v>0</v>
      </c>
      <c r="N49" s="787">
        <f t="shared" si="7"/>
        <v>4.26</v>
      </c>
      <c r="O49" s="787">
        <f t="shared" si="8"/>
        <v>0</v>
      </c>
      <c r="P49" s="788"/>
    </row>
    <row r="50" spans="1:16" s="413" customFormat="1" ht="13.5" thickBot="1">
      <c r="A50" s="1057"/>
      <c r="B50" s="761"/>
      <c r="C50" s="956" t="s">
        <v>689</v>
      </c>
      <c r="D50" s="960" t="s">
        <v>408</v>
      </c>
      <c r="E50" s="952">
        <v>400</v>
      </c>
      <c r="F50" s="465">
        <f t="shared" si="9"/>
        <v>320</v>
      </c>
      <c r="G50" s="465">
        <f t="shared" si="0"/>
        <v>0</v>
      </c>
      <c r="H50" s="786">
        <f t="shared" si="1"/>
        <v>26.623999999999999</v>
      </c>
      <c r="I50" s="786">
        <f t="shared" si="2"/>
        <v>0</v>
      </c>
      <c r="J50" s="786">
        <f t="shared" si="3"/>
        <v>10.016</v>
      </c>
      <c r="K50" s="786">
        <f t="shared" si="4"/>
        <v>0</v>
      </c>
      <c r="L50" s="787">
        <f t="shared" si="5"/>
        <v>8.1920000000000002</v>
      </c>
      <c r="M50" s="787">
        <f t="shared" si="6"/>
        <v>0</v>
      </c>
      <c r="N50" s="787">
        <f t="shared" si="7"/>
        <v>6.8159999999999998</v>
      </c>
      <c r="O50" s="787">
        <f t="shared" si="8"/>
        <v>0</v>
      </c>
      <c r="P50" s="788"/>
    </row>
    <row r="51" spans="1:16" s="413" customFormat="1" ht="13.5" thickBot="1">
      <c r="A51" s="1057"/>
      <c r="B51" s="761"/>
      <c r="C51" s="956" t="s">
        <v>690</v>
      </c>
      <c r="D51" s="958" t="s">
        <v>713</v>
      </c>
      <c r="E51" s="952">
        <v>499</v>
      </c>
      <c r="F51" s="465">
        <f t="shared" si="9"/>
        <v>399.20000000000005</v>
      </c>
      <c r="G51" s="465">
        <f t="shared" si="0"/>
        <v>0</v>
      </c>
      <c r="H51" s="786">
        <f t="shared" si="1"/>
        <v>33.213440000000006</v>
      </c>
      <c r="I51" s="786">
        <f t="shared" si="2"/>
        <v>0</v>
      </c>
      <c r="J51" s="786">
        <f t="shared" si="3"/>
        <v>12.494960000000003</v>
      </c>
      <c r="K51" s="786">
        <f t="shared" si="4"/>
        <v>0</v>
      </c>
      <c r="L51" s="787">
        <f t="shared" si="5"/>
        <v>10.219520000000001</v>
      </c>
      <c r="M51" s="787">
        <f t="shared" si="6"/>
        <v>0</v>
      </c>
      <c r="N51" s="787">
        <f t="shared" si="7"/>
        <v>8.5029600000000016</v>
      </c>
      <c r="O51" s="787">
        <f t="shared" si="8"/>
        <v>0</v>
      </c>
      <c r="P51" s="788"/>
    </row>
    <row r="52" spans="1:16" s="413" customFormat="1" ht="13.5" thickBot="1">
      <c r="A52" s="1057"/>
      <c r="B52" s="761"/>
      <c r="C52" s="529" t="s">
        <v>4067</v>
      </c>
      <c r="D52" s="958" t="s">
        <v>4426</v>
      </c>
      <c r="E52" s="952">
        <v>329</v>
      </c>
      <c r="F52" s="465">
        <f t="shared" si="9"/>
        <v>263.2</v>
      </c>
      <c r="G52" s="465">
        <f t="shared" ref="G52" si="10">F52*B52</f>
        <v>0</v>
      </c>
      <c r="H52" s="786">
        <f t="shared" ref="H52" si="11">F52*0.0832</f>
        <v>21.898239999999998</v>
      </c>
      <c r="I52" s="786">
        <f t="shared" ref="I52" si="12">H52*B52</f>
        <v>0</v>
      </c>
      <c r="J52" s="786">
        <f t="shared" ref="J52" si="13">F52*0.0313</f>
        <v>8.2381600000000006</v>
      </c>
      <c r="K52" s="786">
        <f t="shared" ref="K52" si="14">J52*B52</f>
        <v>0</v>
      </c>
      <c r="L52" s="787">
        <f t="shared" ref="L52" si="15">F52*0.0256</f>
        <v>6.7379199999999999</v>
      </c>
      <c r="M52" s="787">
        <f t="shared" ref="M52" si="16">L52*B52</f>
        <v>0</v>
      </c>
      <c r="N52" s="787">
        <f t="shared" ref="N52" si="17">F52*0.0213</f>
        <v>5.60616</v>
      </c>
      <c r="O52" s="787">
        <f t="shared" ref="O52" si="18">N52*B52</f>
        <v>0</v>
      </c>
      <c r="P52" s="788"/>
    </row>
    <row r="53" spans="1:16" s="413" customFormat="1" ht="13.5" thickBot="1">
      <c r="A53" s="1057"/>
      <c r="B53" s="761"/>
      <c r="C53" s="957" t="s">
        <v>741</v>
      </c>
      <c r="D53" s="959" t="s">
        <v>731</v>
      </c>
      <c r="E53" s="952">
        <v>220</v>
      </c>
      <c r="F53" s="465">
        <f t="shared" si="9"/>
        <v>176</v>
      </c>
      <c r="G53" s="61">
        <f t="shared" si="0"/>
        <v>0</v>
      </c>
      <c r="H53" s="786">
        <f t="shared" si="1"/>
        <v>14.6432</v>
      </c>
      <c r="I53" s="527">
        <f t="shared" si="2"/>
        <v>0</v>
      </c>
      <c r="J53" s="786">
        <f t="shared" si="3"/>
        <v>5.5087999999999999</v>
      </c>
      <c r="K53" s="527">
        <f t="shared" si="4"/>
        <v>0</v>
      </c>
      <c r="L53" s="787">
        <f t="shared" si="5"/>
        <v>4.5056000000000003</v>
      </c>
      <c r="M53" s="528">
        <f t="shared" si="6"/>
        <v>0</v>
      </c>
      <c r="N53" s="787">
        <f t="shared" si="7"/>
        <v>3.7488000000000001</v>
      </c>
      <c r="O53" s="528">
        <f t="shared" si="8"/>
        <v>0</v>
      </c>
      <c r="P53" s="788"/>
    </row>
    <row r="54" spans="1:16" s="413" customFormat="1" ht="13.5" thickBot="1">
      <c r="A54" s="1057"/>
      <c r="B54" s="441"/>
      <c r="C54" s="955" t="s">
        <v>742</v>
      </c>
      <c r="D54" s="958" t="s">
        <v>732</v>
      </c>
      <c r="E54" s="952">
        <v>307</v>
      </c>
      <c r="F54" s="444">
        <f t="shared" si="9"/>
        <v>245.60000000000002</v>
      </c>
      <c r="G54" s="444">
        <f t="shared" si="0"/>
        <v>0</v>
      </c>
      <c r="H54" s="786">
        <f t="shared" si="1"/>
        <v>20.433920000000001</v>
      </c>
      <c r="I54" s="786">
        <f t="shared" si="2"/>
        <v>0</v>
      </c>
      <c r="J54" s="786">
        <f t="shared" si="3"/>
        <v>7.6872800000000012</v>
      </c>
      <c r="K54" s="786">
        <f t="shared" si="4"/>
        <v>0</v>
      </c>
      <c r="L54" s="787">
        <f t="shared" si="5"/>
        <v>6.2873600000000005</v>
      </c>
      <c r="M54" s="787">
        <f t="shared" si="6"/>
        <v>0</v>
      </c>
      <c r="N54" s="787">
        <f t="shared" si="7"/>
        <v>5.2312799999999999</v>
      </c>
      <c r="O54" s="787">
        <f t="shared" si="8"/>
        <v>0</v>
      </c>
      <c r="P54" s="788"/>
    </row>
    <row r="55" spans="1:16" s="413" customFormat="1" ht="13.5" thickBot="1">
      <c r="A55" s="1057"/>
      <c r="B55" s="441"/>
      <c r="C55" s="956" t="s">
        <v>3489</v>
      </c>
      <c r="D55" s="960" t="s">
        <v>4435</v>
      </c>
      <c r="E55" s="952">
        <v>934</v>
      </c>
      <c r="F55" s="62">
        <f t="shared" si="9"/>
        <v>747.2</v>
      </c>
      <c r="G55" s="62">
        <f t="shared" si="0"/>
        <v>0</v>
      </c>
      <c r="H55" s="527">
        <f t="shared" si="1"/>
        <v>62.16704</v>
      </c>
      <c r="I55" s="527">
        <f t="shared" si="2"/>
        <v>0</v>
      </c>
      <c r="J55" s="527">
        <f t="shared" si="3"/>
        <v>23.387360000000001</v>
      </c>
      <c r="K55" s="527">
        <f t="shared" si="4"/>
        <v>0</v>
      </c>
      <c r="L55" s="528">
        <f t="shared" si="5"/>
        <v>19.128320000000002</v>
      </c>
      <c r="M55" s="528">
        <f t="shared" si="6"/>
        <v>0</v>
      </c>
      <c r="N55" s="528">
        <f t="shared" si="7"/>
        <v>15.91536</v>
      </c>
      <c r="O55" s="528">
        <f t="shared" si="8"/>
        <v>0</v>
      </c>
      <c r="P55" s="788"/>
    </row>
    <row r="56" spans="1:16" s="413" customFormat="1" ht="13.5" thickBot="1">
      <c r="A56" s="1057"/>
      <c r="B56" s="761"/>
      <c r="C56" s="529" t="s">
        <v>3490</v>
      </c>
      <c r="D56" s="958" t="s">
        <v>229</v>
      </c>
      <c r="E56" s="952">
        <v>222.6</v>
      </c>
      <c r="F56" s="465">
        <f t="shared" si="9"/>
        <v>178.08</v>
      </c>
      <c r="G56" s="465">
        <f t="shared" si="0"/>
        <v>0</v>
      </c>
      <c r="H56" s="786">
        <f t="shared" si="1"/>
        <v>14.816256000000001</v>
      </c>
      <c r="I56" s="786">
        <f t="shared" si="2"/>
        <v>0</v>
      </c>
      <c r="J56" s="786">
        <f t="shared" si="3"/>
        <v>5.5739040000000006</v>
      </c>
      <c r="K56" s="786">
        <f t="shared" si="4"/>
        <v>0</v>
      </c>
      <c r="L56" s="787">
        <f t="shared" si="5"/>
        <v>4.5588480000000002</v>
      </c>
      <c r="M56" s="787">
        <f t="shared" si="6"/>
        <v>0</v>
      </c>
      <c r="N56" s="787">
        <f t="shared" si="7"/>
        <v>3.793104</v>
      </c>
      <c r="O56" s="787">
        <f t="shared" si="8"/>
        <v>0</v>
      </c>
      <c r="P56" s="788"/>
    </row>
    <row r="57" spans="1:16" s="413" customFormat="1" ht="13.5" thickBot="1">
      <c r="A57" s="1057"/>
      <c r="B57" s="761"/>
      <c r="C57" s="956" t="s">
        <v>4430</v>
      </c>
      <c r="D57" s="960" t="s">
        <v>816</v>
      </c>
      <c r="E57" s="952">
        <v>308</v>
      </c>
      <c r="F57" s="465">
        <f t="shared" si="9"/>
        <v>246.4</v>
      </c>
      <c r="G57" s="465">
        <f t="shared" si="0"/>
        <v>0</v>
      </c>
      <c r="H57" s="786">
        <f t="shared" si="1"/>
        <v>20.50048</v>
      </c>
      <c r="I57" s="786">
        <f t="shared" si="2"/>
        <v>0</v>
      </c>
      <c r="J57" s="786">
        <f t="shared" si="3"/>
        <v>7.712320000000001</v>
      </c>
      <c r="K57" s="786">
        <f t="shared" si="4"/>
        <v>0</v>
      </c>
      <c r="L57" s="787">
        <f t="shared" si="5"/>
        <v>6.3078400000000006</v>
      </c>
      <c r="M57" s="787">
        <f t="shared" si="6"/>
        <v>0</v>
      </c>
      <c r="N57" s="787">
        <f t="shared" si="7"/>
        <v>5.2483199999999997</v>
      </c>
      <c r="O57" s="787">
        <f t="shared" si="8"/>
        <v>0</v>
      </c>
      <c r="P57" s="788"/>
    </row>
    <row r="58" spans="1:16" s="413" customFormat="1" ht="13.5" thickBot="1">
      <c r="A58" s="1057"/>
      <c r="B58" s="441"/>
      <c r="C58" s="956" t="s">
        <v>744</v>
      </c>
      <c r="D58" s="960" t="s">
        <v>734</v>
      </c>
      <c r="E58" s="952">
        <v>136</v>
      </c>
      <c r="F58" s="62">
        <f t="shared" si="9"/>
        <v>108.80000000000001</v>
      </c>
      <c r="G58" s="62">
        <f t="shared" si="0"/>
        <v>0</v>
      </c>
      <c r="H58" s="527">
        <f t="shared" si="1"/>
        <v>9.0521600000000007</v>
      </c>
      <c r="I58" s="527">
        <f t="shared" si="2"/>
        <v>0</v>
      </c>
      <c r="J58" s="527">
        <f t="shared" si="3"/>
        <v>3.4054400000000005</v>
      </c>
      <c r="K58" s="527">
        <f t="shared" si="4"/>
        <v>0</v>
      </c>
      <c r="L58" s="528">
        <f t="shared" si="5"/>
        <v>2.7852800000000006</v>
      </c>
      <c r="M58" s="528">
        <f t="shared" si="6"/>
        <v>0</v>
      </c>
      <c r="N58" s="528">
        <f t="shared" si="7"/>
        <v>2.3174400000000004</v>
      </c>
      <c r="O58" s="528">
        <f t="shared" si="8"/>
        <v>0</v>
      </c>
      <c r="P58" s="788"/>
    </row>
    <row r="59" spans="1:16" s="413" customFormat="1" ht="13.5" thickBot="1">
      <c r="A59" s="1057"/>
      <c r="B59" s="761"/>
      <c r="C59" s="529" t="s">
        <v>693</v>
      </c>
      <c r="D59" s="958" t="s">
        <v>4434</v>
      </c>
      <c r="E59" s="953">
        <v>139</v>
      </c>
      <c r="F59" s="61">
        <f t="shared" si="9"/>
        <v>111.2</v>
      </c>
      <c r="G59" s="61">
        <f t="shared" si="0"/>
        <v>0</v>
      </c>
      <c r="H59" s="527">
        <f t="shared" si="1"/>
        <v>9.2518399999999996</v>
      </c>
      <c r="I59" s="527">
        <f t="shared" si="2"/>
        <v>0</v>
      </c>
      <c r="J59" s="527">
        <f t="shared" si="3"/>
        <v>3.4805600000000001</v>
      </c>
      <c r="K59" s="527">
        <f t="shared" si="4"/>
        <v>0</v>
      </c>
      <c r="L59" s="528">
        <f t="shared" si="5"/>
        <v>2.8467200000000004</v>
      </c>
      <c r="M59" s="528">
        <f t="shared" si="6"/>
        <v>0</v>
      </c>
      <c r="N59" s="528">
        <f t="shared" si="7"/>
        <v>2.36856</v>
      </c>
      <c r="O59" s="528">
        <f t="shared" si="8"/>
        <v>0</v>
      </c>
      <c r="P59" s="788"/>
    </row>
    <row r="60" spans="1:16" s="413" customFormat="1" ht="13.5" thickBot="1">
      <c r="A60" s="1057"/>
      <c r="B60" s="441"/>
      <c r="C60" s="955" t="s">
        <v>439</v>
      </c>
      <c r="D60" s="958" t="s">
        <v>595</v>
      </c>
      <c r="E60" s="952">
        <v>785</v>
      </c>
      <c r="F60" s="444">
        <f t="shared" si="9"/>
        <v>628</v>
      </c>
      <c r="G60" s="444">
        <f t="shared" si="0"/>
        <v>0</v>
      </c>
      <c r="H60" s="786">
        <f t="shared" si="1"/>
        <v>52.249600000000001</v>
      </c>
      <c r="I60" s="786">
        <f t="shared" si="2"/>
        <v>0</v>
      </c>
      <c r="J60" s="786">
        <f t="shared" si="3"/>
        <v>19.656400000000001</v>
      </c>
      <c r="K60" s="786">
        <f t="shared" si="4"/>
        <v>0</v>
      </c>
      <c r="L60" s="787">
        <f t="shared" si="5"/>
        <v>16.076800000000002</v>
      </c>
      <c r="M60" s="787">
        <f t="shared" si="6"/>
        <v>0</v>
      </c>
      <c r="N60" s="787">
        <f t="shared" si="7"/>
        <v>13.3764</v>
      </c>
      <c r="O60" s="787">
        <f t="shared" si="8"/>
        <v>0</v>
      </c>
      <c r="P60" s="788"/>
    </row>
    <row r="61" spans="1:16" s="413" customFormat="1" ht="13.5" thickBot="1">
      <c r="A61" s="1057"/>
      <c r="B61" s="441"/>
      <c r="C61" s="529" t="s">
        <v>441</v>
      </c>
      <c r="D61" s="958" t="s">
        <v>4432</v>
      </c>
      <c r="E61" s="952">
        <v>821</v>
      </c>
      <c r="F61" s="62">
        <f t="shared" si="9"/>
        <v>656.80000000000007</v>
      </c>
      <c r="G61" s="62">
        <f t="shared" si="0"/>
        <v>0</v>
      </c>
      <c r="H61" s="527">
        <f t="shared" si="1"/>
        <v>54.645760000000003</v>
      </c>
      <c r="I61" s="527">
        <f t="shared" si="2"/>
        <v>0</v>
      </c>
      <c r="J61" s="527">
        <f t="shared" si="3"/>
        <v>20.557840000000002</v>
      </c>
      <c r="K61" s="527">
        <f t="shared" si="4"/>
        <v>0</v>
      </c>
      <c r="L61" s="528">
        <f t="shared" si="5"/>
        <v>16.814080000000004</v>
      </c>
      <c r="M61" s="528">
        <f t="shared" si="6"/>
        <v>0</v>
      </c>
      <c r="N61" s="528">
        <f t="shared" si="7"/>
        <v>13.989840000000001</v>
      </c>
      <c r="O61" s="528">
        <f t="shared" si="8"/>
        <v>0</v>
      </c>
      <c r="P61" s="788"/>
    </row>
    <row r="62" spans="1:16" s="413" customFormat="1" ht="13.5" thickBot="1">
      <c r="A62" s="1057"/>
      <c r="B62" s="761"/>
      <c r="C62" s="957" t="s">
        <v>442</v>
      </c>
      <c r="D62" s="961" t="s">
        <v>597</v>
      </c>
      <c r="E62" s="952">
        <v>690</v>
      </c>
      <c r="F62" s="61">
        <f t="shared" si="9"/>
        <v>552</v>
      </c>
      <c r="G62" s="61">
        <f t="shared" si="0"/>
        <v>0</v>
      </c>
      <c r="H62" s="527">
        <f t="shared" si="1"/>
        <v>45.926400000000001</v>
      </c>
      <c r="I62" s="527">
        <f t="shared" si="2"/>
        <v>0</v>
      </c>
      <c r="J62" s="527">
        <f t="shared" si="3"/>
        <v>17.2776</v>
      </c>
      <c r="K62" s="527">
        <f t="shared" si="4"/>
        <v>0</v>
      </c>
      <c r="L62" s="528">
        <f t="shared" si="5"/>
        <v>14.131200000000002</v>
      </c>
      <c r="M62" s="528">
        <f t="shared" si="6"/>
        <v>0</v>
      </c>
      <c r="N62" s="528">
        <f t="shared" si="7"/>
        <v>11.7576</v>
      </c>
      <c r="O62" s="528">
        <f t="shared" si="8"/>
        <v>0</v>
      </c>
      <c r="P62" s="788"/>
    </row>
    <row r="63" spans="1:16" s="413" customFormat="1" ht="13.5" thickBot="1">
      <c r="A63" s="1057"/>
      <c r="B63" s="761"/>
      <c r="C63" s="955" t="s">
        <v>443</v>
      </c>
      <c r="D63" s="958" t="s">
        <v>31</v>
      </c>
      <c r="E63" s="952">
        <v>191</v>
      </c>
      <c r="F63" s="61">
        <f t="shared" si="9"/>
        <v>152.80000000000001</v>
      </c>
      <c r="G63" s="61">
        <f t="shared" si="0"/>
        <v>0</v>
      </c>
      <c r="H63" s="527">
        <f t="shared" si="1"/>
        <v>12.712960000000001</v>
      </c>
      <c r="I63" s="527">
        <f t="shared" si="2"/>
        <v>0</v>
      </c>
      <c r="J63" s="527">
        <f t="shared" si="3"/>
        <v>4.7826400000000007</v>
      </c>
      <c r="K63" s="527">
        <f t="shared" si="4"/>
        <v>0</v>
      </c>
      <c r="L63" s="528">
        <f t="shared" si="5"/>
        <v>3.9116800000000005</v>
      </c>
      <c r="M63" s="528">
        <f t="shared" si="6"/>
        <v>0</v>
      </c>
      <c r="N63" s="528">
        <f t="shared" si="7"/>
        <v>3.2546400000000002</v>
      </c>
      <c r="O63" s="528">
        <f t="shared" si="8"/>
        <v>0</v>
      </c>
      <c r="P63" s="788"/>
    </row>
    <row r="64" spans="1:16" s="413" customFormat="1" ht="13.5" thickBot="1">
      <c r="A64" s="1057"/>
      <c r="B64" s="441"/>
      <c r="C64" s="956" t="s">
        <v>444</v>
      </c>
      <c r="D64" s="958" t="s">
        <v>4433</v>
      </c>
      <c r="E64" s="952">
        <v>667.8</v>
      </c>
      <c r="F64" s="62">
        <f t="shared" si="9"/>
        <v>534.24</v>
      </c>
      <c r="G64" s="62">
        <f t="shared" si="0"/>
        <v>0</v>
      </c>
      <c r="H64" s="527">
        <f t="shared" si="1"/>
        <v>44.448768000000001</v>
      </c>
      <c r="I64" s="527">
        <f t="shared" si="2"/>
        <v>0</v>
      </c>
      <c r="J64" s="527">
        <f>F64*0.0313</f>
        <v>16.721712</v>
      </c>
      <c r="K64" s="527">
        <f t="shared" si="4"/>
        <v>0</v>
      </c>
      <c r="L64" s="528">
        <f t="shared" si="5"/>
        <v>13.676544000000002</v>
      </c>
      <c r="M64" s="528">
        <f t="shared" si="6"/>
        <v>0</v>
      </c>
      <c r="N64" s="528">
        <f t="shared" si="7"/>
        <v>11.379312000000001</v>
      </c>
      <c r="O64" s="528">
        <f t="shared" si="8"/>
        <v>0</v>
      </c>
      <c r="P64" s="788"/>
    </row>
    <row r="65" spans="1:16" s="413" customFormat="1" ht="13.5" thickBot="1">
      <c r="A65" s="1057"/>
      <c r="B65" s="441"/>
      <c r="C65" s="956" t="s">
        <v>445</v>
      </c>
      <c r="D65" s="959" t="s">
        <v>117</v>
      </c>
      <c r="E65" s="952">
        <v>250</v>
      </c>
      <c r="F65" s="444">
        <f t="shared" si="9"/>
        <v>200</v>
      </c>
      <c r="G65" s="62">
        <f t="shared" si="0"/>
        <v>0</v>
      </c>
      <c r="H65" s="786">
        <f t="shared" si="1"/>
        <v>16.64</v>
      </c>
      <c r="I65" s="527">
        <f t="shared" si="2"/>
        <v>0</v>
      </c>
      <c r="J65" s="786">
        <f t="shared" si="3"/>
        <v>6.2600000000000007</v>
      </c>
      <c r="K65" s="527">
        <f t="shared" si="4"/>
        <v>0</v>
      </c>
      <c r="L65" s="787">
        <f t="shared" si="5"/>
        <v>5.12</v>
      </c>
      <c r="M65" s="528">
        <f t="shared" si="6"/>
        <v>0</v>
      </c>
      <c r="N65" s="787">
        <f t="shared" si="7"/>
        <v>4.26</v>
      </c>
      <c r="O65" s="528">
        <f t="shared" si="8"/>
        <v>0</v>
      </c>
      <c r="P65" s="788"/>
    </row>
    <row r="66" spans="1:16" s="413" customFormat="1" ht="13.5" thickBot="1">
      <c r="A66" s="1057"/>
      <c r="B66" s="761"/>
      <c r="C66" s="956" t="s">
        <v>3487</v>
      </c>
      <c r="D66" s="958" t="s">
        <v>3507</v>
      </c>
      <c r="E66" s="952">
        <v>250</v>
      </c>
      <c r="F66" s="61">
        <f t="shared" si="9"/>
        <v>200</v>
      </c>
      <c r="G66" s="61">
        <f t="shared" si="0"/>
        <v>0</v>
      </c>
      <c r="H66" s="527">
        <f t="shared" si="1"/>
        <v>16.64</v>
      </c>
      <c r="I66" s="527">
        <f t="shared" si="2"/>
        <v>0</v>
      </c>
      <c r="J66" s="527">
        <f t="shared" si="3"/>
        <v>6.2600000000000007</v>
      </c>
      <c r="K66" s="527">
        <f t="shared" si="4"/>
        <v>0</v>
      </c>
      <c r="L66" s="528">
        <f t="shared" si="5"/>
        <v>5.12</v>
      </c>
      <c r="M66" s="528">
        <f t="shared" si="6"/>
        <v>0</v>
      </c>
      <c r="N66" s="528">
        <f t="shared" si="7"/>
        <v>4.26</v>
      </c>
      <c r="O66" s="528">
        <f t="shared" si="8"/>
        <v>0</v>
      </c>
      <c r="P66" s="788"/>
    </row>
    <row r="67" spans="1:16" s="413" customFormat="1" ht="13.5" thickBot="1">
      <c r="A67" s="1057"/>
      <c r="B67" s="441"/>
      <c r="C67" s="956" t="s">
        <v>745</v>
      </c>
      <c r="D67" s="958" t="s">
        <v>3805</v>
      </c>
      <c r="E67" s="952">
        <v>95</v>
      </c>
      <c r="F67" s="62">
        <f t="shared" si="9"/>
        <v>76</v>
      </c>
      <c r="G67" s="62">
        <f t="shared" si="0"/>
        <v>0</v>
      </c>
      <c r="H67" s="527">
        <f t="shared" si="1"/>
        <v>6.3231999999999999</v>
      </c>
      <c r="I67" s="527">
        <f t="shared" si="2"/>
        <v>0</v>
      </c>
      <c r="J67" s="527">
        <f t="shared" si="3"/>
        <v>2.3788</v>
      </c>
      <c r="K67" s="527">
        <f t="shared" si="4"/>
        <v>0</v>
      </c>
      <c r="L67" s="528">
        <f t="shared" si="5"/>
        <v>1.9456</v>
      </c>
      <c r="M67" s="528">
        <f t="shared" si="6"/>
        <v>0</v>
      </c>
      <c r="N67" s="528">
        <f t="shared" si="7"/>
        <v>1.6188</v>
      </c>
      <c r="O67" s="528">
        <f t="shared" si="8"/>
        <v>0</v>
      </c>
      <c r="P67" s="788"/>
    </row>
    <row r="68" spans="1:16" s="413" customFormat="1" ht="13.5" thickBot="1">
      <c r="A68" s="1057"/>
      <c r="B68" s="441"/>
      <c r="C68" s="529" t="s">
        <v>747</v>
      </c>
      <c r="D68" s="958" t="s">
        <v>4436</v>
      </c>
      <c r="E68" s="952">
        <v>374</v>
      </c>
      <c r="F68" s="444">
        <f t="shared" si="9"/>
        <v>299.2</v>
      </c>
      <c r="G68" s="444">
        <f t="shared" si="0"/>
        <v>0</v>
      </c>
      <c r="H68" s="786">
        <f t="shared" si="1"/>
        <v>24.893439999999998</v>
      </c>
      <c r="I68" s="786">
        <f t="shared" si="2"/>
        <v>0</v>
      </c>
      <c r="J68" s="786">
        <f t="shared" si="3"/>
        <v>9.36496</v>
      </c>
      <c r="K68" s="786">
        <f t="shared" si="4"/>
        <v>0</v>
      </c>
      <c r="L68" s="787">
        <f t="shared" si="5"/>
        <v>7.6595199999999997</v>
      </c>
      <c r="M68" s="787">
        <f t="shared" si="6"/>
        <v>0</v>
      </c>
      <c r="N68" s="787">
        <f t="shared" si="7"/>
        <v>6.37296</v>
      </c>
      <c r="O68" s="787">
        <f t="shared" si="8"/>
        <v>0</v>
      </c>
      <c r="P68" s="788"/>
    </row>
    <row r="69" spans="1:16" s="413" customFormat="1" ht="13.5" thickBot="1">
      <c r="A69" s="1057"/>
      <c r="B69" s="761"/>
      <c r="C69" s="955" t="s">
        <v>4431</v>
      </c>
      <c r="D69" s="958" t="s">
        <v>4427</v>
      </c>
      <c r="E69" s="952">
        <v>386</v>
      </c>
      <c r="F69" s="465">
        <f t="shared" si="9"/>
        <v>308.8</v>
      </c>
      <c r="G69" s="465">
        <f t="shared" si="0"/>
        <v>0</v>
      </c>
      <c r="H69" s="786">
        <f t="shared" si="1"/>
        <v>25.692160000000001</v>
      </c>
      <c r="I69" s="786">
        <f t="shared" si="2"/>
        <v>0</v>
      </c>
      <c r="J69" s="786">
        <f t="shared" si="3"/>
        <v>9.6654400000000003</v>
      </c>
      <c r="K69" s="786">
        <f t="shared" si="4"/>
        <v>0</v>
      </c>
      <c r="L69" s="787">
        <f t="shared" si="5"/>
        <v>7.9052800000000003</v>
      </c>
      <c r="M69" s="787">
        <f t="shared" si="6"/>
        <v>0</v>
      </c>
      <c r="N69" s="787">
        <f t="shared" si="7"/>
        <v>6.5774400000000002</v>
      </c>
      <c r="O69" s="787">
        <f t="shared" si="8"/>
        <v>0</v>
      </c>
      <c r="P69" s="788"/>
    </row>
    <row r="70" spans="1:16" s="413" customFormat="1" ht="13.5" thickBot="1">
      <c r="A70" s="1057"/>
      <c r="B70" s="441"/>
      <c r="C70" s="529" t="s">
        <v>748</v>
      </c>
      <c r="D70" s="958" t="s">
        <v>738</v>
      </c>
      <c r="E70" s="952">
        <v>120</v>
      </c>
      <c r="F70" s="62">
        <f t="shared" si="9"/>
        <v>96</v>
      </c>
      <c r="G70" s="62">
        <f t="shared" si="0"/>
        <v>0</v>
      </c>
      <c r="H70" s="527">
        <f t="shared" si="1"/>
        <v>7.9871999999999996</v>
      </c>
      <c r="I70" s="527">
        <f t="shared" si="2"/>
        <v>0</v>
      </c>
      <c r="J70" s="527">
        <f t="shared" si="3"/>
        <v>3.0048000000000004</v>
      </c>
      <c r="K70" s="527">
        <f t="shared" si="4"/>
        <v>0</v>
      </c>
      <c r="L70" s="528">
        <f t="shared" si="5"/>
        <v>2.4576000000000002</v>
      </c>
      <c r="M70" s="528">
        <f t="shared" si="6"/>
        <v>0</v>
      </c>
      <c r="N70" s="528">
        <f t="shared" si="7"/>
        <v>2.0448</v>
      </c>
      <c r="O70" s="528">
        <f t="shared" si="8"/>
        <v>0</v>
      </c>
      <c r="P70" s="788"/>
    </row>
    <row r="71" spans="1:16" s="413" customFormat="1" ht="13.5" thickBot="1">
      <c r="A71" s="1058"/>
      <c r="B71" s="441"/>
      <c r="C71" s="957" t="s">
        <v>749</v>
      </c>
      <c r="D71" s="958" t="s">
        <v>739</v>
      </c>
      <c r="E71" s="952">
        <v>120</v>
      </c>
      <c r="F71" s="62">
        <f t="shared" si="9"/>
        <v>96</v>
      </c>
      <c r="G71" s="62">
        <f t="shared" si="0"/>
        <v>0</v>
      </c>
      <c r="H71" s="527">
        <f t="shared" si="1"/>
        <v>7.9871999999999996</v>
      </c>
      <c r="I71" s="527">
        <f t="shared" si="2"/>
        <v>0</v>
      </c>
      <c r="J71" s="527">
        <f t="shared" si="3"/>
        <v>3.0048000000000004</v>
      </c>
      <c r="K71" s="527">
        <f t="shared" si="4"/>
        <v>0</v>
      </c>
      <c r="L71" s="528">
        <f t="shared" si="5"/>
        <v>2.4576000000000002</v>
      </c>
      <c r="M71" s="528">
        <f t="shared" si="6"/>
        <v>0</v>
      </c>
      <c r="N71" s="528">
        <f t="shared" si="7"/>
        <v>2.0448</v>
      </c>
      <c r="O71" s="528">
        <f t="shared" si="8"/>
        <v>0</v>
      </c>
      <c r="P71" s="788"/>
    </row>
    <row r="72" spans="1:16" s="437" customFormat="1" ht="15">
      <c r="B72" s="792"/>
      <c r="C72" s="954"/>
      <c r="D72" s="1059" t="s">
        <v>183</v>
      </c>
      <c r="E72" s="1060"/>
      <c r="F72" s="1061"/>
      <c r="G72" s="793">
        <f t="array" ref="G72">SUM(G47:G71)+G39:G46:G71+G43:G46:G71</f>
        <v>0</v>
      </c>
      <c r="H72" s="451" t="s">
        <v>200</v>
      </c>
      <c r="I72" s="793">
        <f t="array" ref="I72">SUM(I47:I71)+I39:I46:I71+I43:I46:I71</f>
        <v>0</v>
      </c>
      <c r="J72" s="451" t="s">
        <v>201</v>
      </c>
      <c r="K72" s="793">
        <f t="array" ref="K72">SUM(K47:K71)+K39:K46:K71+K43:K46:K71</f>
        <v>0</v>
      </c>
      <c r="L72" s="451" t="s">
        <v>202</v>
      </c>
      <c r="M72" s="793">
        <f t="array" ref="M72">SUM(M47:M71)+M39:M46:M71+M43:M46:M71</f>
        <v>0</v>
      </c>
      <c r="N72" s="451" t="s">
        <v>203</v>
      </c>
      <c r="O72" s="793">
        <f t="array" ref="O72">SUM(O47:O71)+O39:O46:O71+O43:O46:O71</f>
        <v>0</v>
      </c>
    </row>
    <row r="78" spans="1:16" ht="14.25">
      <c r="C78" s="391"/>
      <c r="D78" s="405"/>
    </row>
    <row r="79" spans="1:16" ht="14.25">
      <c r="C79" s="391"/>
      <c r="D79" s="405"/>
    </row>
    <row r="80" spans="1:16" ht="14.25">
      <c r="C80" s="391"/>
      <c r="D80" s="405"/>
    </row>
    <row r="81" spans="2:15" ht="14.25">
      <c r="C81" s="391"/>
      <c r="D81" s="405"/>
    </row>
    <row r="82" spans="2:15" ht="14.25">
      <c r="C82" s="391"/>
      <c r="D82" s="405"/>
    </row>
    <row r="83" spans="2:15" ht="14.25">
      <c r="C83" s="391"/>
      <c r="D83" s="405"/>
    </row>
    <row r="84" spans="2:15" ht="14.25">
      <c r="C84" s="391"/>
      <c r="D84" s="405"/>
    </row>
    <row r="85" spans="2:15" ht="14.25">
      <c r="C85" s="391"/>
      <c r="D85" s="405"/>
    </row>
    <row r="86" spans="2:15" ht="14.25">
      <c r="B86" s="380"/>
      <c r="C86" s="391"/>
      <c r="D86" s="405"/>
    </row>
    <row r="87" spans="2:15" ht="14.25">
      <c r="C87" s="391"/>
      <c r="D87" s="405"/>
    </row>
    <row r="88" spans="2:15" ht="14.25">
      <c r="E88" s="391"/>
      <c r="F88" s="405"/>
      <c r="G88" s="378"/>
      <c r="H88" s="455"/>
      <c r="I88" s="455"/>
    </row>
    <row r="89" spans="2:15" ht="14.25" outlineLevel="2">
      <c r="D89" s="391"/>
      <c r="E89" s="405"/>
      <c r="F89" s="378"/>
      <c r="H89" s="455"/>
    </row>
    <row r="90" spans="2:15" ht="14.25" collapsed="1">
      <c r="C90" s="405"/>
      <c r="E90" s="455"/>
      <c r="G90" s="378"/>
      <c r="N90" s="391"/>
      <c r="O90" s="405"/>
    </row>
    <row r="91" spans="2:15" ht="14.25">
      <c r="C91" s="455"/>
      <c r="D91" s="455"/>
      <c r="F91" s="378"/>
      <c r="G91" s="378"/>
      <c r="L91" s="391"/>
      <c r="M91" s="405"/>
      <c r="O91" s="455"/>
    </row>
    <row r="92" spans="2:15" ht="14.25">
      <c r="F92" s="378"/>
      <c r="G92" s="391"/>
      <c r="I92" s="391"/>
      <c r="J92" s="405"/>
      <c r="L92" s="455"/>
      <c r="M92" s="455"/>
    </row>
    <row r="93" spans="2:15" ht="14.25">
      <c r="F93" s="378"/>
      <c r="G93" s="391"/>
      <c r="H93" s="405"/>
      <c r="J93" s="455"/>
      <c r="K93" s="455"/>
    </row>
    <row r="94" spans="2:15" ht="14.25" outlineLevel="2">
      <c r="E94" s="405"/>
      <c r="F94" s="378"/>
      <c r="H94" s="455"/>
    </row>
    <row r="95" spans="2:15" ht="21.75" customHeight="1" collapsed="1">
      <c r="C95" s="405"/>
      <c r="E95" s="455"/>
      <c r="G95" s="378"/>
      <c r="K95" s="391"/>
      <c r="M95" s="391"/>
      <c r="N95" s="405"/>
      <c r="O95" s="455"/>
    </row>
  </sheetData>
  <mergeCells count="52">
    <mergeCell ref="A46:O46"/>
    <mergeCell ref="A47:A71"/>
    <mergeCell ref="D72:F72"/>
    <mergeCell ref="J43:J45"/>
    <mergeCell ref="K43:K45"/>
    <mergeCell ref="L43:L45"/>
    <mergeCell ref="M43:M45"/>
    <mergeCell ref="N43:N45"/>
    <mergeCell ref="O43:O45"/>
    <mergeCell ref="A43:A45"/>
    <mergeCell ref="B43:B45"/>
    <mergeCell ref="G43:G45"/>
    <mergeCell ref="H43:H45"/>
    <mergeCell ref="I43:I45"/>
    <mergeCell ref="F34:J34"/>
    <mergeCell ref="F35:J35"/>
    <mergeCell ref="F37:G37"/>
    <mergeCell ref="H37:O37"/>
    <mergeCell ref="A39:A41"/>
    <mergeCell ref="B39:B41"/>
    <mergeCell ref="G39:G41"/>
    <mergeCell ref="H39:H41"/>
    <mergeCell ref="I39:I41"/>
    <mergeCell ref="J39:J41"/>
    <mergeCell ref="K39:K41"/>
    <mergeCell ref="L39:L41"/>
    <mergeCell ref="M39:M41"/>
    <mergeCell ref="N39:N41"/>
    <mergeCell ref="O39:O41"/>
    <mergeCell ref="A31:D31"/>
    <mergeCell ref="E31:G31"/>
    <mergeCell ref="I31:L31"/>
    <mergeCell ref="M31:O31"/>
    <mergeCell ref="A32:D32"/>
    <mergeCell ref="E32:G32"/>
    <mergeCell ref="I32:L32"/>
    <mergeCell ref="M32:O32"/>
    <mergeCell ref="A29:D29"/>
    <mergeCell ref="E29:G29"/>
    <mergeCell ref="I29:L29"/>
    <mergeCell ref="M29:O29"/>
    <mergeCell ref="A30:D30"/>
    <mergeCell ref="E30:G30"/>
    <mergeCell ref="I30:L30"/>
    <mergeCell ref="M30:O30"/>
    <mergeCell ref="A28:H28"/>
    <mergeCell ref="I28:O28"/>
    <mergeCell ref="A4:O4"/>
    <mergeCell ref="A5:O5"/>
    <mergeCell ref="G10:J10"/>
    <mergeCell ref="D23:D24"/>
    <mergeCell ref="A27:O2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5">
    <tabColor rgb="FFFF0000"/>
  </sheetPr>
  <dimension ref="A1:R58"/>
  <sheetViews>
    <sheetView topLeftCell="A16" zoomScale="112" zoomScaleNormal="112" workbookViewId="0">
      <selection activeCell="E42" sqref="E42"/>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8" width="11.28515625" style="104" bestFit="1" customWidth="1"/>
    <col min="19"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1019</v>
      </c>
      <c r="B4" s="979"/>
      <c r="C4" s="979"/>
      <c r="D4" s="979"/>
      <c r="E4" s="979"/>
      <c r="F4" s="979"/>
      <c r="G4" s="979"/>
      <c r="H4" s="979"/>
      <c r="I4" s="979"/>
      <c r="J4" s="979"/>
      <c r="K4" s="979"/>
      <c r="L4" s="979"/>
      <c r="M4" s="979"/>
      <c r="N4" s="979"/>
      <c r="O4" s="979"/>
    </row>
    <row r="5" spans="1:18" s="114" customFormat="1" ht="41.25" customHeight="1">
      <c r="A5" s="1276" t="s">
        <v>1020</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F8" s="249"/>
      <c r="G8" s="249"/>
      <c r="H8" s="1275"/>
      <c r="I8" s="1275"/>
      <c r="J8" s="1275"/>
      <c r="K8" s="173"/>
    </row>
    <row r="9" spans="1:18" s="113" customFormat="1" ht="14.25">
      <c r="H9" s="122"/>
      <c r="I9" s="539"/>
      <c r="J9" s="124"/>
      <c r="L9" s="124"/>
    </row>
    <row r="10" spans="1:18" s="113" customFormat="1">
      <c r="F10" s="249"/>
      <c r="G10" s="251"/>
      <c r="H10" s="126"/>
      <c r="I10" s="124"/>
      <c r="J10" s="124"/>
      <c r="K10" s="131"/>
      <c r="L10" s="124"/>
    </row>
    <row r="11" spans="1:18" s="113" customFormat="1">
      <c r="F11" s="249"/>
      <c r="G11" s="249"/>
      <c r="H11" s="123"/>
      <c r="I11" s="129"/>
      <c r="J11" s="124"/>
      <c r="L11" s="124"/>
    </row>
    <row r="12" spans="1:18" s="113" customFormat="1">
      <c r="F12" s="249"/>
      <c r="G12" s="249"/>
      <c r="H12" s="123"/>
      <c r="J12" s="124"/>
      <c r="L12" s="124"/>
    </row>
    <row r="13" spans="1:18" s="113" customFormat="1">
      <c r="B13" s="252"/>
      <c r="C13" s="252"/>
      <c r="F13" s="249"/>
      <c r="G13" s="249"/>
      <c r="H13" s="123"/>
      <c r="J13" s="124"/>
      <c r="L13" s="124"/>
    </row>
    <row r="14" spans="1:18" s="113" customFormat="1" ht="14.25">
      <c r="D14" s="1071"/>
      <c r="E14" s="136"/>
      <c r="H14" s="123"/>
    </row>
    <row r="15" spans="1:18" s="113" customFormat="1" ht="14.25">
      <c r="D15" s="1071"/>
      <c r="E15" s="136"/>
      <c r="H15" s="123"/>
    </row>
    <row r="16" spans="1:18" s="113" customFormat="1" ht="12" customHeight="1">
      <c r="F16" s="249"/>
      <c r="G16" s="249"/>
      <c r="H16" s="123"/>
      <c r="I16" s="124"/>
      <c r="J16" s="124"/>
      <c r="L16" s="124"/>
    </row>
    <row r="17" spans="1:18" s="113" customFormat="1" ht="18.75" thickBot="1">
      <c r="A17" s="1279" t="s">
        <v>23</v>
      </c>
      <c r="B17" s="1245"/>
      <c r="C17" s="1245"/>
      <c r="D17" s="1245"/>
      <c r="E17" s="1245"/>
      <c r="F17" s="1245"/>
      <c r="G17" s="1245"/>
      <c r="H17" s="1245"/>
      <c r="I17" s="1245"/>
      <c r="J17" s="1245"/>
      <c r="K17" s="1245"/>
      <c r="L17" s="1245"/>
      <c r="M17" s="1245"/>
      <c r="N17" s="1245"/>
      <c r="O17" s="1245"/>
      <c r="P17" s="1245"/>
      <c r="Q17" s="1245"/>
    </row>
    <row r="18" spans="1:18" s="113" customFormat="1" ht="18" customHeight="1">
      <c r="A18" s="1280" t="s">
        <v>93</v>
      </c>
      <c r="B18" s="1281"/>
      <c r="C18" s="1281"/>
      <c r="D18" s="1281"/>
      <c r="E18" s="1281"/>
      <c r="F18" s="1281"/>
      <c r="G18" s="1281"/>
      <c r="H18" s="1281"/>
      <c r="I18" s="1281"/>
      <c r="J18" s="1281"/>
      <c r="K18" s="1281"/>
      <c r="L18" s="1281"/>
      <c r="M18" s="1281"/>
      <c r="N18" s="1281"/>
      <c r="O18" s="1281"/>
      <c r="P18" s="1281"/>
      <c r="Q18" s="1282"/>
    </row>
    <row r="19" spans="1:18" s="113" customFormat="1" ht="18" customHeight="1">
      <c r="A19" s="1240" t="s">
        <v>91</v>
      </c>
      <c r="B19" s="1241"/>
      <c r="C19" s="1241"/>
      <c r="D19" s="1241"/>
      <c r="E19" s="1241"/>
      <c r="F19" s="1241"/>
      <c r="G19" s="1241"/>
      <c r="H19" s="1241"/>
      <c r="I19" s="1264">
        <v>2348</v>
      </c>
      <c r="J19" s="1264"/>
      <c r="K19" s="1264"/>
      <c r="L19" s="1264"/>
      <c r="M19" s="1264"/>
      <c r="N19" s="1264"/>
      <c r="O19" s="1264"/>
      <c r="P19" s="1264"/>
      <c r="Q19" s="1283"/>
    </row>
    <row r="20" spans="1:18" s="113" customFormat="1" ht="18" customHeight="1" thickBot="1">
      <c r="A20" s="1234" t="s">
        <v>0</v>
      </c>
      <c r="B20" s="1235"/>
      <c r="C20" s="1235"/>
      <c r="D20" s="1235"/>
      <c r="E20" s="1235"/>
      <c r="F20" s="1235"/>
      <c r="G20" s="1235"/>
      <c r="H20" s="1235"/>
      <c r="I20" s="1235"/>
      <c r="J20" s="1235"/>
      <c r="K20" s="1235"/>
      <c r="L20" s="1235"/>
      <c r="M20" s="1235"/>
      <c r="N20" s="1235"/>
      <c r="O20" s="1235"/>
      <c r="P20" s="1235"/>
      <c r="Q20" s="1236"/>
    </row>
    <row r="21" spans="1:18" s="113" customFormat="1" ht="15" thickBot="1">
      <c r="D21" s="136"/>
      <c r="E21" s="136"/>
      <c r="F21" s="135"/>
      <c r="G21" s="135"/>
      <c r="I21" s="150"/>
      <c r="J21" s="150"/>
      <c r="K21" s="150"/>
      <c r="L21" s="150"/>
    </row>
    <row r="22" spans="1:18" s="113" customFormat="1" ht="13.5" thickBot="1">
      <c r="F22" s="1217" t="s">
        <v>167</v>
      </c>
      <c r="G22" s="1008"/>
      <c r="H22" s="1277" t="s">
        <v>168</v>
      </c>
      <c r="I22" s="1278"/>
      <c r="J22" s="1278"/>
      <c r="K22" s="1278"/>
      <c r="L22" s="1278"/>
      <c r="M22" s="1278"/>
      <c r="N22" s="1278"/>
      <c r="O22" s="1278"/>
      <c r="P22" s="1278"/>
      <c r="Q22" s="1278"/>
    </row>
    <row r="23" spans="1:18" s="113" customFormat="1" ht="57.75" customHeight="1" thickBot="1">
      <c r="A23" s="254" t="s">
        <v>122</v>
      </c>
      <c r="B23" s="254" t="s">
        <v>169</v>
      </c>
      <c r="C23" s="255" t="s">
        <v>170</v>
      </c>
      <c r="D23" s="255" t="s">
        <v>171</v>
      </c>
      <c r="E23" s="255" t="s">
        <v>172</v>
      </c>
      <c r="F23" s="255" t="s">
        <v>173</v>
      </c>
      <c r="G23" s="254" t="s">
        <v>174</v>
      </c>
      <c r="H23" s="255" t="s">
        <v>176</v>
      </c>
      <c r="I23" s="254" t="s">
        <v>174</v>
      </c>
      <c r="J23" s="255" t="s">
        <v>177</v>
      </c>
      <c r="K23" s="254" t="s">
        <v>174</v>
      </c>
      <c r="L23" s="255" t="s">
        <v>178</v>
      </c>
      <c r="M23" s="254" t="s">
        <v>174</v>
      </c>
      <c r="N23" s="255" t="s">
        <v>157</v>
      </c>
      <c r="O23" s="254" t="s">
        <v>174</v>
      </c>
      <c r="P23" s="255" t="s">
        <v>824</v>
      </c>
      <c r="Q23" s="254" t="s">
        <v>174</v>
      </c>
    </row>
    <row r="24" spans="1:18" s="113" customFormat="1" ht="46.5" customHeight="1" thickBot="1">
      <c r="A24" s="1287">
        <v>40</v>
      </c>
      <c r="B24" s="1288"/>
      <c r="C24" s="258" t="s">
        <v>1000</v>
      </c>
      <c r="D24" s="281" t="s">
        <v>1019</v>
      </c>
      <c r="E24" s="260">
        <v>26853.38</v>
      </c>
      <c r="F24" s="19">
        <f>SUM(E24:E25)*(1-20%)</f>
        <v>21689.904000000002</v>
      </c>
      <c r="G24" s="1162">
        <f>F24*B24</f>
        <v>0</v>
      </c>
      <c r="H24" s="19">
        <f>F24*0.03137+I19/12</f>
        <v>876.07895514666677</v>
      </c>
      <c r="I24" s="1162">
        <f>H24*B24</f>
        <v>0</v>
      </c>
      <c r="J24" s="19">
        <f>F24*0.0274+I19/12</f>
        <v>789.97003626666674</v>
      </c>
      <c r="K24" s="1162">
        <f>J24*B24</f>
        <v>0</v>
      </c>
      <c r="L24" s="20">
        <f>F24*0.0228+I19/12</f>
        <v>690.19647786666678</v>
      </c>
      <c r="M24" s="1162">
        <f>L24*B24</f>
        <v>0</v>
      </c>
      <c r="N24" s="20">
        <f>F24*0.0204+I19/12</f>
        <v>638.14070826666671</v>
      </c>
      <c r="O24" s="1162">
        <f>N24*B24</f>
        <v>0</v>
      </c>
      <c r="P24" s="20">
        <f>F24*0.0185+I19/12</f>
        <v>596.92989066666667</v>
      </c>
      <c r="Q24" s="1162">
        <f>P24*B24</f>
        <v>0</v>
      </c>
    </row>
    <row r="25" spans="1:18" s="113" customFormat="1" ht="13.5" thickBot="1">
      <c r="A25" s="1287"/>
      <c r="B25" s="1288"/>
      <c r="C25" s="261" t="s">
        <v>104</v>
      </c>
      <c r="D25" s="262" t="s">
        <v>180</v>
      </c>
      <c r="E25" s="263">
        <v>259</v>
      </c>
      <c r="F25" s="264" t="s">
        <v>162</v>
      </c>
      <c r="G25" s="1284"/>
      <c r="H25" s="265" t="s">
        <v>162</v>
      </c>
      <c r="I25" s="1284"/>
      <c r="J25" s="265" t="s">
        <v>162</v>
      </c>
      <c r="K25" s="1284"/>
      <c r="L25" s="265" t="s">
        <v>162</v>
      </c>
      <c r="M25" s="1284"/>
      <c r="N25" s="265" t="s">
        <v>162</v>
      </c>
      <c r="O25" s="1284"/>
      <c r="P25" s="265" t="s">
        <v>162</v>
      </c>
      <c r="Q25" s="1167"/>
    </row>
    <row r="26" spans="1:18" s="266" customFormat="1" ht="15.75" customHeight="1" thickBot="1">
      <c r="A26" s="1285" t="s">
        <v>182</v>
      </c>
      <c r="B26" s="1286"/>
      <c r="C26" s="1272"/>
      <c r="D26" s="1272"/>
      <c r="E26" s="1272"/>
      <c r="F26" s="1272"/>
      <c r="G26" s="1272"/>
      <c r="H26" s="1272"/>
      <c r="I26" s="1272"/>
      <c r="J26" s="1272"/>
      <c r="K26" s="1272"/>
      <c r="L26" s="1272"/>
      <c r="M26" s="1272"/>
      <c r="N26" s="1272"/>
      <c r="O26" s="1272"/>
      <c r="P26" s="1272"/>
      <c r="Q26" s="1273"/>
    </row>
    <row r="27" spans="1:18" s="266" customFormat="1" ht="13.5" thickBot="1">
      <c r="A27" s="1005"/>
      <c r="B27" s="568"/>
      <c r="C27" s="592" t="s">
        <v>1001</v>
      </c>
      <c r="D27" s="569" t="s">
        <v>1008</v>
      </c>
      <c r="E27" s="570">
        <v>12881.443298969072</v>
      </c>
      <c r="F27" s="43">
        <f>E27*(1-20%)</f>
        <v>10305.154639175258</v>
      </c>
      <c r="G27" s="74">
        <f t="shared" ref="G27:G37" si="0">F27*B27</f>
        <v>0</v>
      </c>
      <c r="H27" s="43">
        <f t="shared" ref="H27:H37" si="1">F27*0.03137</f>
        <v>323.27270103092786</v>
      </c>
      <c r="I27" s="74">
        <f t="shared" ref="I27:I37" si="2">H27*B27</f>
        <v>0</v>
      </c>
      <c r="J27" s="43">
        <f t="shared" ref="J27:J37" si="3">F27*0.0274</f>
        <v>282.36123711340207</v>
      </c>
      <c r="K27" s="74">
        <f t="shared" ref="K27:K37" si="4">J27*B27</f>
        <v>0</v>
      </c>
      <c r="L27" s="43">
        <f t="shared" ref="L27:L37" si="5">F27*0.0228</f>
        <v>234.9575257731959</v>
      </c>
      <c r="M27" s="43">
        <f t="shared" ref="M27:M37" si="6">L27*B27</f>
        <v>0</v>
      </c>
      <c r="N27" s="43">
        <f t="shared" ref="N27:N37" si="7">F27*0.0204</f>
        <v>210.22515463917529</v>
      </c>
      <c r="O27" s="43">
        <f t="shared" ref="O27:O37" si="8">N27*B27</f>
        <v>0</v>
      </c>
      <c r="P27" s="43">
        <f>F27*0.0185</f>
        <v>190.64536082474226</v>
      </c>
      <c r="Q27" s="43">
        <f>P27*B27</f>
        <v>0</v>
      </c>
      <c r="R27" s="740"/>
    </row>
    <row r="28" spans="1:18" s="156" customFormat="1" ht="13.5" thickBot="1">
      <c r="A28" s="1156"/>
      <c r="B28" s="221"/>
      <c r="C28" s="593" t="s">
        <v>1002</v>
      </c>
      <c r="D28" s="282" t="s">
        <v>1009</v>
      </c>
      <c r="E28" s="283">
        <v>20097.938144329899</v>
      </c>
      <c r="F28" s="44">
        <f t="shared" ref="F28:F37" si="9">E28*(1-20%)</f>
        <v>16078.350515463921</v>
      </c>
      <c r="G28" s="3">
        <f>F28*B28</f>
        <v>0</v>
      </c>
      <c r="H28" s="21">
        <f t="shared" si="1"/>
        <v>504.3778556701032</v>
      </c>
      <c r="I28" s="2">
        <f>H28*B28</f>
        <v>0</v>
      </c>
      <c r="J28" s="21">
        <f t="shared" si="3"/>
        <v>440.54680412371141</v>
      </c>
      <c r="K28" s="22">
        <f>J28*B28</f>
        <v>0</v>
      </c>
      <c r="L28" s="21">
        <f t="shared" si="5"/>
        <v>366.58639175257741</v>
      </c>
      <c r="M28" s="21">
        <f>L28*B28</f>
        <v>0</v>
      </c>
      <c r="N28" s="21">
        <f t="shared" si="7"/>
        <v>327.99835051546398</v>
      </c>
      <c r="O28" s="21">
        <f>N28*B28</f>
        <v>0</v>
      </c>
      <c r="P28" s="43">
        <f t="shared" ref="P28:P37" si="10">F28*0.0185</f>
        <v>297.44948453608254</v>
      </c>
      <c r="Q28" s="43">
        <f t="shared" ref="Q28:Q37" si="11">P28*B28</f>
        <v>0</v>
      </c>
      <c r="R28" s="740"/>
    </row>
    <row r="29" spans="1:18" s="151" customFormat="1" ht="13.5" thickBot="1">
      <c r="A29" s="1156"/>
      <c r="B29" s="221"/>
      <c r="C29" s="593" t="s">
        <v>642</v>
      </c>
      <c r="D29" s="282" t="s">
        <v>1010</v>
      </c>
      <c r="E29" s="283">
        <v>1546.3917525773197</v>
      </c>
      <c r="F29" s="44">
        <f t="shared" si="9"/>
        <v>1237.1134020618558</v>
      </c>
      <c r="G29" s="3">
        <f t="shared" si="0"/>
        <v>0</v>
      </c>
      <c r="H29" s="21">
        <f t="shared" si="1"/>
        <v>38.808247422680417</v>
      </c>
      <c r="I29" s="2">
        <f t="shared" si="2"/>
        <v>0</v>
      </c>
      <c r="J29" s="21">
        <f t="shared" si="3"/>
        <v>33.896907216494853</v>
      </c>
      <c r="K29" s="22">
        <f t="shared" si="4"/>
        <v>0</v>
      </c>
      <c r="L29" s="21">
        <f t="shared" si="5"/>
        <v>28.206185567010312</v>
      </c>
      <c r="M29" s="21">
        <f t="shared" si="6"/>
        <v>0</v>
      </c>
      <c r="N29" s="21">
        <f t="shared" si="7"/>
        <v>25.237113402061862</v>
      </c>
      <c r="O29" s="21">
        <f t="shared" si="8"/>
        <v>0</v>
      </c>
      <c r="P29" s="43">
        <f t="shared" si="10"/>
        <v>22.88659793814433</v>
      </c>
      <c r="Q29" s="43">
        <f t="shared" si="11"/>
        <v>0</v>
      </c>
      <c r="R29" s="740"/>
    </row>
    <row r="30" spans="1:18" s="151" customFormat="1" ht="13.5" thickBot="1">
      <c r="A30" s="1156"/>
      <c r="B30" s="221"/>
      <c r="C30" s="593" t="s">
        <v>646</v>
      </c>
      <c r="D30" s="282" t="s">
        <v>1011</v>
      </c>
      <c r="E30" s="283">
        <v>1443.2989690721649</v>
      </c>
      <c r="F30" s="44">
        <f t="shared" si="9"/>
        <v>1154.6391752577319</v>
      </c>
      <c r="G30" s="3">
        <f t="shared" si="0"/>
        <v>0</v>
      </c>
      <c r="H30" s="21">
        <f t="shared" si="1"/>
        <v>36.221030927835052</v>
      </c>
      <c r="I30" s="2">
        <f t="shared" si="2"/>
        <v>0</v>
      </c>
      <c r="J30" s="21">
        <f t="shared" si="3"/>
        <v>31.637113402061857</v>
      </c>
      <c r="K30" s="22">
        <f t="shared" si="4"/>
        <v>0</v>
      </c>
      <c r="L30" s="21">
        <f t="shared" si="5"/>
        <v>26.325773195876291</v>
      </c>
      <c r="M30" s="21">
        <f t="shared" si="6"/>
        <v>0</v>
      </c>
      <c r="N30" s="21">
        <f t="shared" si="7"/>
        <v>23.554639175257734</v>
      </c>
      <c r="O30" s="21">
        <f t="shared" si="8"/>
        <v>0</v>
      </c>
      <c r="P30" s="43">
        <f t="shared" si="10"/>
        <v>21.36082474226804</v>
      </c>
      <c r="Q30" s="43">
        <f t="shared" si="11"/>
        <v>0</v>
      </c>
      <c r="R30" s="740"/>
    </row>
    <row r="31" spans="1:18" s="151" customFormat="1" ht="12.6" customHeight="1" thickBot="1">
      <c r="A31" s="1156"/>
      <c r="B31" s="221"/>
      <c r="C31" s="593" t="s">
        <v>1003</v>
      </c>
      <c r="D31" s="282" t="s">
        <v>1012</v>
      </c>
      <c r="E31" s="283">
        <v>1443.2989690721649</v>
      </c>
      <c r="F31" s="44">
        <f t="shared" si="9"/>
        <v>1154.6391752577319</v>
      </c>
      <c r="G31" s="3">
        <f t="shared" si="0"/>
        <v>0</v>
      </c>
      <c r="H31" s="21">
        <f t="shared" si="1"/>
        <v>36.221030927835052</v>
      </c>
      <c r="I31" s="2">
        <f t="shared" si="2"/>
        <v>0</v>
      </c>
      <c r="J31" s="21">
        <f t="shared" si="3"/>
        <v>31.637113402061857</v>
      </c>
      <c r="K31" s="22">
        <f t="shared" si="4"/>
        <v>0</v>
      </c>
      <c r="L31" s="21">
        <f t="shared" si="5"/>
        <v>26.325773195876291</v>
      </c>
      <c r="M31" s="21">
        <f t="shared" si="6"/>
        <v>0</v>
      </c>
      <c r="N31" s="21">
        <f t="shared" si="7"/>
        <v>23.554639175257734</v>
      </c>
      <c r="O31" s="21">
        <f t="shared" si="8"/>
        <v>0</v>
      </c>
      <c r="P31" s="43">
        <f t="shared" si="10"/>
        <v>21.36082474226804</v>
      </c>
      <c r="Q31" s="43">
        <f t="shared" si="11"/>
        <v>0</v>
      </c>
      <c r="R31" s="740"/>
    </row>
    <row r="32" spans="1:18" s="156" customFormat="1" ht="26.25" thickBot="1">
      <c r="A32" s="1156"/>
      <c r="B32" s="221"/>
      <c r="C32" s="593" t="s">
        <v>1004</v>
      </c>
      <c r="D32" s="282" t="s">
        <v>1013</v>
      </c>
      <c r="E32" s="283">
        <v>1237.1134020618556</v>
      </c>
      <c r="F32" s="44">
        <f>E32*(1-20%)</f>
        <v>989.69072164948454</v>
      </c>
      <c r="G32" s="3">
        <f>F32*B32</f>
        <v>0</v>
      </c>
      <c r="H32" s="21">
        <f t="shared" si="1"/>
        <v>31.04659793814433</v>
      </c>
      <c r="I32" s="2">
        <f>H32*B32</f>
        <v>0</v>
      </c>
      <c r="J32" s="21">
        <f t="shared" si="3"/>
        <v>27.117525773195876</v>
      </c>
      <c r="K32" s="22">
        <f>J32*B32</f>
        <v>0</v>
      </c>
      <c r="L32" s="21">
        <f t="shared" si="5"/>
        <v>22.564948453608249</v>
      </c>
      <c r="M32" s="21">
        <f>L32*B32</f>
        <v>0</v>
      </c>
      <c r="N32" s="21">
        <f t="shared" si="7"/>
        <v>20.189690721649487</v>
      </c>
      <c r="O32" s="21">
        <f>N32*B32</f>
        <v>0</v>
      </c>
      <c r="P32" s="43">
        <f>F32*0.0185</f>
        <v>18.309278350515463</v>
      </c>
      <c r="Q32" s="43">
        <f>P32*B32</f>
        <v>0</v>
      </c>
      <c r="R32" s="740"/>
    </row>
    <row r="33" spans="1:18" s="151" customFormat="1" ht="26.25" thickBot="1">
      <c r="A33" s="1156"/>
      <c r="B33" s="221"/>
      <c r="C33" s="593" t="s">
        <v>1005</v>
      </c>
      <c r="D33" s="282" t="s">
        <v>1014</v>
      </c>
      <c r="E33" s="283">
        <v>1237.1134020618556</v>
      </c>
      <c r="F33" s="44">
        <f>E33*(1-20%)</f>
        <v>989.69072164948454</v>
      </c>
      <c r="G33" s="3">
        <f>F33*B33</f>
        <v>0</v>
      </c>
      <c r="H33" s="21">
        <f t="shared" si="1"/>
        <v>31.04659793814433</v>
      </c>
      <c r="I33" s="2">
        <f>H33*B33</f>
        <v>0</v>
      </c>
      <c r="J33" s="21">
        <f t="shared" si="3"/>
        <v>27.117525773195876</v>
      </c>
      <c r="K33" s="22">
        <f>J33*B33</f>
        <v>0</v>
      </c>
      <c r="L33" s="21">
        <f t="shared" si="5"/>
        <v>22.564948453608249</v>
      </c>
      <c r="M33" s="21">
        <f>L33*B33</f>
        <v>0</v>
      </c>
      <c r="N33" s="21">
        <f t="shared" si="7"/>
        <v>20.189690721649487</v>
      </c>
      <c r="O33" s="21">
        <f>N33*B33</f>
        <v>0</v>
      </c>
      <c r="P33" s="43">
        <f>F33*0.0185</f>
        <v>18.309278350515463</v>
      </c>
      <c r="Q33" s="43">
        <f>P33*B33</f>
        <v>0</v>
      </c>
      <c r="R33" s="740"/>
    </row>
    <row r="34" spans="1:18" s="151" customFormat="1" ht="13.5" thickBot="1">
      <c r="A34" s="1156"/>
      <c r="B34" s="221"/>
      <c r="C34" s="593" t="s">
        <v>648</v>
      </c>
      <c r="D34" s="282" t="s">
        <v>1015</v>
      </c>
      <c r="E34" s="283">
        <v>1025.7731958762886</v>
      </c>
      <c r="F34" s="44">
        <f>E34*(1-20%)</f>
        <v>820.61855670103091</v>
      </c>
      <c r="G34" s="3">
        <f>F34*B34</f>
        <v>0</v>
      </c>
      <c r="H34" s="21">
        <f t="shared" si="1"/>
        <v>25.742804123711341</v>
      </c>
      <c r="I34" s="2">
        <f>H34*B34</f>
        <v>0</v>
      </c>
      <c r="J34" s="21">
        <f t="shared" si="3"/>
        <v>22.484948453608247</v>
      </c>
      <c r="K34" s="22">
        <f>J34*B34</f>
        <v>0</v>
      </c>
      <c r="L34" s="21">
        <f t="shared" si="5"/>
        <v>18.710103092783505</v>
      </c>
      <c r="M34" s="21">
        <f>L34*B34</f>
        <v>0</v>
      </c>
      <c r="N34" s="21">
        <f t="shared" si="7"/>
        <v>16.740618556701033</v>
      </c>
      <c r="O34" s="21">
        <f>N34*B34</f>
        <v>0</v>
      </c>
      <c r="P34" s="43">
        <f>F34*0.0185</f>
        <v>15.181443298969072</v>
      </c>
      <c r="Q34" s="43">
        <f>P34*B34</f>
        <v>0</v>
      </c>
      <c r="R34" s="740"/>
    </row>
    <row r="35" spans="1:18" s="151" customFormat="1" ht="12.6" customHeight="1" thickBot="1">
      <c r="A35" s="1156"/>
      <c r="B35" s="221"/>
      <c r="C35" s="593" t="s">
        <v>649</v>
      </c>
      <c r="D35" s="282" t="s">
        <v>1016</v>
      </c>
      <c r="E35" s="283">
        <v>1025.7731958762886</v>
      </c>
      <c r="F35" s="44">
        <f>E35*(1-20%)</f>
        <v>820.61855670103091</v>
      </c>
      <c r="G35" s="3">
        <f>F35*B35</f>
        <v>0</v>
      </c>
      <c r="H35" s="21">
        <f t="shared" si="1"/>
        <v>25.742804123711341</v>
      </c>
      <c r="I35" s="2">
        <f>H35*B35</f>
        <v>0</v>
      </c>
      <c r="J35" s="21">
        <f t="shared" si="3"/>
        <v>22.484948453608247</v>
      </c>
      <c r="K35" s="22">
        <f>J35*B35</f>
        <v>0</v>
      </c>
      <c r="L35" s="21">
        <f t="shared" si="5"/>
        <v>18.710103092783505</v>
      </c>
      <c r="M35" s="21">
        <f>L35*B35</f>
        <v>0</v>
      </c>
      <c r="N35" s="21">
        <f t="shared" si="7"/>
        <v>16.740618556701033</v>
      </c>
      <c r="O35" s="21">
        <f>N35*B35</f>
        <v>0</v>
      </c>
      <c r="P35" s="43">
        <f>F35*0.0185</f>
        <v>15.181443298969072</v>
      </c>
      <c r="Q35" s="43">
        <f>P35*B35</f>
        <v>0</v>
      </c>
      <c r="R35" s="266"/>
    </row>
    <row r="36" spans="1:18" s="151" customFormat="1" ht="13.5" thickBot="1">
      <c r="A36" s="1156"/>
      <c r="B36" s="221"/>
      <c r="C36" s="593" t="s">
        <v>1006</v>
      </c>
      <c r="D36" s="282" t="s">
        <v>1017</v>
      </c>
      <c r="E36" s="283">
        <v>1025.7731958762886</v>
      </c>
      <c r="F36" s="44">
        <f t="shared" si="9"/>
        <v>820.61855670103091</v>
      </c>
      <c r="G36" s="3">
        <f t="shared" si="0"/>
        <v>0</v>
      </c>
      <c r="H36" s="21">
        <f t="shared" si="1"/>
        <v>25.742804123711341</v>
      </c>
      <c r="I36" s="2">
        <f t="shared" si="2"/>
        <v>0</v>
      </c>
      <c r="J36" s="21">
        <f t="shared" si="3"/>
        <v>22.484948453608247</v>
      </c>
      <c r="K36" s="22">
        <f t="shared" si="4"/>
        <v>0</v>
      </c>
      <c r="L36" s="21">
        <f t="shared" si="5"/>
        <v>18.710103092783505</v>
      </c>
      <c r="M36" s="21">
        <f t="shared" si="6"/>
        <v>0</v>
      </c>
      <c r="N36" s="21">
        <f t="shared" si="7"/>
        <v>16.740618556701033</v>
      </c>
      <c r="O36" s="21">
        <f t="shared" si="8"/>
        <v>0</v>
      </c>
      <c r="P36" s="43">
        <f t="shared" si="10"/>
        <v>15.181443298969072</v>
      </c>
      <c r="Q36" s="43">
        <f t="shared" si="11"/>
        <v>0</v>
      </c>
      <c r="R36" s="740"/>
    </row>
    <row r="37" spans="1:18" s="151" customFormat="1" ht="13.5" thickBot="1">
      <c r="A37" s="1227"/>
      <c r="B37" s="221"/>
      <c r="C37" s="593" t="s">
        <v>1007</v>
      </c>
      <c r="D37" s="282" t="s">
        <v>1018</v>
      </c>
      <c r="E37" s="283">
        <v>1025.7731958762886</v>
      </c>
      <c r="F37" s="44">
        <f t="shared" si="9"/>
        <v>820.61855670103091</v>
      </c>
      <c r="G37" s="3">
        <f t="shared" si="0"/>
        <v>0</v>
      </c>
      <c r="H37" s="21">
        <f t="shared" si="1"/>
        <v>25.742804123711341</v>
      </c>
      <c r="I37" s="2">
        <f t="shared" si="2"/>
        <v>0</v>
      </c>
      <c r="J37" s="21">
        <f t="shared" si="3"/>
        <v>22.484948453608247</v>
      </c>
      <c r="K37" s="22">
        <f t="shared" si="4"/>
        <v>0</v>
      </c>
      <c r="L37" s="21">
        <f t="shared" si="5"/>
        <v>18.710103092783505</v>
      </c>
      <c r="M37" s="21">
        <f t="shared" si="6"/>
        <v>0</v>
      </c>
      <c r="N37" s="21">
        <f t="shared" si="7"/>
        <v>16.740618556701033</v>
      </c>
      <c r="O37" s="21">
        <f t="shared" si="8"/>
        <v>0</v>
      </c>
      <c r="P37" s="43">
        <f t="shared" si="10"/>
        <v>15.181443298969072</v>
      </c>
      <c r="Q37" s="43">
        <f t="shared" si="11"/>
        <v>0</v>
      </c>
      <c r="R37" s="740"/>
    </row>
    <row r="38" spans="1:18" s="151" customFormat="1" ht="15">
      <c r="A38" s="156"/>
      <c r="B38" s="106"/>
      <c r="C38" s="106"/>
      <c r="D38" s="997" t="s">
        <v>183</v>
      </c>
      <c r="E38" s="998"/>
      <c r="F38" s="1274"/>
      <c r="G38" s="9">
        <f>SUM(G27:G37)+G24</f>
        <v>0</v>
      </c>
      <c r="H38" s="10" t="s">
        <v>185</v>
      </c>
      <c r="I38" s="9">
        <f>SUM(I27:I37)+I24</f>
        <v>0</v>
      </c>
      <c r="J38" s="10" t="s">
        <v>186</v>
      </c>
      <c r="K38" s="9">
        <f>SUM(K27:K37)+K24</f>
        <v>0</v>
      </c>
      <c r="L38" s="10" t="s">
        <v>187</v>
      </c>
      <c r="M38" s="9">
        <f>SUM(M27:M37)+M24</f>
        <v>0</v>
      </c>
      <c r="N38" s="10" t="s">
        <v>94</v>
      </c>
      <c r="O38" s="9">
        <f>SUM(O27:O37)+O24</f>
        <v>0</v>
      </c>
      <c r="P38" s="10" t="s">
        <v>826</v>
      </c>
      <c r="Q38" s="9">
        <f>SUM(Q27:Q37)+Q24</f>
        <v>0</v>
      </c>
    </row>
    <row r="39" spans="1:18" s="151" customFormat="1">
      <c r="A39" s="162"/>
      <c r="B39" s="104"/>
      <c r="C39" s="104"/>
      <c r="D39" s="162"/>
      <c r="E39" s="162"/>
      <c r="F39" s="24"/>
      <c r="G39" s="24"/>
      <c r="H39" s="26"/>
      <c r="I39" s="26"/>
      <c r="J39" s="26"/>
      <c r="K39" s="26"/>
      <c r="L39" s="667">
        <f>F39*0.0256</f>
        <v>0</v>
      </c>
      <c r="M39" s="26"/>
      <c r="N39" s="26"/>
      <c r="O39" s="26"/>
      <c r="P39" s="26"/>
      <c r="Q39" s="26"/>
    </row>
    <row r="40" spans="1:18" s="151" customFormat="1" ht="15.75">
      <c r="A40" s="104"/>
      <c r="B40" s="271"/>
      <c r="C40" s="271"/>
      <c r="D40" s="272"/>
      <c r="E40" s="272"/>
      <c r="F40" s="25"/>
      <c r="G40" s="7"/>
      <c r="H40" s="8"/>
      <c r="I40" s="8"/>
      <c r="J40" s="8"/>
      <c r="K40" s="8"/>
      <c r="L40" s="8"/>
      <c r="M40" s="8"/>
      <c r="N40" s="8"/>
      <c r="O40" s="8"/>
      <c r="P40" s="8"/>
      <c r="Q40" s="8"/>
    </row>
    <row r="41" spans="1:18" s="156" customFormat="1">
      <c r="A41" s="104"/>
      <c r="B41" s="104"/>
      <c r="C41" s="104"/>
      <c r="D41" s="104"/>
      <c r="E41" s="104"/>
      <c r="F41" s="25"/>
      <c r="G41" s="7"/>
      <c r="H41" s="8"/>
      <c r="I41" s="8"/>
      <c r="J41" s="8"/>
      <c r="K41" s="8"/>
      <c r="L41" s="8"/>
      <c r="M41" s="8"/>
      <c r="N41" s="8"/>
      <c r="O41" s="8"/>
      <c r="P41" s="8"/>
      <c r="Q41" s="8"/>
    </row>
    <row r="42" spans="1:18" s="156" customFormat="1">
      <c r="A42" s="104"/>
      <c r="B42" s="104"/>
      <c r="C42" s="104"/>
      <c r="D42" s="104"/>
      <c r="E42" s="104"/>
      <c r="F42" s="7"/>
      <c r="G42" s="7"/>
      <c r="H42" s="8"/>
      <c r="I42" s="8"/>
      <c r="J42" s="8"/>
      <c r="K42" s="8"/>
      <c r="L42" s="8"/>
      <c r="M42" s="8"/>
      <c r="N42" s="8"/>
      <c r="O42" s="8"/>
      <c r="P42" s="8"/>
      <c r="Q42" s="8"/>
    </row>
    <row r="43" spans="1:18" s="274" customFormat="1" hidden="1">
      <c r="A43" s="104"/>
      <c r="B43" s="104"/>
      <c r="C43" s="104"/>
      <c r="D43" s="104"/>
      <c r="E43" s="104"/>
      <c r="F43" s="7"/>
      <c r="G43" s="7"/>
      <c r="H43" s="8"/>
      <c r="I43" s="8"/>
      <c r="J43" s="8"/>
      <c r="K43" s="8"/>
      <c r="L43" s="8"/>
      <c r="M43" s="8"/>
      <c r="N43" s="8"/>
      <c r="O43" s="8"/>
      <c r="P43" s="8"/>
      <c r="Q43" s="8"/>
    </row>
    <row r="44" spans="1:18" s="156" customFormat="1">
      <c r="A44" s="104"/>
      <c r="B44" s="104"/>
      <c r="C44" s="104"/>
      <c r="D44" s="104"/>
      <c r="E44" s="104"/>
      <c r="F44" s="165"/>
      <c r="G44" s="7"/>
      <c r="H44" s="104"/>
      <c r="I44" s="8"/>
      <c r="J44" s="104"/>
      <c r="K44" s="8"/>
      <c r="L44" s="104"/>
      <c r="M44" s="8"/>
      <c r="N44" s="104"/>
      <c r="O44" s="8"/>
      <c r="P44" s="104"/>
      <c r="Q44" s="8"/>
    </row>
    <row r="45" spans="1:18" s="162" customFormat="1">
      <c r="A45" s="104"/>
      <c r="B45" s="104"/>
      <c r="C45" s="104"/>
      <c r="D45" s="104"/>
      <c r="E45" s="104"/>
      <c r="F45" s="165"/>
      <c r="G45" s="165"/>
      <c r="H45" s="104"/>
      <c r="I45" s="104"/>
      <c r="J45" s="104"/>
      <c r="K45" s="104"/>
      <c r="L45" s="104"/>
      <c r="M45" s="104"/>
      <c r="N45" s="104"/>
      <c r="O45" s="104"/>
      <c r="P45" s="104"/>
      <c r="Q45" s="104"/>
    </row>
    <row r="58" spans="2:3">
      <c r="B58" s="106"/>
      <c r="C58" s="106"/>
    </row>
  </sheetData>
  <mergeCells count="22">
    <mergeCell ref="A27:A37"/>
    <mergeCell ref="D38:F38"/>
    <mergeCell ref="G24:G25"/>
    <mergeCell ref="I24:I25"/>
    <mergeCell ref="K24:K25"/>
    <mergeCell ref="A26:Q26"/>
    <mergeCell ref="M24:M25"/>
    <mergeCell ref="A24:A25"/>
    <mergeCell ref="B24:B25"/>
    <mergeCell ref="O24:O25"/>
    <mergeCell ref="Q24:Q25"/>
    <mergeCell ref="A19:H19"/>
    <mergeCell ref="I19:Q19"/>
    <mergeCell ref="A20:Q20"/>
    <mergeCell ref="F22:G22"/>
    <mergeCell ref="H22:Q22"/>
    <mergeCell ref="A18:Q18"/>
    <mergeCell ref="A4:O4"/>
    <mergeCell ref="A5:O5"/>
    <mergeCell ref="H8:J8"/>
    <mergeCell ref="D14:D15"/>
    <mergeCell ref="A17:Q17"/>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9">
    <tabColor indexed="44"/>
  </sheetPr>
  <dimension ref="A1:R47"/>
  <sheetViews>
    <sheetView zoomScale="65" zoomScaleNormal="65" workbookViewId="0">
      <selection activeCell="J36" sqref="J36"/>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8" width="11.85546875" style="104" bestFit="1" customWidth="1"/>
    <col min="19"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827</v>
      </c>
      <c r="B4" s="979"/>
      <c r="C4" s="979"/>
      <c r="D4" s="979"/>
      <c r="E4" s="979"/>
      <c r="F4" s="979"/>
      <c r="G4" s="979"/>
      <c r="H4" s="979"/>
      <c r="I4" s="979"/>
      <c r="J4" s="979"/>
      <c r="K4" s="979"/>
      <c r="L4" s="979"/>
      <c r="M4" s="979"/>
      <c r="N4" s="979"/>
      <c r="O4" s="979"/>
    </row>
    <row r="5" spans="1:18" s="114" customFormat="1" ht="41.25" customHeight="1">
      <c r="A5" s="1276" t="s">
        <v>251</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D8" s="136"/>
      <c r="E8" s="136"/>
      <c r="H8" s="123"/>
    </row>
    <row r="9" spans="1:18" s="113" customFormat="1">
      <c r="F9" s="249"/>
      <c r="G9" s="249"/>
      <c r="H9" s="123"/>
    </row>
    <row r="10" spans="1:18" s="113" customFormat="1">
      <c r="F10" s="249"/>
      <c r="G10" s="249"/>
      <c r="H10" s="123"/>
      <c r="J10" s="124"/>
      <c r="L10" s="124"/>
    </row>
    <row r="11" spans="1:18" s="113" customFormat="1" ht="12" customHeight="1">
      <c r="F11" s="249"/>
      <c r="G11" s="249"/>
      <c r="H11" s="123"/>
      <c r="I11" s="124"/>
      <c r="J11" s="124"/>
      <c r="L11" s="124"/>
    </row>
    <row r="12" spans="1:18" s="113" customFormat="1" ht="18.75" thickBot="1">
      <c r="A12" s="1279" t="s">
        <v>23</v>
      </c>
      <c r="B12" s="1245"/>
      <c r="C12" s="1245"/>
      <c r="D12" s="1245"/>
      <c r="E12" s="1245"/>
      <c r="F12" s="1245"/>
      <c r="G12" s="1245"/>
      <c r="H12" s="1245"/>
      <c r="I12" s="1245"/>
      <c r="J12" s="1245"/>
      <c r="K12" s="1245"/>
      <c r="L12" s="1245"/>
      <c r="M12" s="1245"/>
      <c r="N12" s="1245"/>
      <c r="O12" s="1245"/>
      <c r="P12" s="1245"/>
      <c r="Q12" s="1245"/>
    </row>
    <row r="13" spans="1:18" s="113" customFormat="1" ht="18" customHeight="1">
      <c r="A13" s="1280" t="s">
        <v>231</v>
      </c>
      <c r="B13" s="1281"/>
      <c r="C13" s="1281"/>
      <c r="D13" s="1281"/>
      <c r="E13" s="1281"/>
      <c r="F13" s="1281"/>
      <c r="G13" s="1281"/>
      <c r="H13" s="1281"/>
      <c r="I13" s="1281"/>
      <c r="J13" s="1281"/>
      <c r="K13" s="1281"/>
      <c r="L13" s="1281"/>
      <c r="M13" s="1281"/>
      <c r="N13" s="1281"/>
      <c r="O13" s="1281"/>
      <c r="P13" s="1281"/>
      <c r="Q13" s="1282"/>
    </row>
    <row r="14" spans="1:18" s="113" customFormat="1" ht="18" customHeight="1">
      <c r="A14" s="1240" t="s">
        <v>91</v>
      </c>
      <c r="B14" s="1241"/>
      <c r="C14" s="1241"/>
      <c r="D14" s="1241"/>
      <c r="E14" s="1241"/>
      <c r="F14" s="1241"/>
      <c r="G14" s="1241"/>
      <c r="H14" s="1241"/>
      <c r="I14" s="1264">
        <v>2700</v>
      </c>
      <c r="J14" s="1264"/>
      <c r="K14" s="1264"/>
      <c r="L14" s="1264"/>
      <c r="M14" s="1264"/>
      <c r="N14" s="1264"/>
      <c r="O14" s="1264"/>
      <c r="P14" s="1264"/>
      <c r="Q14" s="1283"/>
    </row>
    <row r="15" spans="1:18" s="113" customFormat="1" ht="18" customHeight="1" thickBot="1">
      <c r="A15" s="1234" t="s">
        <v>0</v>
      </c>
      <c r="B15" s="1235"/>
      <c r="C15" s="1235"/>
      <c r="D15" s="1235"/>
      <c r="E15" s="1235"/>
      <c r="F15" s="1235"/>
      <c r="G15" s="1235"/>
      <c r="H15" s="1235"/>
      <c r="I15" s="1235"/>
      <c r="J15" s="1235"/>
      <c r="K15" s="1235"/>
      <c r="L15" s="1235"/>
      <c r="M15" s="1235"/>
      <c r="N15" s="1235"/>
      <c r="O15" s="1235"/>
      <c r="P15" s="1235"/>
      <c r="Q15" s="1236"/>
    </row>
    <row r="16" spans="1:18" s="113" customFormat="1" ht="15" thickBot="1">
      <c r="D16" s="136"/>
      <c r="E16" s="136"/>
      <c r="F16" s="135"/>
      <c r="G16" s="135"/>
      <c r="I16" s="150"/>
      <c r="J16" s="150"/>
      <c r="K16" s="150"/>
      <c r="L16" s="150"/>
    </row>
    <row r="17" spans="1:18" s="113" customFormat="1" ht="13.5" thickBot="1">
      <c r="F17" s="1217" t="s">
        <v>167</v>
      </c>
      <c r="G17" s="1008"/>
      <c r="H17" s="1277" t="s">
        <v>168</v>
      </c>
      <c r="I17" s="1278"/>
      <c r="J17" s="1278"/>
      <c r="K17" s="1278"/>
      <c r="L17" s="1278"/>
      <c r="M17" s="1278"/>
      <c r="N17" s="1278"/>
      <c r="O17" s="1278"/>
      <c r="P17" s="1278"/>
      <c r="Q17" s="1278"/>
    </row>
    <row r="18" spans="1:18" s="113" customFormat="1" ht="57.75" customHeight="1" thickBot="1">
      <c r="A18" s="254" t="s">
        <v>122</v>
      </c>
      <c r="B18" s="254" t="s">
        <v>169</v>
      </c>
      <c r="C18" s="255" t="s">
        <v>170</v>
      </c>
      <c r="D18" s="255" t="s">
        <v>171</v>
      </c>
      <c r="E18" s="255" t="s">
        <v>172</v>
      </c>
      <c r="F18" s="255" t="s">
        <v>173</v>
      </c>
      <c r="G18" s="254" t="s">
        <v>174</v>
      </c>
      <c r="H18" s="255" t="s">
        <v>176</v>
      </c>
      <c r="I18" s="254" t="s">
        <v>174</v>
      </c>
      <c r="J18" s="255" t="s">
        <v>177</v>
      </c>
      <c r="K18" s="254" t="s">
        <v>174</v>
      </c>
      <c r="L18" s="255" t="s">
        <v>178</v>
      </c>
      <c r="M18" s="254" t="s">
        <v>174</v>
      </c>
      <c r="N18" s="255" t="s">
        <v>157</v>
      </c>
      <c r="O18" s="254" t="s">
        <v>174</v>
      </c>
      <c r="P18" s="255" t="s">
        <v>824</v>
      </c>
      <c r="Q18" s="254" t="s">
        <v>174</v>
      </c>
    </row>
    <row r="19" spans="1:18" s="113" customFormat="1" ht="46.5" customHeight="1" thickBot="1">
      <c r="A19" s="563">
        <v>41</v>
      </c>
      <c r="B19" s="257"/>
      <c r="C19" s="258" t="s">
        <v>971</v>
      </c>
      <c r="D19" s="281" t="s">
        <v>972</v>
      </c>
      <c r="E19" s="260">
        <v>25773.19</v>
      </c>
      <c r="F19" s="19">
        <f>SUM(E19:E19)*(1-22%)</f>
        <v>20103.088199999998</v>
      </c>
      <c r="G19" s="20">
        <f>F19*B19</f>
        <v>0</v>
      </c>
      <c r="H19" s="19">
        <f>F19*0.03137+I14/12</f>
        <v>855.63387683400003</v>
      </c>
      <c r="I19" s="20">
        <f>H19*B19</f>
        <v>0</v>
      </c>
      <c r="J19" s="19">
        <f>F19*0.0274+I14/12</f>
        <v>775.82461667999996</v>
      </c>
      <c r="K19" s="20">
        <f>J19*B19</f>
        <v>0</v>
      </c>
      <c r="L19" s="20">
        <f>F19*0.0228+I14/12</f>
        <v>683.35041095999998</v>
      </c>
      <c r="M19" s="20">
        <f>L19*B19</f>
        <v>0</v>
      </c>
      <c r="N19" s="20">
        <f>F19*0.0204+I14/12</f>
        <v>635.10299927999995</v>
      </c>
      <c r="O19" s="20">
        <f>N19*B19</f>
        <v>0</v>
      </c>
      <c r="P19" s="20">
        <f>F19*0.0185+I14/12</f>
        <v>596.90713169999992</v>
      </c>
      <c r="Q19" s="20">
        <f>P19*B19</f>
        <v>0</v>
      </c>
    </row>
    <row r="20" spans="1:18" s="266" customFormat="1" ht="15.75" customHeight="1" thickBot="1">
      <c r="A20" s="1271" t="s">
        <v>182</v>
      </c>
      <c r="B20" s="1272"/>
      <c r="C20" s="1272"/>
      <c r="D20" s="1272"/>
      <c r="E20" s="1272"/>
      <c r="F20" s="1272"/>
      <c r="G20" s="1272"/>
      <c r="H20" s="1272"/>
      <c r="I20" s="1272"/>
      <c r="J20" s="1272"/>
      <c r="K20" s="1272"/>
      <c r="L20" s="1272"/>
      <c r="M20" s="1272"/>
      <c r="N20" s="1272"/>
      <c r="O20" s="1272"/>
      <c r="P20" s="1272"/>
      <c r="Q20" s="1273"/>
    </row>
    <row r="21" spans="1:18" s="266" customFormat="1" ht="26.25" thickBot="1">
      <c r="A21" s="1005"/>
      <c r="B21" s="568"/>
      <c r="C21" s="569" t="s">
        <v>958</v>
      </c>
      <c r="D21" s="569" t="s">
        <v>975</v>
      </c>
      <c r="E21" s="570">
        <v>1958.7628865979382</v>
      </c>
      <c r="F21" s="43">
        <f t="shared" ref="F21:F26" si="0">E21*(1-20%)</f>
        <v>1567.0103092783506</v>
      </c>
      <c r="G21" s="74">
        <f t="shared" ref="G21:G26" si="1">F21*B21</f>
        <v>0</v>
      </c>
      <c r="H21" s="43">
        <f t="shared" ref="H21:H26" si="2">F21*0.03137</f>
        <v>49.15711340206186</v>
      </c>
      <c r="I21" s="74">
        <f t="shared" ref="I21:I26" si="3">H21*B21</f>
        <v>0</v>
      </c>
      <c r="J21" s="43">
        <f t="shared" ref="J21:J26" si="4">F21*0.0274</f>
        <v>42.936082474226808</v>
      </c>
      <c r="K21" s="74">
        <f t="shared" ref="K21:K26" si="5">J21*B21</f>
        <v>0</v>
      </c>
      <c r="L21" s="43">
        <f t="shared" ref="L21:L26" si="6">F21*0.0228</f>
        <v>35.727835051546393</v>
      </c>
      <c r="M21" s="43">
        <f t="shared" ref="M21:M26" si="7">L21*B21</f>
        <v>0</v>
      </c>
      <c r="N21" s="43">
        <f t="shared" ref="N21:N26" si="8">F21*0.0204</f>
        <v>31.967010309278354</v>
      </c>
      <c r="O21" s="43">
        <f t="shared" ref="O21:O26" si="9">N21*B21</f>
        <v>0</v>
      </c>
      <c r="P21" s="43">
        <f t="shared" ref="P21:P26" si="10">F21*0.0185</f>
        <v>28.989690721649485</v>
      </c>
      <c r="Q21" s="43">
        <f t="shared" ref="Q21:Q26" si="11">P21*B21</f>
        <v>0</v>
      </c>
      <c r="R21" s="740"/>
    </row>
    <row r="22" spans="1:18" s="266" customFormat="1" ht="13.5" thickBot="1">
      <c r="A22" s="1005"/>
      <c r="B22" s="229"/>
      <c r="C22" s="261" t="s">
        <v>973</v>
      </c>
      <c r="D22" s="262" t="s">
        <v>976</v>
      </c>
      <c r="E22" s="263">
        <v>953.60824742268039</v>
      </c>
      <c r="F22" s="44">
        <f t="shared" si="0"/>
        <v>762.8865979381444</v>
      </c>
      <c r="G22" s="74">
        <f>F22*B22</f>
        <v>0</v>
      </c>
      <c r="H22" s="43">
        <f t="shared" si="2"/>
        <v>23.931752577319592</v>
      </c>
      <c r="I22" s="74">
        <f>H22*B22</f>
        <v>0</v>
      </c>
      <c r="J22" s="43">
        <f t="shared" si="4"/>
        <v>20.903092783505159</v>
      </c>
      <c r="K22" s="74">
        <f>J22*B22</f>
        <v>0</v>
      </c>
      <c r="L22" s="43">
        <f t="shared" si="6"/>
        <v>17.393814432989693</v>
      </c>
      <c r="M22" s="43">
        <f>L22*B22</f>
        <v>0</v>
      </c>
      <c r="N22" s="43">
        <f t="shared" si="8"/>
        <v>15.562886597938148</v>
      </c>
      <c r="O22" s="43">
        <f>N22*B22</f>
        <v>0</v>
      </c>
      <c r="P22" s="43">
        <f t="shared" si="10"/>
        <v>14.113402061855671</v>
      </c>
      <c r="Q22" s="43">
        <f t="shared" si="11"/>
        <v>0</v>
      </c>
      <c r="R22" s="740"/>
    </row>
    <row r="23" spans="1:18" s="151" customFormat="1" ht="26.25" thickBot="1">
      <c r="A23" s="1156"/>
      <c r="B23" s="221"/>
      <c r="C23" s="282" t="s">
        <v>959</v>
      </c>
      <c r="D23" s="282" t="s">
        <v>252</v>
      </c>
      <c r="E23" s="283">
        <v>2056.7010309278353</v>
      </c>
      <c r="F23" s="44">
        <f t="shared" si="0"/>
        <v>1645.3608247422683</v>
      </c>
      <c r="G23" s="3">
        <f t="shared" si="1"/>
        <v>0</v>
      </c>
      <c r="H23" s="21">
        <f t="shared" si="2"/>
        <v>51.614969072164961</v>
      </c>
      <c r="I23" s="2">
        <f t="shared" si="3"/>
        <v>0</v>
      </c>
      <c r="J23" s="21">
        <f t="shared" si="4"/>
        <v>45.082886597938149</v>
      </c>
      <c r="K23" s="22">
        <f t="shared" si="5"/>
        <v>0</v>
      </c>
      <c r="L23" s="21">
        <f t="shared" si="6"/>
        <v>37.514226804123716</v>
      </c>
      <c r="M23" s="21">
        <f t="shared" si="7"/>
        <v>0</v>
      </c>
      <c r="N23" s="21">
        <f t="shared" si="8"/>
        <v>33.565360824742278</v>
      </c>
      <c r="O23" s="21">
        <f t="shared" si="9"/>
        <v>0</v>
      </c>
      <c r="P23" s="43">
        <f t="shared" si="10"/>
        <v>30.439175257731961</v>
      </c>
      <c r="Q23" s="43">
        <f t="shared" si="11"/>
        <v>0</v>
      </c>
      <c r="R23" s="740"/>
    </row>
    <row r="24" spans="1:18" s="151" customFormat="1" ht="12.6" customHeight="1" thickBot="1">
      <c r="A24" s="1156"/>
      <c r="B24" s="221"/>
      <c r="C24" s="282" t="s">
        <v>511</v>
      </c>
      <c r="D24" s="282" t="s">
        <v>977</v>
      </c>
      <c r="E24" s="283">
        <v>298.96907216494844</v>
      </c>
      <c r="F24" s="44">
        <f t="shared" si="0"/>
        <v>239.17525773195877</v>
      </c>
      <c r="G24" s="3">
        <f t="shared" si="1"/>
        <v>0</v>
      </c>
      <c r="H24" s="21">
        <f t="shared" si="2"/>
        <v>7.5029278350515467</v>
      </c>
      <c r="I24" s="2">
        <f t="shared" si="3"/>
        <v>0</v>
      </c>
      <c r="J24" s="21">
        <f t="shared" si="4"/>
        <v>6.5534020618556701</v>
      </c>
      <c r="K24" s="22">
        <f t="shared" si="5"/>
        <v>0</v>
      </c>
      <c r="L24" s="21">
        <f t="shared" si="6"/>
        <v>5.4531958762886603</v>
      </c>
      <c r="M24" s="21">
        <f t="shared" si="7"/>
        <v>0</v>
      </c>
      <c r="N24" s="21">
        <f t="shared" si="8"/>
        <v>4.8791752577319594</v>
      </c>
      <c r="O24" s="21">
        <f t="shared" si="9"/>
        <v>0</v>
      </c>
      <c r="P24" s="43">
        <f t="shared" si="10"/>
        <v>4.4247422680412374</v>
      </c>
      <c r="Q24" s="43">
        <f t="shared" si="11"/>
        <v>0</v>
      </c>
      <c r="R24" s="740"/>
    </row>
    <row r="25" spans="1:18" s="151" customFormat="1" ht="13.5" thickBot="1">
      <c r="A25" s="1156"/>
      <c r="B25" s="221"/>
      <c r="C25" s="282" t="s">
        <v>974</v>
      </c>
      <c r="D25" s="282" t="s">
        <v>966</v>
      </c>
      <c r="E25" s="283">
        <v>1056.7010309278351</v>
      </c>
      <c r="F25" s="44">
        <f t="shared" si="0"/>
        <v>845.36082474226805</v>
      </c>
      <c r="G25" s="3">
        <f t="shared" si="1"/>
        <v>0</v>
      </c>
      <c r="H25" s="21">
        <f t="shared" si="2"/>
        <v>26.51896907216495</v>
      </c>
      <c r="I25" s="2">
        <f t="shared" si="3"/>
        <v>0</v>
      </c>
      <c r="J25" s="21">
        <f t="shared" si="4"/>
        <v>23.162886597938144</v>
      </c>
      <c r="K25" s="22">
        <f t="shared" si="5"/>
        <v>0</v>
      </c>
      <c r="L25" s="21">
        <f t="shared" si="6"/>
        <v>19.274226804123714</v>
      </c>
      <c r="M25" s="21">
        <f t="shared" si="7"/>
        <v>0</v>
      </c>
      <c r="N25" s="21">
        <f t="shared" si="8"/>
        <v>17.245360824742271</v>
      </c>
      <c r="O25" s="21">
        <f t="shared" si="9"/>
        <v>0</v>
      </c>
      <c r="P25" s="43">
        <f t="shared" si="10"/>
        <v>15.639175257731958</v>
      </c>
      <c r="Q25" s="43">
        <f t="shared" si="11"/>
        <v>0</v>
      </c>
      <c r="R25" s="740"/>
    </row>
    <row r="26" spans="1:18" s="151" customFormat="1" ht="13.5" thickBot="1">
      <c r="A26" s="1227"/>
      <c r="B26" s="221"/>
      <c r="C26" s="282" t="s">
        <v>519</v>
      </c>
      <c r="D26" s="282" t="s">
        <v>978</v>
      </c>
      <c r="E26" s="283">
        <v>613.40206185567013</v>
      </c>
      <c r="F26" s="44">
        <f t="shared" si="0"/>
        <v>490.7216494845361</v>
      </c>
      <c r="G26" s="3">
        <f t="shared" si="1"/>
        <v>0</v>
      </c>
      <c r="H26" s="21">
        <f t="shared" si="2"/>
        <v>15.393938144329898</v>
      </c>
      <c r="I26" s="2">
        <f t="shared" si="3"/>
        <v>0</v>
      </c>
      <c r="J26" s="21">
        <f t="shared" si="4"/>
        <v>13.44577319587629</v>
      </c>
      <c r="K26" s="22">
        <f t="shared" si="5"/>
        <v>0</v>
      </c>
      <c r="L26" s="21">
        <f t="shared" si="6"/>
        <v>11.188453608247423</v>
      </c>
      <c r="M26" s="21">
        <f t="shared" si="7"/>
        <v>0</v>
      </c>
      <c r="N26" s="21">
        <f t="shared" si="8"/>
        <v>10.010721649484537</v>
      </c>
      <c r="O26" s="21">
        <f t="shared" si="9"/>
        <v>0</v>
      </c>
      <c r="P26" s="43">
        <f t="shared" si="10"/>
        <v>9.0783505154639172</v>
      </c>
      <c r="Q26" s="43">
        <f t="shared" si="11"/>
        <v>0</v>
      </c>
      <c r="R26" s="740"/>
    </row>
    <row r="27" spans="1:18" s="151" customFormat="1" ht="15">
      <c r="A27" s="156"/>
      <c r="B27" s="106"/>
      <c r="C27" s="106"/>
      <c r="D27" s="997" t="s">
        <v>183</v>
      </c>
      <c r="E27" s="998"/>
      <c r="F27" s="1274"/>
      <c r="G27" s="9">
        <f>SUM(G21:G26)+G19</f>
        <v>0</v>
      </c>
      <c r="H27" s="10" t="s">
        <v>185</v>
      </c>
      <c r="I27" s="9">
        <f>SUM(I21:I26)+I19</f>
        <v>0</v>
      </c>
      <c r="J27" s="10" t="s">
        <v>186</v>
      </c>
      <c r="K27" s="9">
        <f>SUM(K21:K26)+K19</f>
        <v>0</v>
      </c>
      <c r="L27" s="10" t="s">
        <v>187</v>
      </c>
      <c r="M27" s="9">
        <f>SUM(M21:M26)+M19</f>
        <v>0</v>
      </c>
      <c r="N27" s="10" t="s">
        <v>94</v>
      </c>
      <c r="O27" s="9">
        <f>SUM(O21:O26)+O19</f>
        <v>0</v>
      </c>
      <c r="P27" s="10" t="s">
        <v>826</v>
      </c>
      <c r="Q27" s="9">
        <f>SUM(Q21:Q26)+Q19</f>
        <v>0</v>
      </c>
    </row>
    <row r="28" spans="1:18" s="151" customFormat="1">
      <c r="A28" s="162"/>
      <c r="B28" s="104"/>
      <c r="C28" s="104"/>
      <c r="D28" s="162"/>
      <c r="E28" s="162"/>
      <c r="F28" s="24"/>
      <c r="G28" s="24"/>
      <c r="H28" s="26"/>
      <c r="I28" s="26"/>
      <c r="J28" s="26"/>
      <c r="K28" s="26"/>
      <c r="L28" s="26"/>
      <c r="M28" s="26"/>
      <c r="N28" s="26"/>
      <c r="O28" s="26"/>
      <c r="P28" s="26"/>
      <c r="Q28" s="26"/>
    </row>
    <row r="29" spans="1:18" s="151" customFormat="1" ht="15.75">
      <c r="A29" s="104"/>
      <c r="B29" s="271"/>
      <c r="C29" s="271"/>
      <c r="D29" s="272"/>
      <c r="E29" s="272"/>
      <c r="F29" s="25"/>
      <c r="G29" s="7"/>
      <c r="H29" s="8"/>
      <c r="I29" s="8"/>
      <c r="J29" s="8"/>
      <c r="K29" s="8"/>
      <c r="L29" s="8"/>
      <c r="M29" s="8"/>
      <c r="N29" s="8"/>
      <c r="O29" s="8"/>
      <c r="P29" s="8"/>
      <c r="Q29" s="8"/>
    </row>
    <row r="30" spans="1:18" s="156" customFormat="1">
      <c r="A30" s="104"/>
      <c r="B30" s="104"/>
      <c r="C30" s="104"/>
      <c r="D30" s="104"/>
      <c r="E30" s="104"/>
      <c r="F30" s="25"/>
      <c r="G30" s="7"/>
      <c r="H30" s="8"/>
      <c r="I30" s="8"/>
      <c r="J30" s="8"/>
      <c r="K30" s="8"/>
      <c r="L30" s="8"/>
      <c r="M30" s="8"/>
      <c r="N30" s="8"/>
      <c r="O30" s="8"/>
      <c r="P30" s="8"/>
      <c r="Q30" s="8"/>
    </row>
    <row r="31" spans="1:18" s="156" customFormat="1">
      <c r="A31" s="104"/>
      <c r="B31" s="104"/>
      <c r="C31" s="104"/>
      <c r="D31" s="104"/>
      <c r="E31" s="104"/>
      <c r="F31" s="7"/>
      <c r="G31" s="7"/>
      <c r="H31" s="8"/>
      <c r="I31" s="8"/>
      <c r="J31" s="8"/>
      <c r="K31" s="8"/>
      <c r="L31" s="8"/>
      <c r="M31" s="8"/>
      <c r="N31" s="8"/>
      <c r="O31" s="8"/>
      <c r="P31" s="8"/>
      <c r="Q31" s="8"/>
    </row>
    <row r="32" spans="1:18" s="274" customFormat="1" hidden="1">
      <c r="A32" s="104"/>
      <c r="B32" s="104"/>
      <c r="C32" s="104"/>
      <c r="D32" s="104"/>
      <c r="E32" s="104"/>
      <c r="F32" s="7"/>
      <c r="G32" s="7"/>
      <c r="H32" s="8"/>
      <c r="I32" s="8"/>
      <c r="J32" s="8"/>
      <c r="K32" s="8"/>
      <c r="L32" s="8"/>
      <c r="M32" s="8"/>
      <c r="N32" s="8"/>
      <c r="O32" s="8"/>
      <c r="P32" s="8"/>
      <c r="Q32" s="8"/>
    </row>
    <row r="33" spans="1:17" s="156" customFormat="1">
      <c r="A33" s="104"/>
      <c r="B33" s="104"/>
      <c r="C33" s="104"/>
      <c r="D33" s="104"/>
      <c r="E33" s="104"/>
      <c r="F33" s="165"/>
      <c r="G33" s="7"/>
      <c r="H33" s="104"/>
      <c r="I33" s="8"/>
      <c r="J33" s="104"/>
      <c r="K33" s="8"/>
      <c r="L33" s="104"/>
      <c r="M33" s="8"/>
      <c r="N33" s="104"/>
      <c r="O33" s="8"/>
      <c r="P33" s="104"/>
      <c r="Q33" s="8"/>
    </row>
    <row r="34" spans="1:17" s="162" customFormat="1">
      <c r="A34" s="104"/>
      <c r="B34" s="104"/>
      <c r="C34" s="104"/>
      <c r="D34" s="104"/>
      <c r="E34" s="104"/>
      <c r="F34" s="165"/>
      <c r="G34" s="165"/>
      <c r="H34" s="104"/>
      <c r="I34" s="104"/>
      <c r="J34" s="104"/>
      <c r="K34" s="104"/>
      <c r="L34" s="104"/>
      <c r="M34" s="104"/>
      <c r="N34" s="104"/>
      <c r="O34" s="104"/>
      <c r="P34" s="104"/>
      <c r="Q34" s="104"/>
    </row>
    <row r="39" spans="1:17">
      <c r="L39" s="665">
        <f>F39*0.0256</f>
        <v>0</v>
      </c>
    </row>
    <row r="47" spans="1:17">
      <c r="B47" s="106"/>
      <c r="C47" s="106"/>
    </row>
  </sheetData>
  <mergeCells count="12">
    <mergeCell ref="A4:O4"/>
    <mergeCell ref="A5:O5"/>
    <mergeCell ref="A12:Q12"/>
    <mergeCell ref="A13:Q13"/>
    <mergeCell ref="A20:Q20"/>
    <mergeCell ref="A21:A26"/>
    <mergeCell ref="D27:F27"/>
    <mergeCell ref="A14:H14"/>
    <mergeCell ref="I14:Q14"/>
    <mergeCell ref="A15:Q15"/>
    <mergeCell ref="F17:G17"/>
    <mergeCell ref="H17:Q17"/>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6">
    <tabColor rgb="FFFF0000"/>
  </sheetPr>
  <dimension ref="A1:R53"/>
  <sheetViews>
    <sheetView zoomScale="90" zoomScaleNormal="90" workbookViewId="0">
      <selection activeCell="X9" sqref="X9"/>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8" width="10.7109375" style="104" bestFit="1" customWidth="1"/>
    <col min="19"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4013</v>
      </c>
      <c r="B4" s="979"/>
      <c r="C4" s="979"/>
      <c r="D4" s="979"/>
      <c r="E4" s="979"/>
      <c r="F4" s="979"/>
      <c r="G4" s="979"/>
      <c r="H4" s="979"/>
      <c r="I4" s="979"/>
      <c r="J4" s="979"/>
      <c r="K4" s="979"/>
      <c r="L4" s="979"/>
      <c r="M4" s="979"/>
      <c r="N4" s="979"/>
      <c r="O4" s="979"/>
    </row>
    <row r="5" spans="1:18" s="114" customFormat="1" ht="41.25" customHeight="1">
      <c r="A5" s="1276" t="s">
        <v>4036</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D8" s="136"/>
      <c r="E8" s="136"/>
      <c r="H8" s="123"/>
    </row>
    <row r="9" spans="1:18" s="113" customFormat="1" ht="12" customHeight="1">
      <c r="F9" s="249"/>
      <c r="G9" s="249"/>
      <c r="H9" s="123"/>
      <c r="I9" s="124"/>
      <c r="J9" s="124"/>
      <c r="L9" s="124"/>
    </row>
    <row r="10" spans="1:18" s="113" customFormat="1" ht="18.75" thickBot="1">
      <c r="A10" s="1279" t="s">
        <v>23</v>
      </c>
      <c r="B10" s="1245"/>
      <c r="C10" s="1245"/>
      <c r="D10" s="1245"/>
      <c r="E10" s="1245"/>
      <c r="F10" s="1245"/>
      <c r="G10" s="1245"/>
      <c r="H10" s="1245"/>
      <c r="I10" s="1245"/>
      <c r="J10" s="1245"/>
      <c r="K10" s="1245"/>
      <c r="L10" s="1245"/>
      <c r="M10" s="1245"/>
      <c r="N10" s="1245"/>
      <c r="O10" s="1245"/>
      <c r="P10" s="1245"/>
      <c r="Q10" s="1245"/>
    </row>
    <row r="11" spans="1:18" s="113" customFormat="1" ht="18" customHeight="1">
      <c r="A11" s="1280" t="s">
        <v>231</v>
      </c>
      <c r="B11" s="1281"/>
      <c r="C11" s="1281"/>
      <c r="D11" s="1281"/>
      <c r="E11" s="1281"/>
      <c r="F11" s="1281"/>
      <c r="G11" s="1281"/>
      <c r="H11" s="1281"/>
      <c r="I11" s="1281"/>
      <c r="J11" s="1281"/>
      <c r="K11" s="1281"/>
      <c r="L11" s="1281"/>
      <c r="M11" s="1281"/>
      <c r="N11" s="1281"/>
      <c r="O11" s="1281"/>
      <c r="P11" s="1281"/>
      <c r="Q11" s="1282"/>
    </row>
    <row r="12" spans="1:18" s="113" customFormat="1" ht="18" customHeight="1">
      <c r="A12" s="1240" t="s">
        <v>91</v>
      </c>
      <c r="B12" s="1241"/>
      <c r="C12" s="1241"/>
      <c r="D12" s="1241"/>
      <c r="E12" s="1241"/>
      <c r="F12" s="1241"/>
      <c r="G12" s="1241"/>
      <c r="H12" s="1241"/>
      <c r="I12" s="1264">
        <v>2348</v>
      </c>
      <c r="J12" s="1264"/>
      <c r="K12" s="1264"/>
      <c r="L12" s="1264"/>
      <c r="M12" s="1264"/>
      <c r="N12" s="1264"/>
      <c r="O12" s="1264"/>
      <c r="P12" s="1264"/>
      <c r="Q12" s="1283"/>
    </row>
    <row r="13" spans="1:18" s="113" customFormat="1" ht="18" customHeight="1" thickBot="1">
      <c r="A13" s="1234" t="s">
        <v>0</v>
      </c>
      <c r="B13" s="1235"/>
      <c r="C13" s="1235"/>
      <c r="D13" s="1235"/>
      <c r="E13" s="1235"/>
      <c r="F13" s="1235"/>
      <c r="G13" s="1235"/>
      <c r="H13" s="1235"/>
      <c r="I13" s="1235"/>
      <c r="J13" s="1235"/>
      <c r="K13" s="1235"/>
      <c r="L13" s="1235"/>
      <c r="M13" s="1235"/>
      <c r="N13" s="1235"/>
      <c r="O13" s="1235"/>
      <c r="P13" s="1235"/>
      <c r="Q13" s="1236"/>
    </row>
    <row r="14" spans="1:18" s="113" customFormat="1" ht="15" thickBot="1">
      <c r="D14" s="136"/>
      <c r="E14" s="136"/>
      <c r="F14" s="135"/>
      <c r="G14" s="135"/>
      <c r="I14" s="150"/>
      <c r="J14" s="150"/>
      <c r="K14" s="150"/>
      <c r="L14" s="150"/>
    </row>
    <row r="15" spans="1:18" s="113" customFormat="1" ht="13.5" thickBot="1">
      <c r="F15" s="1217" t="s">
        <v>167</v>
      </c>
      <c r="G15" s="1008"/>
      <c r="H15" s="1277" t="s">
        <v>168</v>
      </c>
      <c r="I15" s="1278"/>
      <c r="J15" s="1278"/>
      <c r="K15" s="1278"/>
      <c r="L15" s="1278"/>
      <c r="M15" s="1278"/>
      <c r="N15" s="1278"/>
      <c r="O15" s="1278"/>
      <c r="P15" s="1278"/>
      <c r="Q15" s="1278"/>
    </row>
    <row r="16" spans="1:18" s="113" customFormat="1" ht="57.75" customHeight="1" thickBot="1">
      <c r="A16" s="254" t="s">
        <v>122</v>
      </c>
      <c r="B16" s="254" t="s">
        <v>169</v>
      </c>
      <c r="C16" s="255" t="s">
        <v>170</v>
      </c>
      <c r="D16" s="255" t="s">
        <v>171</v>
      </c>
      <c r="E16" s="255" t="s">
        <v>172</v>
      </c>
      <c r="F16" s="255" t="s">
        <v>173</v>
      </c>
      <c r="G16" s="254" t="s">
        <v>174</v>
      </c>
      <c r="H16" s="255" t="s">
        <v>176</v>
      </c>
      <c r="I16" s="254" t="s">
        <v>174</v>
      </c>
      <c r="J16" s="255" t="s">
        <v>177</v>
      </c>
      <c r="K16" s="254" t="s">
        <v>174</v>
      </c>
      <c r="L16" s="255" t="s">
        <v>178</v>
      </c>
      <c r="M16" s="254" t="s">
        <v>174</v>
      </c>
      <c r="N16" s="255" t="s">
        <v>157</v>
      </c>
      <c r="O16" s="254" t="s">
        <v>174</v>
      </c>
      <c r="P16" s="255" t="s">
        <v>824</v>
      </c>
      <c r="Q16" s="254" t="s">
        <v>174</v>
      </c>
    </row>
    <row r="17" spans="1:18" s="113" customFormat="1" ht="46.5" customHeight="1" thickBot="1">
      <c r="A17" s="1287">
        <v>41</v>
      </c>
      <c r="B17" s="1288"/>
      <c r="C17" s="258" t="s">
        <v>4014</v>
      </c>
      <c r="D17" s="281" t="s">
        <v>4013</v>
      </c>
      <c r="E17" s="260">
        <v>39482</v>
      </c>
      <c r="F17" s="19">
        <f>SUM(E17:E18)*(1-20%)</f>
        <v>31792.800000000003</v>
      </c>
      <c r="G17" s="1162">
        <f>F17*B17</f>
        <v>0</v>
      </c>
      <c r="H17" s="19">
        <f>F17*0.03137+I12/12</f>
        <v>1193.0068026666668</v>
      </c>
      <c r="I17" s="1162">
        <f>H17*B17</f>
        <v>0</v>
      </c>
      <c r="J17" s="19">
        <f>F17*0.0274+I12/12</f>
        <v>1066.7893866666668</v>
      </c>
      <c r="K17" s="1162">
        <f>J17*B17</f>
        <v>0</v>
      </c>
      <c r="L17" s="20">
        <f>F17*0.0228+I12/12</f>
        <v>920.54250666666667</v>
      </c>
      <c r="M17" s="1162">
        <f>L17*B17</f>
        <v>0</v>
      </c>
      <c r="N17" s="20">
        <f>F17*0.0204+I12/12</f>
        <v>844.23978666666676</v>
      </c>
      <c r="O17" s="1162">
        <f>N17*B17</f>
        <v>0</v>
      </c>
      <c r="P17" s="20">
        <f>F17*0.0185+I12/12</f>
        <v>783.83346666666671</v>
      </c>
      <c r="Q17" s="1162">
        <f>P17*B17</f>
        <v>0</v>
      </c>
    </row>
    <row r="18" spans="1:18" s="113" customFormat="1" ht="13.5" thickBot="1">
      <c r="A18" s="1287"/>
      <c r="B18" s="1288"/>
      <c r="C18" s="261" t="s">
        <v>104</v>
      </c>
      <c r="D18" s="262" t="s">
        <v>180</v>
      </c>
      <c r="E18" s="263">
        <v>259</v>
      </c>
      <c r="F18" s="264" t="s">
        <v>162</v>
      </c>
      <c r="G18" s="1284"/>
      <c r="H18" s="265" t="s">
        <v>162</v>
      </c>
      <c r="I18" s="1284"/>
      <c r="J18" s="265" t="s">
        <v>162</v>
      </c>
      <c r="K18" s="1284"/>
      <c r="L18" s="265" t="s">
        <v>162</v>
      </c>
      <c r="M18" s="1284"/>
      <c r="N18" s="265" t="s">
        <v>162</v>
      </c>
      <c r="O18" s="1284"/>
      <c r="P18" s="265" t="s">
        <v>162</v>
      </c>
      <c r="Q18" s="1167"/>
    </row>
    <row r="19" spans="1:18" s="266" customFormat="1" ht="15.75" customHeight="1" thickBot="1">
      <c r="A19" s="1285" t="s">
        <v>182</v>
      </c>
      <c r="B19" s="1286"/>
      <c r="C19" s="1272"/>
      <c r="D19" s="1272"/>
      <c r="E19" s="1272"/>
      <c r="F19" s="1272"/>
      <c r="G19" s="1272"/>
      <c r="H19" s="1272"/>
      <c r="I19" s="1272"/>
      <c r="J19" s="1272"/>
      <c r="K19" s="1272"/>
      <c r="L19" s="1272"/>
      <c r="M19" s="1272"/>
      <c r="N19" s="1272"/>
      <c r="O19" s="1272"/>
      <c r="P19" s="1272"/>
      <c r="Q19" s="1273"/>
    </row>
    <row r="20" spans="1:18" s="266" customFormat="1" ht="13.5" thickBot="1">
      <c r="A20" s="1005"/>
      <c r="B20" s="568"/>
      <c r="C20" s="592" t="s">
        <v>4015</v>
      </c>
      <c r="D20" s="569" t="s">
        <v>1022</v>
      </c>
      <c r="E20" s="570">
        <v>4123.7113402061859</v>
      </c>
      <c r="F20" s="43">
        <f>E20*(1-20%)</f>
        <v>3298.969072164949</v>
      </c>
      <c r="G20" s="74">
        <f t="shared" ref="G20:G32" si="0">F20*B20</f>
        <v>0</v>
      </c>
      <c r="H20" s="43">
        <f t="shared" ref="H20:H32" si="1">F20*0.03137</f>
        <v>103.48865979381446</v>
      </c>
      <c r="I20" s="74">
        <f t="shared" ref="I20:I32" si="2">H20*B20</f>
        <v>0</v>
      </c>
      <c r="J20" s="43">
        <f t="shared" ref="J20:J32" si="3">F20*0.0274</f>
        <v>90.391752577319608</v>
      </c>
      <c r="K20" s="74">
        <f t="shared" ref="K20:K32" si="4">J20*B20</f>
        <v>0</v>
      </c>
      <c r="L20" s="43">
        <f t="shared" ref="L20:L32" si="5">F20*0.0228</f>
        <v>75.216494845360842</v>
      </c>
      <c r="M20" s="43">
        <f t="shared" ref="M20:M32" si="6">L20*B20</f>
        <v>0</v>
      </c>
      <c r="N20" s="43">
        <f t="shared" ref="N20:N32" si="7">F20*0.0204</f>
        <v>67.298969072164965</v>
      </c>
      <c r="O20" s="43">
        <f t="shared" ref="O20:O32" si="8">N20*B20</f>
        <v>0</v>
      </c>
      <c r="P20" s="43">
        <f>F20*0.0185</f>
        <v>61.030927835051557</v>
      </c>
      <c r="Q20" s="43">
        <f>P20*B20</f>
        <v>0</v>
      </c>
      <c r="R20" s="740"/>
    </row>
    <row r="21" spans="1:18" s="156" customFormat="1" ht="13.5" thickBot="1">
      <c r="A21" s="1156"/>
      <c r="B21" s="221"/>
      <c r="C21" s="593" t="s">
        <v>4016</v>
      </c>
      <c r="D21" s="282" t="s">
        <v>4019</v>
      </c>
      <c r="E21" s="283">
        <v>10819.58762886598</v>
      </c>
      <c r="F21" s="44">
        <f t="shared" ref="F21:F32" si="9">E21*(1-20%)</f>
        <v>8655.6701030927852</v>
      </c>
      <c r="G21" s="3">
        <f>F21*B21</f>
        <v>0</v>
      </c>
      <c r="H21" s="21">
        <f t="shared" si="1"/>
        <v>271.52837113402069</v>
      </c>
      <c r="I21" s="2">
        <f>H21*B21</f>
        <v>0</v>
      </c>
      <c r="J21" s="21">
        <f t="shared" si="3"/>
        <v>237.16536082474232</v>
      </c>
      <c r="K21" s="22">
        <f>J21*B21</f>
        <v>0</v>
      </c>
      <c r="L21" s="21">
        <f t="shared" si="5"/>
        <v>197.3492783505155</v>
      </c>
      <c r="M21" s="21">
        <f>L21*B21</f>
        <v>0</v>
      </c>
      <c r="N21" s="21">
        <f t="shared" si="7"/>
        <v>176.57567010309282</v>
      </c>
      <c r="O21" s="21">
        <f>N21*B21</f>
        <v>0</v>
      </c>
      <c r="P21" s="43">
        <f t="shared" ref="P21:P32" si="10">F21*0.0185</f>
        <v>160.12989690721651</v>
      </c>
      <c r="Q21" s="43">
        <f t="shared" ref="Q21:Q32" si="11">P21*B21</f>
        <v>0</v>
      </c>
      <c r="R21" s="740"/>
    </row>
    <row r="22" spans="1:18" s="151" customFormat="1" ht="13.5" thickBot="1">
      <c r="A22" s="1156"/>
      <c r="B22" s="221"/>
      <c r="C22" s="593" t="s">
        <v>4017</v>
      </c>
      <c r="D22" s="282" t="s">
        <v>4020</v>
      </c>
      <c r="E22" s="283">
        <v>17520.618556701033</v>
      </c>
      <c r="F22" s="44">
        <f t="shared" si="9"/>
        <v>14016.494845360827</v>
      </c>
      <c r="G22" s="3">
        <f t="shared" si="0"/>
        <v>0</v>
      </c>
      <c r="H22" s="21">
        <f t="shared" si="1"/>
        <v>439.69744329896918</v>
      </c>
      <c r="I22" s="2">
        <f t="shared" si="2"/>
        <v>0</v>
      </c>
      <c r="J22" s="21">
        <f t="shared" si="3"/>
        <v>384.05195876288667</v>
      </c>
      <c r="K22" s="22">
        <f t="shared" si="4"/>
        <v>0</v>
      </c>
      <c r="L22" s="21">
        <f t="shared" si="5"/>
        <v>319.57608247422684</v>
      </c>
      <c r="M22" s="21">
        <f t="shared" si="6"/>
        <v>0</v>
      </c>
      <c r="N22" s="21">
        <f t="shared" si="7"/>
        <v>285.93649484536087</v>
      </c>
      <c r="O22" s="21">
        <f t="shared" si="8"/>
        <v>0</v>
      </c>
      <c r="P22" s="43">
        <f t="shared" si="10"/>
        <v>259.30515463917527</v>
      </c>
      <c r="Q22" s="43">
        <f t="shared" si="11"/>
        <v>0</v>
      </c>
      <c r="R22" s="740"/>
    </row>
    <row r="23" spans="1:18" s="151" customFormat="1" ht="13.5" thickBot="1">
      <c r="A23" s="1156"/>
      <c r="B23" s="221"/>
      <c r="C23" s="593" t="s">
        <v>4018</v>
      </c>
      <c r="D23" s="282" t="s">
        <v>4021</v>
      </c>
      <c r="E23" s="283">
        <v>18551.546391752578</v>
      </c>
      <c r="F23" s="44">
        <f>E23*(1-20%)</f>
        <v>14841.237113402063</v>
      </c>
      <c r="G23" s="3">
        <f>F23*B23</f>
        <v>0</v>
      </c>
      <c r="H23" s="21">
        <f>F23*0.03137</f>
        <v>465.56960824742276</v>
      </c>
      <c r="I23" s="2">
        <f>H23*B23</f>
        <v>0</v>
      </c>
      <c r="J23" s="21">
        <f>F23*0.0274</f>
        <v>406.64989690721654</v>
      </c>
      <c r="K23" s="22">
        <f>J23*B23</f>
        <v>0</v>
      </c>
      <c r="L23" s="21">
        <f>F23*0.0228</f>
        <v>338.38020618556703</v>
      </c>
      <c r="M23" s="21">
        <f>L23*B23</f>
        <v>0</v>
      </c>
      <c r="N23" s="21">
        <f>F23*0.0204</f>
        <v>302.7612371134021</v>
      </c>
      <c r="O23" s="21">
        <f>N23*B23</f>
        <v>0</v>
      </c>
      <c r="P23" s="43">
        <f>F23*0.0185</f>
        <v>274.56288659793813</v>
      </c>
      <c r="Q23" s="43">
        <f>P23*B23</f>
        <v>0</v>
      </c>
      <c r="R23" s="740"/>
    </row>
    <row r="24" spans="1:18" s="151" customFormat="1" ht="13.5" thickBot="1">
      <c r="A24" s="1156"/>
      <c r="B24" s="221"/>
      <c r="C24" s="593" t="s">
        <v>642</v>
      </c>
      <c r="D24" s="282" t="s">
        <v>1025</v>
      </c>
      <c r="E24" s="283">
        <v>1546.3917525773197</v>
      </c>
      <c r="F24" s="44">
        <f t="shared" si="9"/>
        <v>1237.1134020618558</v>
      </c>
      <c r="G24" s="3">
        <f t="shared" si="0"/>
        <v>0</v>
      </c>
      <c r="H24" s="21">
        <f t="shared" si="1"/>
        <v>38.808247422680417</v>
      </c>
      <c r="I24" s="2">
        <f t="shared" si="2"/>
        <v>0</v>
      </c>
      <c r="J24" s="21">
        <f t="shared" si="3"/>
        <v>33.896907216494853</v>
      </c>
      <c r="K24" s="22">
        <f t="shared" si="4"/>
        <v>0</v>
      </c>
      <c r="L24" s="21">
        <f t="shared" si="5"/>
        <v>28.206185567010312</v>
      </c>
      <c r="M24" s="21">
        <f t="shared" si="6"/>
        <v>0</v>
      </c>
      <c r="N24" s="21">
        <f t="shared" si="7"/>
        <v>25.237113402061862</v>
      </c>
      <c r="O24" s="21">
        <f t="shared" si="8"/>
        <v>0</v>
      </c>
      <c r="P24" s="43">
        <f t="shared" si="10"/>
        <v>22.88659793814433</v>
      </c>
      <c r="Q24" s="43">
        <f t="shared" si="11"/>
        <v>0</v>
      </c>
      <c r="R24" s="740"/>
    </row>
    <row r="25" spans="1:18" s="151" customFormat="1" ht="13.5" thickBot="1">
      <c r="A25" s="1156"/>
      <c r="B25" s="221"/>
      <c r="C25" s="593" t="s">
        <v>4022</v>
      </c>
      <c r="D25" s="282" t="s">
        <v>4026</v>
      </c>
      <c r="E25" s="283">
        <v>1443.2989690721649</v>
      </c>
      <c r="F25" s="44">
        <f>E25*(1-20%)</f>
        <v>1154.6391752577319</v>
      </c>
      <c r="G25" s="3">
        <f>F25*B25</f>
        <v>0</v>
      </c>
      <c r="H25" s="21">
        <f t="shared" si="1"/>
        <v>36.221030927835052</v>
      </c>
      <c r="I25" s="2">
        <f>H25*B25</f>
        <v>0</v>
      </c>
      <c r="J25" s="21">
        <f t="shared" si="3"/>
        <v>31.637113402061857</v>
      </c>
      <c r="K25" s="22">
        <f>J25*B25</f>
        <v>0</v>
      </c>
      <c r="L25" s="21">
        <f t="shared" si="5"/>
        <v>26.325773195876291</v>
      </c>
      <c r="M25" s="21">
        <f>L25*B25</f>
        <v>0</v>
      </c>
      <c r="N25" s="21">
        <f t="shared" si="7"/>
        <v>23.554639175257734</v>
      </c>
      <c r="O25" s="21">
        <f>N25*B25</f>
        <v>0</v>
      </c>
      <c r="P25" s="43">
        <f>F25*0.0185</f>
        <v>21.36082474226804</v>
      </c>
      <c r="Q25" s="43">
        <f>P25*B25</f>
        <v>0</v>
      </c>
      <c r="R25" s="740"/>
    </row>
    <row r="26" spans="1:18" s="151" customFormat="1" ht="13.5" thickBot="1">
      <c r="A26" s="1156"/>
      <c r="B26" s="221"/>
      <c r="C26" s="593" t="s">
        <v>4023</v>
      </c>
      <c r="D26" s="282" t="s">
        <v>4027</v>
      </c>
      <c r="E26" s="283">
        <v>1443.2989690721649</v>
      </c>
      <c r="F26" s="44">
        <f>E26*(1-20%)</f>
        <v>1154.6391752577319</v>
      </c>
      <c r="G26" s="3">
        <f>F26*B26</f>
        <v>0</v>
      </c>
      <c r="H26" s="21">
        <f t="shared" si="1"/>
        <v>36.221030927835052</v>
      </c>
      <c r="I26" s="2">
        <f>H26*B26</f>
        <v>0</v>
      </c>
      <c r="J26" s="21">
        <f t="shared" si="3"/>
        <v>31.637113402061857</v>
      </c>
      <c r="K26" s="22">
        <f>J26*B26</f>
        <v>0</v>
      </c>
      <c r="L26" s="21">
        <f t="shared" si="5"/>
        <v>26.325773195876291</v>
      </c>
      <c r="M26" s="21">
        <f>L26*B26</f>
        <v>0</v>
      </c>
      <c r="N26" s="21">
        <f t="shared" si="7"/>
        <v>23.554639175257734</v>
      </c>
      <c r="O26" s="21">
        <f>N26*B26</f>
        <v>0</v>
      </c>
      <c r="P26" s="43">
        <f>F26*0.0185</f>
        <v>21.36082474226804</v>
      </c>
      <c r="Q26" s="43">
        <f>P26*B26</f>
        <v>0</v>
      </c>
      <c r="R26" s="740"/>
    </row>
    <row r="27" spans="1:18" s="151" customFormat="1" ht="12.6" customHeight="1" thickBot="1">
      <c r="A27" s="1156"/>
      <c r="B27" s="221"/>
      <c r="C27" s="593" t="s">
        <v>4024</v>
      </c>
      <c r="D27" s="282" t="s">
        <v>4028</v>
      </c>
      <c r="E27" s="283">
        <v>1237.1134020618556</v>
      </c>
      <c r="F27" s="44">
        <f t="shared" si="9"/>
        <v>989.69072164948454</v>
      </c>
      <c r="G27" s="3">
        <f t="shared" si="0"/>
        <v>0</v>
      </c>
      <c r="H27" s="21">
        <f t="shared" si="1"/>
        <v>31.04659793814433</v>
      </c>
      <c r="I27" s="2">
        <f t="shared" si="2"/>
        <v>0</v>
      </c>
      <c r="J27" s="21">
        <f t="shared" si="3"/>
        <v>27.117525773195876</v>
      </c>
      <c r="K27" s="22">
        <f t="shared" si="4"/>
        <v>0</v>
      </c>
      <c r="L27" s="21">
        <f t="shared" si="5"/>
        <v>22.564948453608249</v>
      </c>
      <c r="M27" s="21">
        <f t="shared" si="6"/>
        <v>0</v>
      </c>
      <c r="N27" s="21">
        <f t="shared" si="7"/>
        <v>20.189690721649487</v>
      </c>
      <c r="O27" s="21">
        <f t="shared" si="8"/>
        <v>0</v>
      </c>
      <c r="P27" s="43">
        <f t="shared" si="10"/>
        <v>18.309278350515463</v>
      </c>
      <c r="Q27" s="43">
        <f t="shared" si="11"/>
        <v>0</v>
      </c>
      <c r="R27" s="740"/>
    </row>
    <row r="28" spans="1:18" s="156" customFormat="1" ht="13.5" thickBot="1">
      <c r="A28" s="1156"/>
      <c r="B28" s="221"/>
      <c r="C28" s="593" t="s">
        <v>4025</v>
      </c>
      <c r="D28" s="282" t="s">
        <v>4029</v>
      </c>
      <c r="E28" s="283">
        <v>1237.1134020618556</v>
      </c>
      <c r="F28" s="44">
        <f t="shared" si="9"/>
        <v>989.69072164948454</v>
      </c>
      <c r="G28" s="3">
        <f>F28*B28</f>
        <v>0</v>
      </c>
      <c r="H28" s="21">
        <f t="shared" si="1"/>
        <v>31.04659793814433</v>
      </c>
      <c r="I28" s="2">
        <f>H28*B28</f>
        <v>0</v>
      </c>
      <c r="J28" s="21">
        <f t="shared" si="3"/>
        <v>27.117525773195876</v>
      </c>
      <c r="K28" s="22">
        <f>J28*B28</f>
        <v>0</v>
      </c>
      <c r="L28" s="21">
        <f t="shared" si="5"/>
        <v>22.564948453608249</v>
      </c>
      <c r="M28" s="21">
        <f>L28*B28</f>
        <v>0</v>
      </c>
      <c r="N28" s="21">
        <f t="shared" si="7"/>
        <v>20.189690721649487</v>
      </c>
      <c r="O28" s="21">
        <f>N28*B28</f>
        <v>0</v>
      </c>
      <c r="P28" s="43">
        <f t="shared" si="10"/>
        <v>18.309278350515463</v>
      </c>
      <c r="Q28" s="43">
        <f t="shared" si="11"/>
        <v>0</v>
      </c>
      <c r="R28" s="740"/>
    </row>
    <row r="29" spans="1:18" s="151" customFormat="1" ht="13.5" thickBot="1">
      <c r="A29" s="1156"/>
      <c r="B29" s="221"/>
      <c r="C29" s="593" t="s">
        <v>648</v>
      </c>
      <c r="D29" s="282" t="s">
        <v>4030</v>
      </c>
      <c r="E29" s="283">
        <v>1025.7731958762886</v>
      </c>
      <c r="F29" s="44">
        <f t="shared" si="9"/>
        <v>820.61855670103091</v>
      </c>
      <c r="G29" s="3">
        <f>F29*B29</f>
        <v>0</v>
      </c>
      <c r="H29" s="21">
        <f t="shared" si="1"/>
        <v>25.742804123711341</v>
      </c>
      <c r="I29" s="2">
        <f>H29*B29</f>
        <v>0</v>
      </c>
      <c r="J29" s="21">
        <f t="shared" si="3"/>
        <v>22.484948453608247</v>
      </c>
      <c r="K29" s="22">
        <f>J29*B29</f>
        <v>0</v>
      </c>
      <c r="L29" s="21">
        <f t="shared" si="5"/>
        <v>18.710103092783505</v>
      </c>
      <c r="M29" s="21">
        <f>L29*B29</f>
        <v>0</v>
      </c>
      <c r="N29" s="21">
        <f t="shared" si="7"/>
        <v>16.740618556701033</v>
      </c>
      <c r="O29" s="21">
        <f>N29*B29</f>
        <v>0</v>
      </c>
      <c r="P29" s="43">
        <f t="shared" si="10"/>
        <v>15.181443298969072</v>
      </c>
      <c r="Q29" s="43">
        <f t="shared" si="11"/>
        <v>0</v>
      </c>
      <c r="R29" s="740"/>
    </row>
    <row r="30" spans="1:18" s="151" customFormat="1" ht="13.5" thickBot="1">
      <c r="A30" s="1156"/>
      <c r="B30" s="221"/>
      <c r="C30" s="593" t="s">
        <v>649</v>
      </c>
      <c r="D30" s="282" t="s">
        <v>4031</v>
      </c>
      <c r="E30" s="283">
        <v>1025.7731958762886</v>
      </c>
      <c r="F30" s="44">
        <f t="shared" si="9"/>
        <v>820.61855670103091</v>
      </c>
      <c r="G30" s="3">
        <f>F30*B30</f>
        <v>0</v>
      </c>
      <c r="H30" s="21">
        <f t="shared" si="1"/>
        <v>25.742804123711341</v>
      </c>
      <c r="I30" s="2">
        <f>H30*B30</f>
        <v>0</v>
      </c>
      <c r="J30" s="21">
        <f t="shared" si="3"/>
        <v>22.484948453608247</v>
      </c>
      <c r="K30" s="22">
        <f>J30*B30</f>
        <v>0</v>
      </c>
      <c r="L30" s="21">
        <f t="shared" si="5"/>
        <v>18.710103092783505</v>
      </c>
      <c r="M30" s="21">
        <f>L30*B30</f>
        <v>0</v>
      </c>
      <c r="N30" s="21">
        <f t="shared" si="7"/>
        <v>16.740618556701033</v>
      </c>
      <c r="O30" s="21">
        <f>N30*B30</f>
        <v>0</v>
      </c>
      <c r="P30" s="43">
        <f t="shared" si="10"/>
        <v>15.181443298969072</v>
      </c>
      <c r="Q30" s="43">
        <f t="shared" si="11"/>
        <v>0</v>
      </c>
      <c r="R30" s="740"/>
    </row>
    <row r="31" spans="1:18" s="151" customFormat="1" ht="13.5" thickBot="1">
      <c r="A31" s="1156"/>
      <c r="B31" s="221"/>
      <c r="C31" s="593" t="s">
        <v>4032</v>
      </c>
      <c r="D31" s="282" t="s">
        <v>4034</v>
      </c>
      <c r="E31" s="283">
        <v>1025.7731958762886</v>
      </c>
      <c r="F31" s="44">
        <f t="shared" si="9"/>
        <v>820.61855670103091</v>
      </c>
      <c r="G31" s="3">
        <f t="shared" si="0"/>
        <v>0</v>
      </c>
      <c r="H31" s="21">
        <f t="shared" si="1"/>
        <v>25.742804123711341</v>
      </c>
      <c r="I31" s="2">
        <f t="shared" si="2"/>
        <v>0</v>
      </c>
      <c r="J31" s="21">
        <f t="shared" si="3"/>
        <v>22.484948453608247</v>
      </c>
      <c r="K31" s="22">
        <f t="shared" si="4"/>
        <v>0</v>
      </c>
      <c r="L31" s="21">
        <f t="shared" si="5"/>
        <v>18.710103092783505</v>
      </c>
      <c r="M31" s="21">
        <f t="shared" si="6"/>
        <v>0</v>
      </c>
      <c r="N31" s="21">
        <f t="shared" si="7"/>
        <v>16.740618556701033</v>
      </c>
      <c r="O31" s="21">
        <f t="shared" si="8"/>
        <v>0</v>
      </c>
      <c r="P31" s="43">
        <f t="shared" si="10"/>
        <v>15.181443298969072</v>
      </c>
      <c r="Q31" s="43">
        <f t="shared" si="11"/>
        <v>0</v>
      </c>
      <c r="R31" s="740"/>
    </row>
    <row r="32" spans="1:18" s="151" customFormat="1" ht="13.5" thickBot="1">
      <c r="A32" s="1227"/>
      <c r="B32" s="221"/>
      <c r="C32" s="593" t="s">
        <v>4033</v>
      </c>
      <c r="D32" s="282" t="s">
        <v>4035</v>
      </c>
      <c r="E32" s="283">
        <v>1025.7731958762886</v>
      </c>
      <c r="F32" s="44">
        <f t="shared" si="9"/>
        <v>820.61855670103091</v>
      </c>
      <c r="G32" s="3">
        <f t="shared" si="0"/>
        <v>0</v>
      </c>
      <c r="H32" s="21">
        <f t="shared" si="1"/>
        <v>25.742804123711341</v>
      </c>
      <c r="I32" s="2">
        <f t="shared" si="2"/>
        <v>0</v>
      </c>
      <c r="J32" s="21">
        <f t="shared" si="3"/>
        <v>22.484948453608247</v>
      </c>
      <c r="K32" s="22">
        <f t="shared" si="4"/>
        <v>0</v>
      </c>
      <c r="L32" s="21">
        <f t="shared" si="5"/>
        <v>18.710103092783505</v>
      </c>
      <c r="M32" s="21">
        <f t="shared" si="6"/>
        <v>0</v>
      </c>
      <c r="N32" s="21">
        <f t="shared" si="7"/>
        <v>16.740618556701033</v>
      </c>
      <c r="O32" s="21">
        <f t="shared" si="8"/>
        <v>0</v>
      </c>
      <c r="P32" s="43">
        <f t="shared" si="10"/>
        <v>15.181443298969072</v>
      </c>
      <c r="Q32" s="43">
        <f t="shared" si="11"/>
        <v>0</v>
      </c>
      <c r="R32" s="740"/>
    </row>
    <row r="33" spans="1:17" s="151" customFormat="1" ht="15">
      <c r="A33" s="156"/>
      <c r="B33" s="106"/>
      <c r="C33" s="106"/>
      <c r="D33" s="997" t="s">
        <v>183</v>
      </c>
      <c r="E33" s="998"/>
      <c r="F33" s="1274"/>
      <c r="G33" s="9">
        <f>SUM(G20:G32)+G17</f>
        <v>0</v>
      </c>
      <c r="H33" s="10" t="s">
        <v>185</v>
      </c>
      <c r="I33" s="9">
        <f>SUM(I20:I32)+I17</f>
        <v>0</v>
      </c>
      <c r="J33" s="10" t="s">
        <v>186</v>
      </c>
      <c r="K33" s="9">
        <f>SUM(K20:K32)+K17</f>
        <v>0</v>
      </c>
      <c r="L33" s="10" t="s">
        <v>187</v>
      </c>
      <c r="M33" s="9">
        <f>SUM(M20:M32)+M17</f>
        <v>0</v>
      </c>
      <c r="N33" s="10" t="s">
        <v>94</v>
      </c>
      <c r="O33" s="9">
        <f>SUM(O20:O32)+O17</f>
        <v>0</v>
      </c>
      <c r="P33" s="10" t="s">
        <v>826</v>
      </c>
      <c r="Q33" s="9">
        <f>SUM(Q20:Q32)+Q17</f>
        <v>0</v>
      </c>
    </row>
    <row r="34" spans="1:17" s="151" customFormat="1">
      <c r="A34" s="162"/>
      <c r="B34" s="104"/>
      <c r="C34" s="104"/>
      <c r="D34" s="162"/>
      <c r="E34" s="162"/>
      <c r="F34" s="24"/>
      <c r="G34" s="24"/>
      <c r="H34" s="26"/>
      <c r="I34" s="26"/>
      <c r="J34" s="26"/>
      <c r="K34" s="26"/>
      <c r="L34" s="26"/>
      <c r="M34" s="26"/>
      <c r="N34" s="26"/>
      <c r="O34" s="26"/>
      <c r="P34" s="26"/>
      <c r="Q34" s="26"/>
    </row>
    <row r="35" spans="1:17" s="151" customFormat="1" ht="15.75">
      <c r="A35" s="104"/>
      <c r="B35" s="271"/>
      <c r="C35" s="271"/>
      <c r="D35" s="272"/>
      <c r="E35" s="272"/>
      <c r="F35" s="25"/>
      <c r="G35" s="7"/>
      <c r="H35" s="8"/>
      <c r="I35" s="8"/>
      <c r="J35" s="8"/>
      <c r="K35" s="8"/>
      <c r="L35" s="8"/>
      <c r="M35" s="8"/>
      <c r="N35" s="8"/>
      <c r="O35" s="8"/>
      <c r="P35" s="8"/>
      <c r="Q35" s="8"/>
    </row>
    <row r="36" spans="1:17" s="156" customFormat="1">
      <c r="A36" s="104"/>
      <c r="B36" s="104"/>
      <c r="C36" s="104"/>
      <c r="D36" s="104"/>
      <c r="E36" s="104"/>
      <c r="F36" s="25"/>
      <c r="G36" s="7"/>
      <c r="H36" s="8"/>
      <c r="I36" s="8"/>
      <c r="J36" s="8"/>
      <c r="K36" s="8"/>
      <c r="L36" s="8"/>
      <c r="M36" s="8"/>
      <c r="N36" s="8"/>
      <c r="O36" s="8"/>
      <c r="P36" s="8"/>
      <c r="Q36" s="8"/>
    </row>
    <row r="37" spans="1:17" s="156" customFormat="1">
      <c r="A37" s="104"/>
      <c r="B37" s="104"/>
      <c r="C37" s="104"/>
      <c r="D37" s="104"/>
      <c r="E37" s="104"/>
      <c r="F37" s="7"/>
      <c r="G37" s="7"/>
      <c r="H37" s="8"/>
      <c r="I37" s="8"/>
      <c r="J37" s="8"/>
      <c r="K37" s="8"/>
      <c r="L37" s="8"/>
      <c r="M37" s="8"/>
      <c r="N37" s="8"/>
      <c r="O37" s="8"/>
      <c r="P37" s="8"/>
      <c r="Q37" s="8"/>
    </row>
    <row r="38" spans="1:17" s="274" customFormat="1" hidden="1">
      <c r="A38" s="104"/>
      <c r="B38" s="104"/>
      <c r="C38" s="104"/>
      <c r="D38" s="104"/>
      <c r="E38" s="104"/>
      <c r="F38" s="7"/>
      <c r="G38" s="7"/>
      <c r="H38" s="8"/>
      <c r="I38" s="8"/>
      <c r="J38" s="8"/>
      <c r="K38" s="8"/>
      <c r="L38" s="8"/>
      <c r="M38" s="8"/>
      <c r="N38" s="8"/>
      <c r="O38" s="8"/>
      <c r="P38" s="8"/>
      <c r="Q38" s="8"/>
    </row>
    <row r="39" spans="1:17" s="156" customFormat="1">
      <c r="A39" s="104"/>
      <c r="B39" s="104"/>
      <c r="C39" s="104"/>
      <c r="D39" s="104"/>
      <c r="E39" s="104"/>
      <c r="F39" s="165"/>
      <c r="G39" s="7"/>
      <c r="H39" s="104"/>
      <c r="I39" s="8"/>
      <c r="J39" s="104"/>
      <c r="K39" s="8"/>
      <c r="L39" s="665">
        <f>F39*0.0256</f>
        <v>0</v>
      </c>
      <c r="M39" s="8"/>
      <c r="N39" s="104"/>
      <c r="O39" s="8"/>
      <c r="P39" s="104"/>
      <c r="Q39" s="8"/>
    </row>
    <row r="40" spans="1:17" s="162" customFormat="1">
      <c r="A40" s="104"/>
      <c r="B40" s="104"/>
      <c r="C40" s="104"/>
      <c r="D40" s="104"/>
      <c r="E40" s="104"/>
      <c r="F40" s="165"/>
      <c r="G40" s="165"/>
      <c r="H40" s="104"/>
      <c r="I40" s="104"/>
      <c r="J40" s="104"/>
      <c r="K40" s="104"/>
      <c r="L40" s="104"/>
      <c r="M40" s="104"/>
      <c r="N40" s="104"/>
      <c r="O40" s="104"/>
      <c r="P40" s="104"/>
      <c r="Q40" s="104"/>
    </row>
    <row r="53" spans="2:3">
      <c r="B53" s="106"/>
      <c r="C53" s="106"/>
    </row>
  </sheetData>
  <mergeCells count="20">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tabColor indexed="44"/>
  </sheetPr>
  <dimension ref="A1:R46"/>
  <sheetViews>
    <sheetView topLeftCell="A7" zoomScale="65" zoomScaleNormal="65" workbookViewId="0">
      <selection activeCell="L42" sqref="L42:L43"/>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8" width="11.85546875" style="104" bestFit="1" customWidth="1"/>
    <col min="19"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828</v>
      </c>
      <c r="B4" s="979"/>
      <c r="C4" s="979"/>
      <c r="D4" s="979"/>
      <c r="E4" s="979"/>
      <c r="F4" s="979"/>
      <c r="G4" s="979"/>
      <c r="H4" s="979"/>
      <c r="I4" s="979"/>
      <c r="J4" s="979"/>
      <c r="K4" s="979"/>
      <c r="L4" s="979"/>
      <c r="M4" s="979"/>
      <c r="N4" s="979"/>
      <c r="O4" s="979"/>
    </row>
    <row r="5" spans="1:18" s="114" customFormat="1" ht="41.25" customHeight="1">
      <c r="A5" s="1276" t="s">
        <v>251</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F8" s="249"/>
      <c r="G8" s="249"/>
      <c r="H8" s="1275"/>
      <c r="I8" s="1275"/>
      <c r="J8" s="1275"/>
      <c r="K8" s="173"/>
    </row>
    <row r="9" spans="1:18" s="113" customFormat="1">
      <c r="F9" s="249"/>
      <c r="G9" s="249"/>
      <c r="H9" s="123"/>
      <c r="J9" s="124"/>
      <c r="L9" s="124"/>
    </row>
    <row r="10" spans="1:18" s="113" customFormat="1" ht="12" customHeight="1">
      <c r="F10" s="249"/>
      <c r="G10" s="249"/>
      <c r="H10" s="123"/>
      <c r="I10" s="124"/>
      <c r="J10" s="124"/>
      <c r="L10" s="124"/>
    </row>
    <row r="11" spans="1:18" s="113" customFormat="1" ht="18.75" thickBot="1">
      <c r="A11" s="1279" t="s">
        <v>23</v>
      </c>
      <c r="B11" s="1245"/>
      <c r="C11" s="1245"/>
      <c r="D11" s="1245"/>
      <c r="E11" s="1245"/>
      <c r="F11" s="1245"/>
      <c r="G11" s="1245"/>
      <c r="H11" s="1245"/>
      <c r="I11" s="1245"/>
      <c r="J11" s="1245"/>
      <c r="K11" s="1245"/>
      <c r="L11" s="1245"/>
      <c r="M11" s="1245"/>
      <c r="N11" s="1245"/>
      <c r="O11" s="1245"/>
      <c r="P11" s="1245"/>
      <c r="Q11" s="1245"/>
    </row>
    <row r="12" spans="1:18" s="113" customFormat="1" ht="18" customHeight="1">
      <c r="A12" s="1280" t="s">
        <v>232</v>
      </c>
      <c r="B12" s="1281"/>
      <c r="C12" s="1281"/>
      <c r="D12" s="1281"/>
      <c r="E12" s="1281"/>
      <c r="F12" s="1281"/>
      <c r="G12" s="1281"/>
      <c r="H12" s="1281"/>
      <c r="I12" s="1281"/>
      <c r="J12" s="1281"/>
      <c r="K12" s="1281"/>
      <c r="L12" s="1281"/>
      <c r="M12" s="1281"/>
      <c r="N12" s="1281"/>
      <c r="O12" s="1281"/>
      <c r="P12" s="1281"/>
      <c r="Q12" s="1282"/>
    </row>
    <row r="13" spans="1:18" s="113" customFormat="1" ht="18" customHeight="1">
      <c r="A13" s="1240" t="s">
        <v>91</v>
      </c>
      <c r="B13" s="1241"/>
      <c r="C13" s="1241"/>
      <c r="D13" s="1241"/>
      <c r="E13" s="1241"/>
      <c r="F13" s="1241"/>
      <c r="G13" s="1241"/>
      <c r="H13" s="1241"/>
      <c r="I13" s="1264">
        <v>2940</v>
      </c>
      <c r="J13" s="1264"/>
      <c r="K13" s="1264"/>
      <c r="L13" s="1264"/>
      <c r="M13" s="1264"/>
      <c r="N13" s="1264"/>
      <c r="O13" s="1264"/>
      <c r="P13" s="1264"/>
      <c r="Q13" s="1283"/>
    </row>
    <row r="14" spans="1:18" s="113" customFormat="1" ht="18" customHeight="1" thickBot="1">
      <c r="A14" s="1234" t="s">
        <v>0</v>
      </c>
      <c r="B14" s="1235"/>
      <c r="C14" s="1235"/>
      <c r="D14" s="1235"/>
      <c r="E14" s="1235"/>
      <c r="F14" s="1235"/>
      <c r="G14" s="1235"/>
      <c r="H14" s="1235"/>
      <c r="I14" s="1235"/>
      <c r="J14" s="1235"/>
      <c r="K14" s="1235"/>
      <c r="L14" s="1235"/>
      <c r="M14" s="1235"/>
      <c r="N14" s="1235"/>
      <c r="O14" s="1235"/>
      <c r="P14" s="1235"/>
      <c r="Q14" s="1236"/>
    </row>
    <row r="15" spans="1:18" s="113" customFormat="1" ht="15" thickBot="1">
      <c r="D15" s="136"/>
      <c r="E15" s="136"/>
      <c r="F15" s="135"/>
      <c r="G15" s="135"/>
      <c r="I15" s="150"/>
      <c r="J15" s="150"/>
      <c r="K15" s="150"/>
      <c r="L15" s="150"/>
    </row>
    <row r="16" spans="1:18" s="113" customFormat="1" ht="13.5" thickBot="1">
      <c r="F16" s="1217" t="s">
        <v>167</v>
      </c>
      <c r="G16" s="1008"/>
      <c r="H16" s="1277" t="s">
        <v>168</v>
      </c>
      <c r="I16" s="1278"/>
      <c r="J16" s="1278"/>
      <c r="K16" s="1278"/>
      <c r="L16" s="1278"/>
      <c r="M16" s="1278"/>
      <c r="N16" s="1278"/>
      <c r="O16" s="1278"/>
      <c r="P16" s="1278"/>
      <c r="Q16" s="1278"/>
    </row>
    <row r="17" spans="1:18" s="113" customFormat="1" ht="57.75" customHeight="1" thickBot="1">
      <c r="A17" s="254" t="s">
        <v>122</v>
      </c>
      <c r="B17" s="254" t="s">
        <v>169</v>
      </c>
      <c r="C17" s="255" t="s">
        <v>170</v>
      </c>
      <c r="D17" s="255" t="s">
        <v>171</v>
      </c>
      <c r="E17" s="255" t="s">
        <v>172</v>
      </c>
      <c r="F17" s="255" t="s">
        <v>173</v>
      </c>
      <c r="G17" s="254" t="s">
        <v>174</v>
      </c>
      <c r="H17" s="255" t="s">
        <v>176</v>
      </c>
      <c r="I17" s="254" t="s">
        <v>174</v>
      </c>
      <c r="J17" s="255" t="s">
        <v>177</v>
      </c>
      <c r="K17" s="254" t="s">
        <v>174</v>
      </c>
      <c r="L17" s="255" t="s">
        <v>178</v>
      </c>
      <c r="M17" s="254" t="s">
        <v>174</v>
      </c>
      <c r="N17" s="255" t="s">
        <v>157</v>
      </c>
      <c r="O17" s="254" t="s">
        <v>174</v>
      </c>
      <c r="P17" s="255" t="s">
        <v>824</v>
      </c>
      <c r="Q17" s="254" t="s">
        <v>174</v>
      </c>
    </row>
    <row r="18" spans="1:18" s="113" customFormat="1" ht="46.5" customHeight="1" thickBot="1">
      <c r="A18" s="563">
        <v>41</v>
      </c>
      <c r="B18" s="257"/>
      <c r="C18" s="258" t="s">
        <v>979</v>
      </c>
      <c r="D18" s="281" t="s">
        <v>980</v>
      </c>
      <c r="E18" s="260">
        <v>34020.61</v>
      </c>
      <c r="F18" s="19">
        <f>SUM(E18:E18)*(1-22%)</f>
        <v>26536.075800000002</v>
      </c>
      <c r="G18" s="20">
        <f>F18*B18</f>
        <v>0</v>
      </c>
      <c r="H18" s="19">
        <f>F18*0.03137+I13/12</f>
        <v>1077.4366978460002</v>
      </c>
      <c r="I18" s="20">
        <f>H18*B18</f>
        <v>0</v>
      </c>
      <c r="J18" s="19">
        <f>F18*0.0274+I13/12</f>
        <v>972.08847692000006</v>
      </c>
      <c r="K18" s="20">
        <f>J18*B18</f>
        <v>0</v>
      </c>
      <c r="L18" s="20">
        <f>F18*0.0228+I13/12</f>
        <v>850.02252824000004</v>
      </c>
      <c r="M18" s="20">
        <f>L18*B18</f>
        <v>0</v>
      </c>
      <c r="N18" s="20">
        <f>F18*0.0204+I13/12</f>
        <v>786.33594632000006</v>
      </c>
      <c r="O18" s="20">
        <f>N18*B18</f>
        <v>0</v>
      </c>
      <c r="P18" s="20">
        <f>F18*0.0185+I13/12</f>
        <v>735.91740230000005</v>
      </c>
      <c r="Q18" s="20">
        <f>P18*B18</f>
        <v>0</v>
      </c>
    </row>
    <row r="19" spans="1:18" s="266" customFormat="1" ht="15.75" customHeight="1" thickBot="1">
      <c r="A19" s="1271" t="s">
        <v>182</v>
      </c>
      <c r="B19" s="1272"/>
      <c r="C19" s="1272"/>
      <c r="D19" s="1272"/>
      <c r="E19" s="1272"/>
      <c r="F19" s="1272"/>
      <c r="G19" s="1272"/>
      <c r="H19" s="1272"/>
      <c r="I19" s="1272"/>
      <c r="J19" s="1272"/>
      <c r="K19" s="1272"/>
      <c r="L19" s="1272"/>
      <c r="M19" s="1272"/>
      <c r="N19" s="1272"/>
      <c r="O19" s="1272"/>
      <c r="P19" s="1272"/>
      <c r="Q19" s="1273"/>
    </row>
    <row r="20" spans="1:18" s="266" customFormat="1" ht="26.25" thickBot="1">
      <c r="A20" s="1005"/>
      <c r="B20" s="568"/>
      <c r="C20" s="569" t="s">
        <v>958</v>
      </c>
      <c r="D20" s="569" t="s">
        <v>975</v>
      </c>
      <c r="E20" s="570">
        <v>1958.7628865979382</v>
      </c>
      <c r="F20" s="43">
        <f t="shared" ref="F20:F25" si="0">E20*(1-20%)</f>
        <v>1567.0103092783506</v>
      </c>
      <c r="G20" s="74">
        <f t="shared" ref="G20:G25" si="1">F20*B20</f>
        <v>0</v>
      </c>
      <c r="H20" s="43">
        <f t="shared" ref="H20:H25" si="2">F20*0.03137</f>
        <v>49.15711340206186</v>
      </c>
      <c r="I20" s="74">
        <f t="shared" ref="I20:I25" si="3">H20*B20</f>
        <v>0</v>
      </c>
      <c r="J20" s="43">
        <f t="shared" ref="J20:J25" si="4">F20*0.0274</f>
        <v>42.936082474226808</v>
      </c>
      <c r="K20" s="74">
        <f t="shared" ref="K20:K25" si="5">J20*B20</f>
        <v>0</v>
      </c>
      <c r="L20" s="43">
        <f t="shared" ref="L20:L25" si="6">F20*0.0228</f>
        <v>35.727835051546393</v>
      </c>
      <c r="M20" s="43">
        <f t="shared" ref="M20:M25" si="7">L20*B20</f>
        <v>0</v>
      </c>
      <c r="N20" s="43">
        <f t="shared" ref="N20:N25" si="8">F20*0.0204</f>
        <v>31.967010309278354</v>
      </c>
      <c r="O20" s="43">
        <f t="shared" ref="O20:O25" si="9">N20*B20</f>
        <v>0</v>
      </c>
      <c r="P20" s="43">
        <f t="shared" ref="P20:P25" si="10">F20*0.0185</f>
        <v>28.989690721649485</v>
      </c>
      <c r="Q20" s="43">
        <f t="shared" ref="Q20:Q25" si="11">P20*B20</f>
        <v>0</v>
      </c>
      <c r="R20" s="740"/>
    </row>
    <row r="21" spans="1:18" s="151" customFormat="1" ht="13.5" thickBot="1">
      <c r="A21" s="1156"/>
      <c r="B21" s="221"/>
      <c r="C21" s="282" t="s">
        <v>973</v>
      </c>
      <c r="D21" s="282" t="s">
        <v>976</v>
      </c>
      <c r="E21" s="283">
        <v>953.60824742268039</v>
      </c>
      <c r="F21" s="44">
        <f t="shared" si="0"/>
        <v>762.8865979381444</v>
      </c>
      <c r="G21" s="3">
        <f t="shared" si="1"/>
        <v>0</v>
      </c>
      <c r="H21" s="21">
        <f t="shared" si="2"/>
        <v>23.931752577319592</v>
      </c>
      <c r="I21" s="2">
        <f t="shared" si="3"/>
        <v>0</v>
      </c>
      <c r="J21" s="21">
        <f t="shared" si="4"/>
        <v>20.903092783505159</v>
      </c>
      <c r="K21" s="22">
        <f t="shared" si="5"/>
        <v>0</v>
      </c>
      <c r="L21" s="21">
        <f t="shared" si="6"/>
        <v>17.393814432989693</v>
      </c>
      <c r="M21" s="21">
        <f t="shared" si="7"/>
        <v>0</v>
      </c>
      <c r="N21" s="21">
        <f t="shared" si="8"/>
        <v>15.562886597938148</v>
      </c>
      <c r="O21" s="21">
        <f t="shared" si="9"/>
        <v>0</v>
      </c>
      <c r="P21" s="43">
        <f t="shared" si="10"/>
        <v>14.113402061855671</v>
      </c>
      <c r="Q21" s="43">
        <f t="shared" si="11"/>
        <v>0</v>
      </c>
      <c r="R21" s="740"/>
    </row>
    <row r="22" spans="1:18" s="151" customFormat="1" ht="26.25" thickBot="1">
      <c r="A22" s="1156"/>
      <c r="B22" s="221"/>
      <c r="C22" s="282" t="s">
        <v>959</v>
      </c>
      <c r="D22" s="282" t="s">
        <v>252</v>
      </c>
      <c r="E22" s="283">
        <v>2056.7010309278353</v>
      </c>
      <c r="F22" s="44">
        <f t="shared" si="0"/>
        <v>1645.3608247422683</v>
      </c>
      <c r="G22" s="3">
        <f t="shared" si="1"/>
        <v>0</v>
      </c>
      <c r="H22" s="21">
        <f t="shared" si="2"/>
        <v>51.614969072164961</v>
      </c>
      <c r="I22" s="2">
        <f t="shared" si="3"/>
        <v>0</v>
      </c>
      <c r="J22" s="21">
        <f t="shared" si="4"/>
        <v>45.082886597938149</v>
      </c>
      <c r="K22" s="22">
        <f t="shared" si="5"/>
        <v>0</v>
      </c>
      <c r="L22" s="21">
        <f t="shared" si="6"/>
        <v>37.514226804123716</v>
      </c>
      <c r="M22" s="21">
        <f t="shared" si="7"/>
        <v>0</v>
      </c>
      <c r="N22" s="21">
        <f t="shared" si="8"/>
        <v>33.565360824742278</v>
      </c>
      <c r="O22" s="21">
        <f t="shared" si="9"/>
        <v>0</v>
      </c>
      <c r="P22" s="43">
        <f t="shared" si="10"/>
        <v>30.439175257731961</v>
      </c>
      <c r="Q22" s="43">
        <f t="shared" si="11"/>
        <v>0</v>
      </c>
      <c r="R22" s="740"/>
    </row>
    <row r="23" spans="1:18" s="151" customFormat="1" ht="12.6" customHeight="1" thickBot="1">
      <c r="A23" s="1156"/>
      <c r="B23" s="221"/>
      <c r="C23" s="282" t="s">
        <v>511</v>
      </c>
      <c r="D23" s="282" t="s">
        <v>977</v>
      </c>
      <c r="E23" s="283">
        <v>298.96907216494844</v>
      </c>
      <c r="F23" s="44">
        <f t="shared" si="0"/>
        <v>239.17525773195877</v>
      </c>
      <c r="G23" s="3">
        <f t="shared" si="1"/>
        <v>0</v>
      </c>
      <c r="H23" s="21">
        <f t="shared" si="2"/>
        <v>7.5029278350515467</v>
      </c>
      <c r="I23" s="2">
        <f t="shared" si="3"/>
        <v>0</v>
      </c>
      <c r="J23" s="21">
        <f t="shared" si="4"/>
        <v>6.5534020618556701</v>
      </c>
      <c r="K23" s="22">
        <f t="shared" si="5"/>
        <v>0</v>
      </c>
      <c r="L23" s="21">
        <f t="shared" si="6"/>
        <v>5.4531958762886603</v>
      </c>
      <c r="M23" s="21">
        <f t="shared" si="7"/>
        <v>0</v>
      </c>
      <c r="N23" s="21">
        <f t="shared" si="8"/>
        <v>4.8791752577319594</v>
      </c>
      <c r="O23" s="21">
        <f t="shared" si="9"/>
        <v>0</v>
      </c>
      <c r="P23" s="43">
        <f t="shared" si="10"/>
        <v>4.4247422680412374</v>
      </c>
      <c r="Q23" s="43">
        <f t="shared" si="11"/>
        <v>0</v>
      </c>
      <c r="R23" s="740"/>
    </row>
    <row r="24" spans="1:18" s="151" customFormat="1" ht="13.5" thickBot="1">
      <c r="A24" s="1156"/>
      <c r="B24" s="221"/>
      <c r="C24" s="282" t="s">
        <v>981</v>
      </c>
      <c r="D24" s="282" t="s">
        <v>966</v>
      </c>
      <c r="E24" s="283">
        <v>1237.1134020618556</v>
      </c>
      <c r="F24" s="44">
        <f t="shared" si="0"/>
        <v>989.69072164948454</v>
      </c>
      <c r="G24" s="3">
        <f t="shared" si="1"/>
        <v>0</v>
      </c>
      <c r="H24" s="21">
        <f t="shared" si="2"/>
        <v>31.04659793814433</v>
      </c>
      <c r="I24" s="2">
        <f t="shared" si="3"/>
        <v>0</v>
      </c>
      <c r="J24" s="21">
        <f t="shared" si="4"/>
        <v>27.117525773195876</v>
      </c>
      <c r="K24" s="22">
        <f t="shared" si="5"/>
        <v>0</v>
      </c>
      <c r="L24" s="21">
        <f t="shared" si="6"/>
        <v>22.564948453608249</v>
      </c>
      <c r="M24" s="21">
        <f t="shared" si="7"/>
        <v>0</v>
      </c>
      <c r="N24" s="21">
        <f t="shared" si="8"/>
        <v>20.189690721649487</v>
      </c>
      <c r="O24" s="21">
        <f t="shared" si="9"/>
        <v>0</v>
      </c>
      <c r="P24" s="43">
        <f t="shared" si="10"/>
        <v>18.309278350515463</v>
      </c>
      <c r="Q24" s="43">
        <f t="shared" si="11"/>
        <v>0</v>
      </c>
      <c r="R24" s="740"/>
    </row>
    <row r="25" spans="1:18" s="151" customFormat="1" ht="13.5" thickBot="1">
      <c r="A25" s="1227"/>
      <c r="B25" s="221"/>
      <c r="C25" s="282" t="s">
        <v>519</v>
      </c>
      <c r="D25" s="282" t="s">
        <v>978</v>
      </c>
      <c r="E25" s="283">
        <v>613.40206185567013</v>
      </c>
      <c r="F25" s="44">
        <f t="shared" si="0"/>
        <v>490.7216494845361</v>
      </c>
      <c r="G25" s="3">
        <f t="shared" si="1"/>
        <v>0</v>
      </c>
      <c r="H25" s="21">
        <f t="shared" si="2"/>
        <v>15.393938144329898</v>
      </c>
      <c r="I25" s="2">
        <f t="shared" si="3"/>
        <v>0</v>
      </c>
      <c r="J25" s="21">
        <f t="shared" si="4"/>
        <v>13.44577319587629</v>
      </c>
      <c r="K25" s="22">
        <f t="shared" si="5"/>
        <v>0</v>
      </c>
      <c r="L25" s="21">
        <f t="shared" si="6"/>
        <v>11.188453608247423</v>
      </c>
      <c r="M25" s="21">
        <f t="shared" si="7"/>
        <v>0</v>
      </c>
      <c r="N25" s="21">
        <f t="shared" si="8"/>
        <v>10.010721649484537</v>
      </c>
      <c r="O25" s="21">
        <f t="shared" si="9"/>
        <v>0</v>
      </c>
      <c r="P25" s="43">
        <f t="shared" si="10"/>
        <v>9.0783505154639172</v>
      </c>
      <c r="Q25" s="43">
        <f t="shared" si="11"/>
        <v>0</v>
      </c>
      <c r="R25" s="740"/>
    </row>
    <row r="26" spans="1:18" s="151" customFormat="1" ht="15">
      <c r="A26" s="156"/>
      <c r="B26" s="106"/>
      <c r="C26" s="106"/>
      <c r="D26" s="997" t="s">
        <v>183</v>
      </c>
      <c r="E26" s="998"/>
      <c r="F26" s="1274"/>
      <c r="G26" s="9">
        <f>SUM(G20:G25)+G18</f>
        <v>0</v>
      </c>
      <c r="H26" s="10" t="s">
        <v>185</v>
      </c>
      <c r="I26" s="9">
        <f>SUM(I20:I25)+I18</f>
        <v>0</v>
      </c>
      <c r="J26" s="10" t="s">
        <v>186</v>
      </c>
      <c r="K26" s="9">
        <f>SUM(K20:K25)+K18</f>
        <v>0</v>
      </c>
      <c r="L26" s="10" t="s">
        <v>187</v>
      </c>
      <c r="M26" s="9">
        <f>SUM(M20:M25)+M18</f>
        <v>0</v>
      </c>
      <c r="N26" s="10" t="s">
        <v>94</v>
      </c>
      <c r="O26" s="9">
        <f>SUM(O20:O25)+O18</f>
        <v>0</v>
      </c>
      <c r="P26" s="10" t="s">
        <v>826</v>
      </c>
      <c r="Q26" s="9">
        <f>SUM(Q20:Q25)+Q18</f>
        <v>0</v>
      </c>
    </row>
    <row r="27" spans="1:18" s="151" customFormat="1">
      <c r="A27" s="162"/>
      <c r="B27" s="104"/>
      <c r="C27" s="104"/>
      <c r="D27" s="162"/>
      <c r="E27" s="162"/>
      <c r="F27" s="24"/>
      <c r="G27" s="24"/>
      <c r="H27" s="26"/>
      <c r="I27" s="26"/>
      <c r="J27" s="26"/>
      <c r="K27" s="26"/>
      <c r="L27" s="26"/>
      <c r="M27" s="26"/>
      <c r="N27" s="26"/>
      <c r="O27" s="26"/>
      <c r="P27" s="26"/>
      <c r="Q27" s="26"/>
    </row>
    <row r="28" spans="1:18" s="151" customFormat="1" ht="15.75">
      <c r="A28" s="104"/>
      <c r="B28" s="271"/>
      <c r="C28" s="271"/>
      <c r="D28" s="272"/>
      <c r="E28" s="272"/>
      <c r="F28" s="25"/>
      <c r="G28" s="7"/>
      <c r="H28" s="8"/>
      <c r="I28" s="8"/>
      <c r="J28" s="8"/>
      <c r="K28" s="8"/>
      <c r="L28" s="8"/>
      <c r="M28" s="8"/>
      <c r="N28" s="8"/>
      <c r="O28" s="8"/>
      <c r="P28" s="8"/>
      <c r="Q28" s="8"/>
    </row>
    <row r="29" spans="1:18" s="156" customFormat="1">
      <c r="A29" s="104"/>
      <c r="B29" s="104"/>
      <c r="C29" s="104"/>
      <c r="D29" s="104"/>
      <c r="E29" s="104"/>
      <c r="F29" s="25"/>
      <c r="G29" s="7"/>
      <c r="H29" s="8"/>
      <c r="I29" s="8"/>
      <c r="J29" s="8"/>
      <c r="K29" s="8"/>
      <c r="L29" s="8"/>
      <c r="M29" s="8"/>
      <c r="N29" s="8"/>
      <c r="O29" s="8"/>
      <c r="P29" s="8"/>
      <c r="Q29" s="8"/>
    </row>
    <row r="30" spans="1:18" s="156" customFormat="1">
      <c r="A30" s="104"/>
      <c r="B30" s="104"/>
      <c r="C30" s="104"/>
      <c r="D30" s="104"/>
      <c r="E30" s="104"/>
      <c r="F30" s="7"/>
      <c r="G30" s="7"/>
      <c r="H30" s="8"/>
      <c r="I30" s="8"/>
      <c r="J30" s="8"/>
      <c r="K30" s="8"/>
      <c r="L30" s="8"/>
      <c r="M30" s="8"/>
      <c r="N30" s="8"/>
      <c r="O30" s="8"/>
      <c r="P30" s="8"/>
      <c r="Q30" s="8"/>
    </row>
    <row r="31" spans="1:18" s="274" customFormat="1" hidden="1">
      <c r="A31" s="104"/>
      <c r="B31" s="104"/>
      <c r="C31" s="104"/>
      <c r="D31" s="104"/>
      <c r="E31" s="104"/>
      <c r="F31" s="7"/>
      <c r="G31" s="7"/>
      <c r="H31" s="8"/>
      <c r="I31" s="8"/>
      <c r="J31" s="8"/>
      <c r="K31" s="8"/>
      <c r="L31" s="8"/>
      <c r="M31" s="8"/>
      <c r="N31" s="8"/>
      <c r="O31" s="8"/>
      <c r="P31" s="8"/>
      <c r="Q31" s="8"/>
    </row>
    <row r="32" spans="1:18" s="156" customFormat="1">
      <c r="A32" s="104"/>
      <c r="B32" s="104"/>
      <c r="C32" s="104"/>
      <c r="D32" s="104"/>
      <c r="E32" s="104"/>
      <c r="F32" s="165"/>
      <c r="G32" s="7"/>
      <c r="H32" s="104"/>
      <c r="I32" s="8"/>
      <c r="J32" s="104"/>
      <c r="K32" s="8"/>
      <c r="L32" s="104"/>
      <c r="M32" s="8"/>
      <c r="N32" s="104"/>
      <c r="O32" s="8"/>
      <c r="P32" s="104"/>
      <c r="Q32" s="8"/>
    </row>
    <row r="33" spans="1:17" s="162" customFormat="1">
      <c r="A33" s="104"/>
      <c r="B33" s="104"/>
      <c r="C33" s="104"/>
      <c r="D33" s="104"/>
      <c r="E33" s="104"/>
      <c r="F33" s="165"/>
      <c r="G33" s="165"/>
      <c r="H33" s="104"/>
      <c r="I33" s="104"/>
      <c r="J33" s="104"/>
      <c r="K33" s="104"/>
      <c r="L33" s="104"/>
      <c r="M33" s="104"/>
      <c r="N33" s="104"/>
      <c r="O33" s="104"/>
      <c r="P33" s="104"/>
      <c r="Q33" s="104"/>
    </row>
    <row r="39" spans="1:17">
      <c r="L39" s="665">
        <f>F39*0.0256</f>
        <v>0</v>
      </c>
    </row>
    <row r="46" spans="1:17">
      <c r="B46" s="106"/>
      <c r="C46" s="106"/>
    </row>
  </sheetData>
  <mergeCells count="13">
    <mergeCell ref="A4:O4"/>
    <mergeCell ref="A5:O5"/>
    <mergeCell ref="H8:J8"/>
    <mergeCell ref="A11:Q11"/>
    <mergeCell ref="A12:Q12"/>
    <mergeCell ref="A19:Q19"/>
    <mergeCell ref="A20:A25"/>
    <mergeCell ref="D26:F26"/>
    <mergeCell ref="A13:H13"/>
    <mergeCell ref="I13:Q13"/>
    <mergeCell ref="A14:Q14"/>
    <mergeCell ref="F16:G16"/>
    <mergeCell ref="H16:Q16"/>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8">
    <tabColor rgb="FFFF0000"/>
  </sheetPr>
  <dimension ref="A1:R53"/>
  <sheetViews>
    <sheetView topLeftCell="E13" zoomScale="86" zoomScaleNormal="86" workbookViewId="0">
      <selection activeCell="K46" sqref="K46"/>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8" width="10.28515625" style="104" bestFit="1" customWidth="1"/>
    <col min="19"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1037</v>
      </c>
      <c r="B4" s="979"/>
      <c r="C4" s="979"/>
      <c r="D4" s="979"/>
      <c r="E4" s="979"/>
      <c r="F4" s="979"/>
      <c r="G4" s="979"/>
      <c r="H4" s="979"/>
      <c r="I4" s="979"/>
      <c r="J4" s="979"/>
      <c r="K4" s="979"/>
      <c r="L4" s="979"/>
      <c r="M4" s="979"/>
      <c r="N4" s="979"/>
      <c r="O4" s="979"/>
    </row>
    <row r="5" spans="1:18" s="114" customFormat="1" ht="41.25" customHeight="1">
      <c r="A5" s="1276" t="s">
        <v>1038</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D8" s="136"/>
      <c r="E8" s="136"/>
      <c r="H8" s="123"/>
    </row>
    <row r="9" spans="1:18" s="113" customFormat="1" ht="12" customHeight="1">
      <c r="F9" s="249"/>
      <c r="G9" s="249"/>
      <c r="H9" s="123"/>
      <c r="I9" s="124"/>
      <c r="J9" s="124"/>
      <c r="L9" s="124"/>
    </row>
    <row r="10" spans="1:18" s="113" customFormat="1" ht="18.75" thickBot="1">
      <c r="A10" s="1279" t="s">
        <v>23</v>
      </c>
      <c r="B10" s="1245"/>
      <c r="C10" s="1245"/>
      <c r="D10" s="1245"/>
      <c r="E10" s="1245"/>
      <c r="F10" s="1245"/>
      <c r="G10" s="1245"/>
      <c r="H10" s="1245"/>
      <c r="I10" s="1245"/>
      <c r="J10" s="1245"/>
      <c r="K10" s="1245"/>
      <c r="L10" s="1245"/>
      <c r="M10" s="1245"/>
      <c r="N10" s="1245"/>
      <c r="O10" s="1245"/>
      <c r="P10" s="1245"/>
      <c r="Q10" s="1245"/>
    </row>
    <row r="11" spans="1:18" s="113" customFormat="1" ht="18" customHeight="1">
      <c r="A11" s="1280" t="s">
        <v>232</v>
      </c>
      <c r="B11" s="1281"/>
      <c r="C11" s="1281"/>
      <c r="D11" s="1281"/>
      <c r="E11" s="1281"/>
      <c r="F11" s="1281"/>
      <c r="G11" s="1281"/>
      <c r="H11" s="1281"/>
      <c r="I11" s="1281"/>
      <c r="J11" s="1281"/>
      <c r="K11" s="1281"/>
      <c r="L11" s="1281"/>
      <c r="M11" s="1281"/>
      <c r="N11" s="1281"/>
      <c r="O11" s="1281"/>
      <c r="P11" s="1281"/>
      <c r="Q11" s="1282"/>
    </row>
    <row r="12" spans="1:18" s="113" customFormat="1" ht="18" customHeight="1">
      <c r="A12" s="1240" t="s">
        <v>91</v>
      </c>
      <c r="B12" s="1241"/>
      <c r="C12" s="1241"/>
      <c r="D12" s="1241"/>
      <c r="E12" s="1241"/>
      <c r="F12" s="1241"/>
      <c r="G12" s="1241"/>
      <c r="H12" s="1241"/>
      <c r="I12" s="1264">
        <v>2348</v>
      </c>
      <c r="J12" s="1264"/>
      <c r="K12" s="1264"/>
      <c r="L12" s="1264"/>
      <c r="M12" s="1264"/>
      <c r="N12" s="1264"/>
      <c r="O12" s="1264"/>
      <c r="P12" s="1264"/>
      <c r="Q12" s="1283"/>
    </row>
    <row r="13" spans="1:18" s="113" customFormat="1" ht="18" customHeight="1" thickBot="1">
      <c r="A13" s="1234" t="s">
        <v>0</v>
      </c>
      <c r="B13" s="1235"/>
      <c r="C13" s="1235"/>
      <c r="D13" s="1235"/>
      <c r="E13" s="1235"/>
      <c r="F13" s="1235"/>
      <c r="G13" s="1235"/>
      <c r="H13" s="1235"/>
      <c r="I13" s="1235"/>
      <c r="J13" s="1235"/>
      <c r="K13" s="1235"/>
      <c r="L13" s="1235"/>
      <c r="M13" s="1235"/>
      <c r="N13" s="1235"/>
      <c r="O13" s="1235"/>
      <c r="P13" s="1235"/>
      <c r="Q13" s="1236"/>
    </row>
    <row r="14" spans="1:18" s="113" customFormat="1" ht="15" thickBot="1">
      <c r="D14" s="136"/>
      <c r="E14" s="136"/>
      <c r="F14" s="135"/>
      <c r="G14" s="135"/>
      <c r="I14" s="150"/>
      <c r="J14" s="150"/>
      <c r="K14" s="150"/>
      <c r="L14" s="150"/>
    </row>
    <row r="15" spans="1:18" s="113" customFormat="1" ht="13.5" thickBot="1">
      <c r="F15" s="1217" t="s">
        <v>167</v>
      </c>
      <c r="G15" s="1008"/>
      <c r="H15" s="1277" t="s">
        <v>168</v>
      </c>
      <c r="I15" s="1278"/>
      <c r="J15" s="1278"/>
      <c r="K15" s="1278"/>
      <c r="L15" s="1278"/>
      <c r="M15" s="1278"/>
      <c r="N15" s="1278"/>
      <c r="O15" s="1278"/>
      <c r="P15" s="1278"/>
      <c r="Q15" s="1278"/>
    </row>
    <row r="16" spans="1:18" s="113" customFormat="1" ht="57.75" customHeight="1" thickBot="1">
      <c r="A16" s="254" t="s">
        <v>122</v>
      </c>
      <c r="B16" s="254" t="s">
        <v>169</v>
      </c>
      <c r="C16" s="255" t="s">
        <v>170</v>
      </c>
      <c r="D16" s="255" t="s">
        <v>171</v>
      </c>
      <c r="E16" s="255" t="s">
        <v>172</v>
      </c>
      <c r="F16" s="255" t="s">
        <v>173</v>
      </c>
      <c r="G16" s="254" t="s">
        <v>174</v>
      </c>
      <c r="H16" s="255" t="s">
        <v>176</v>
      </c>
      <c r="I16" s="254" t="s">
        <v>174</v>
      </c>
      <c r="J16" s="255" t="s">
        <v>177</v>
      </c>
      <c r="K16" s="254" t="s">
        <v>174</v>
      </c>
      <c r="L16" s="255" t="s">
        <v>178</v>
      </c>
      <c r="M16" s="254" t="s">
        <v>174</v>
      </c>
      <c r="N16" s="255" t="s">
        <v>157</v>
      </c>
      <c r="O16" s="254" t="s">
        <v>174</v>
      </c>
      <c r="P16" s="255" t="s">
        <v>824</v>
      </c>
      <c r="Q16" s="254" t="s">
        <v>174</v>
      </c>
    </row>
    <row r="17" spans="1:18" s="113" customFormat="1" ht="46.5" customHeight="1" thickBot="1">
      <c r="A17" s="1287">
        <v>42</v>
      </c>
      <c r="B17" s="1288"/>
      <c r="C17" s="258" t="s">
        <v>1036</v>
      </c>
      <c r="D17" s="281" t="s">
        <v>1039</v>
      </c>
      <c r="E17" s="260">
        <v>35981.199999999997</v>
      </c>
      <c r="F17" s="19">
        <f>SUM(E17:E18)*(1-20%)</f>
        <v>28992.16</v>
      </c>
      <c r="G17" s="1162">
        <f>F17*B17</f>
        <v>0</v>
      </c>
      <c r="H17" s="19">
        <f>F17*0.03137+I12/12</f>
        <v>1105.1507258666668</v>
      </c>
      <c r="I17" s="1162">
        <f>H17*B17</f>
        <v>0</v>
      </c>
      <c r="J17" s="19">
        <f>F17*0.0274+I12/12</f>
        <v>990.05185066666661</v>
      </c>
      <c r="K17" s="1162">
        <f>J17*B17</f>
        <v>0</v>
      </c>
      <c r="L17" s="20">
        <f>F17*0.0228+I12/12</f>
        <v>856.68791466666664</v>
      </c>
      <c r="M17" s="1162">
        <f>L17*B17</f>
        <v>0</v>
      </c>
      <c r="N17" s="20">
        <f>F17*0.0204+I12/12</f>
        <v>787.10673066666664</v>
      </c>
      <c r="O17" s="1162">
        <f>N17*B17</f>
        <v>0</v>
      </c>
      <c r="P17" s="20">
        <f>F17*0.0185+I12/12</f>
        <v>732.02162666666663</v>
      </c>
      <c r="Q17" s="1162">
        <f>P17*B17</f>
        <v>0</v>
      </c>
    </row>
    <row r="18" spans="1:18" s="113" customFormat="1" ht="13.5" thickBot="1">
      <c r="A18" s="1287"/>
      <c r="B18" s="1288"/>
      <c r="C18" s="261" t="s">
        <v>104</v>
      </c>
      <c r="D18" s="262" t="s">
        <v>180</v>
      </c>
      <c r="E18" s="263">
        <v>259</v>
      </c>
      <c r="F18" s="264" t="s">
        <v>162</v>
      </c>
      <c r="G18" s="1284"/>
      <c r="H18" s="265" t="s">
        <v>162</v>
      </c>
      <c r="I18" s="1284"/>
      <c r="J18" s="265" t="s">
        <v>162</v>
      </c>
      <c r="K18" s="1284"/>
      <c r="L18" s="265" t="s">
        <v>162</v>
      </c>
      <c r="M18" s="1284"/>
      <c r="N18" s="265" t="s">
        <v>162</v>
      </c>
      <c r="O18" s="1284"/>
      <c r="P18" s="265" t="s">
        <v>162</v>
      </c>
      <c r="Q18" s="1167"/>
    </row>
    <row r="19" spans="1:18" s="266" customFormat="1" ht="15.75" customHeight="1" thickBot="1">
      <c r="A19" s="1285" t="s">
        <v>182</v>
      </c>
      <c r="B19" s="1286"/>
      <c r="C19" s="1272"/>
      <c r="D19" s="1272"/>
      <c r="E19" s="1272"/>
      <c r="F19" s="1272"/>
      <c r="G19" s="1272"/>
      <c r="H19" s="1272"/>
      <c r="I19" s="1272"/>
      <c r="J19" s="1272"/>
      <c r="K19" s="1272"/>
      <c r="L19" s="1272"/>
      <c r="M19" s="1272"/>
      <c r="N19" s="1272"/>
      <c r="O19" s="1272"/>
      <c r="P19" s="1272"/>
      <c r="Q19" s="1273"/>
    </row>
    <row r="20" spans="1:18" s="266" customFormat="1" ht="13.5" thickBot="1">
      <c r="A20" s="1005"/>
      <c r="B20" s="568"/>
      <c r="C20" s="592" t="s">
        <v>643</v>
      </c>
      <c r="D20" s="569" t="s">
        <v>1022</v>
      </c>
      <c r="E20" s="570">
        <v>4123.7113402061859</v>
      </c>
      <c r="F20" s="43">
        <f>E20*(1-20%)</f>
        <v>3298.969072164949</v>
      </c>
      <c r="G20" s="74">
        <f t="shared" ref="G20:G32" si="0">F20*B20</f>
        <v>0</v>
      </c>
      <c r="H20" s="43">
        <f t="shared" ref="H20:H32" si="1">F20*0.03137</f>
        <v>103.48865979381446</v>
      </c>
      <c r="I20" s="74">
        <f t="shared" ref="I20:I32" si="2">H20*B20</f>
        <v>0</v>
      </c>
      <c r="J20" s="43">
        <f t="shared" ref="J20:J32" si="3">F20*0.0274</f>
        <v>90.391752577319608</v>
      </c>
      <c r="K20" s="74">
        <f t="shared" ref="K20:K32" si="4">J20*B20</f>
        <v>0</v>
      </c>
      <c r="L20" s="43">
        <f t="shared" ref="L20:L32" si="5">F20*0.0228</f>
        <v>75.216494845360842</v>
      </c>
      <c r="M20" s="43">
        <f t="shared" ref="M20:M32" si="6">L20*B20</f>
        <v>0</v>
      </c>
      <c r="N20" s="43">
        <f t="shared" ref="N20:N32" si="7">F20*0.0204</f>
        <v>67.298969072164965</v>
      </c>
      <c r="O20" s="43">
        <f t="shared" ref="O20:O32" si="8">N20*B20</f>
        <v>0</v>
      </c>
      <c r="P20" s="43">
        <f>F20*0.0185</f>
        <v>61.030927835051557</v>
      </c>
      <c r="Q20" s="43">
        <f>P20*B20</f>
        <v>0</v>
      </c>
      <c r="R20" s="740"/>
    </row>
    <row r="21" spans="1:18" s="156" customFormat="1" ht="13.5" thickBot="1">
      <c r="A21" s="1156"/>
      <c r="B21" s="221"/>
      <c r="C21" s="593" t="s">
        <v>1001</v>
      </c>
      <c r="D21" s="282" t="s">
        <v>1023</v>
      </c>
      <c r="E21" s="283">
        <v>12881.443298969072</v>
      </c>
      <c r="F21" s="44">
        <f t="shared" ref="F21:F32" si="9">E21*(1-20%)</f>
        <v>10305.154639175258</v>
      </c>
      <c r="G21" s="3">
        <f>F21*B21</f>
        <v>0</v>
      </c>
      <c r="H21" s="21">
        <f t="shared" si="1"/>
        <v>323.27270103092786</v>
      </c>
      <c r="I21" s="2">
        <f>H21*B21</f>
        <v>0</v>
      </c>
      <c r="J21" s="21">
        <f t="shared" si="3"/>
        <v>282.36123711340207</v>
      </c>
      <c r="K21" s="22">
        <f>J21*B21</f>
        <v>0</v>
      </c>
      <c r="L21" s="21">
        <f t="shared" si="5"/>
        <v>234.9575257731959</v>
      </c>
      <c r="M21" s="21">
        <f>L21*B21</f>
        <v>0</v>
      </c>
      <c r="N21" s="21">
        <f t="shared" si="7"/>
        <v>210.22515463917529</v>
      </c>
      <c r="O21" s="21">
        <f>N21*B21</f>
        <v>0</v>
      </c>
      <c r="P21" s="43">
        <f t="shared" ref="P21:P32" si="10">F21*0.0185</f>
        <v>190.64536082474226</v>
      </c>
      <c r="Q21" s="43">
        <f t="shared" ref="Q21:Q32" si="11">P21*B21</f>
        <v>0</v>
      </c>
      <c r="R21" s="740"/>
    </row>
    <row r="22" spans="1:18" s="151" customFormat="1" ht="13.5" thickBot="1">
      <c r="A22" s="1156"/>
      <c r="B22" s="221"/>
      <c r="C22" s="593" t="s">
        <v>1002</v>
      </c>
      <c r="D22" s="282" t="s">
        <v>1024</v>
      </c>
      <c r="E22" s="283">
        <v>20097.938144329899</v>
      </c>
      <c r="F22" s="44">
        <f t="shared" si="9"/>
        <v>16078.350515463921</v>
      </c>
      <c r="G22" s="3">
        <f t="shared" si="0"/>
        <v>0</v>
      </c>
      <c r="H22" s="21">
        <f t="shared" si="1"/>
        <v>504.3778556701032</v>
      </c>
      <c r="I22" s="2">
        <f t="shared" si="2"/>
        <v>0</v>
      </c>
      <c r="J22" s="21">
        <f t="shared" si="3"/>
        <v>440.54680412371141</v>
      </c>
      <c r="K22" s="22">
        <f t="shared" si="4"/>
        <v>0</v>
      </c>
      <c r="L22" s="21">
        <f t="shared" si="5"/>
        <v>366.58639175257741</v>
      </c>
      <c r="M22" s="21">
        <f t="shared" si="6"/>
        <v>0</v>
      </c>
      <c r="N22" s="21">
        <f t="shared" si="7"/>
        <v>327.99835051546398</v>
      </c>
      <c r="O22" s="21">
        <f t="shared" si="8"/>
        <v>0</v>
      </c>
      <c r="P22" s="43">
        <f t="shared" si="10"/>
        <v>297.44948453608254</v>
      </c>
      <c r="Q22" s="43">
        <f t="shared" si="11"/>
        <v>0</v>
      </c>
      <c r="R22" s="740"/>
    </row>
    <row r="23" spans="1:18" s="151" customFormat="1" ht="13.5" thickBot="1">
      <c r="A23" s="1156"/>
      <c r="B23" s="221"/>
      <c r="C23" s="593" t="s">
        <v>642</v>
      </c>
      <c r="D23" s="282" t="s">
        <v>1025</v>
      </c>
      <c r="E23" s="283">
        <v>1546.3917525773197</v>
      </c>
      <c r="F23" s="44">
        <f t="shared" si="9"/>
        <v>1237.1134020618558</v>
      </c>
      <c r="G23" s="3">
        <f t="shared" si="0"/>
        <v>0</v>
      </c>
      <c r="H23" s="21">
        <f t="shared" si="1"/>
        <v>38.808247422680417</v>
      </c>
      <c r="I23" s="2">
        <f t="shared" si="2"/>
        <v>0</v>
      </c>
      <c r="J23" s="21">
        <f t="shared" si="3"/>
        <v>33.896907216494853</v>
      </c>
      <c r="K23" s="22">
        <f t="shared" si="4"/>
        <v>0</v>
      </c>
      <c r="L23" s="21">
        <f t="shared" si="5"/>
        <v>28.206185567010312</v>
      </c>
      <c r="M23" s="21">
        <f t="shared" si="6"/>
        <v>0</v>
      </c>
      <c r="N23" s="21">
        <f t="shared" si="7"/>
        <v>25.237113402061862</v>
      </c>
      <c r="O23" s="21">
        <f t="shared" si="8"/>
        <v>0</v>
      </c>
      <c r="P23" s="43">
        <f t="shared" si="10"/>
        <v>22.88659793814433</v>
      </c>
      <c r="Q23" s="43">
        <f t="shared" si="11"/>
        <v>0</v>
      </c>
      <c r="R23" s="740"/>
    </row>
    <row r="24" spans="1:18" s="151" customFormat="1" ht="13.5" thickBot="1">
      <c r="A24" s="1156"/>
      <c r="B24" s="221"/>
      <c r="C24" s="593" t="s">
        <v>646</v>
      </c>
      <c r="D24" s="282" t="s">
        <v>1026</v>
      </c>
      <c r="E24" s="283">
        <v>1443.2989690721649</v>
      </c>
      <c r="F24" s="44">
        <f t="shared" si="9"/>
        <v>1154.6391752577319</v>
      </c>
      <c r="G24" s="3">
        <f t="shared" si="0"/>
        <v>0</v>
      </c>
      <c r="H24" s="21">
        <f t="shared" si="1"/>
        <v>36.221030927835052</v>
      </c>
      <c r="I24" s="2">
        <f t="shared" si="2"/>
        <v>0</v>
      </c>
      <c r="J24" s="21">
        <f t="shared" si="3"/>
        <v>31.637113402061857</v>
      </c>
      <c r="K24" s="22">
        <f t="shared" si="4"/>
        <v>0</v>
      </c>
      <c r="L24" s="21">
        <f t="shared" si="5"/>
        <v>26.325773195876291</v>
      </c>
      <c r="M24" s="21">
        <f t="shared" si="6"/>
        <v>0</v>
      </c>
      <c r="N24" s="21">
        <f t="shared" si="7"/>
        <v>23.554639175257734</v>
      </c>
      <c r="O24" s="21">
        <f t="shared" si="8"/>
        <v>0</v>
      </c>
      <c r="P24" s="43">
        <f t="shared" si="10"/>
        <v>21.36082474226804</v>
      </c>
      <c r="Q24" s="43">
        <f t="shared" si="11"/>
        <v>0</v>
      </c>
      <c r="R24" s="740"/>
    </row>
    <row r="25" spans="1:18" s="151" customFormat="1" ht="13.5" thickBot="1">
      <c r="A25" s="1156"/>
      <c r="B25" s="221"/>
      <c r="C25" s="593" t="s">
        <v>1003</v>
      </c>
      <c r="D25" s="282" t="s">
        <v>1027</v>
      </c>
      <c r="E25" s="283">
        <v>1443.2989690721649</v>
      </c>
      <c r="F25" s="44">
        <f t="shared" si="9"/>
        <v>1154.6391752577319</v>
      </c>
      <c r="G25" s="3">
        <f t="shared" si="0"/>
        <v>0</v>
      </c>
      <c r="H25" s="21">
        <f t="shared" si="1"/>
        <v>36.221030927835052</v>
      </c>
      <c r="I25" s="2">
        <f t="shared" si="2"/>
        <v>0</v>
      </c>
      <c r="J25" s="21">
        <f t="shared" si="3"/>
        <v>31.637113402061857</v>
      </c>
      <c r="K25" s="22">
        <f t="shared" si="4"/>
        <v>0</v>
      </c>
      <c r="L25" s="21">
        <f t="shared" si="5"/>
        <v>26.325773195876291</v>
      </c>
      <c r="M25" s="21">
        <f t="shared" si="6"/>
        <v>0</v>
      </c>
      <c r="N25" s="21">
        <f t="shared" si="7"/>
        <v>23.554639175257734</v>
      </c>
      <c r="O25" s="21">
        <f t="shared" si="8"/>
        <v>0</v>
      </c>
      <c r="P25" s="43">
        <f t="shared" si="10"/>
        <v>21.36082474226804</v>
      </c>
      <c r="Q25" s="43">
        <f t="shared" si="11"/>
        <v>0</v>
      </c>
      <c r="R25" s="740"/>
    </row>
    <row r="26" spans="1:18" s="151" customFormat="1" ht="12.6" customHeight="1" thickBot="1">
      <c r="A26" s="1156"/>
      <c r="B26" s="221"/>
      <c r="C26" s="593" t="s">
        <v>1004</v>
      </c>
      <c r="D26" s="282" t="s">
        <v>1028</v>
      </c>
      <c r="E26" s="283">
        <v>1237.1134020618556</v>
      </c>
      <c r="F26" s="44">
        <f t="shared" si="9"/>
        <v>989.69072164948454</v>
      </c>
      <c r="G26" s="3">
        <f t="shared" si="0"/>
        <v>0</v>
      </c>
      <c r="H26" s="21">
        <f t="shared" si="1"/>
        <v>31.04659793814433</v>
      </c>
      <c r="I26" s="2">
        <f t="shared" si="2"/>
        <v>0</v>
      </c>
      <c r="J26" s="21">
        <f t="shared" si="3"/>
        <v>27.117525773195876</v>
      </c>
      <c r="K26" s="22">
        <f t="shared" si="4"/>
        <v>0</v>
      </c>
      <c r="L26" s="21">
        <f t="shared" si="5"/>
        <v>22.564948453608249</v>
      </c>
      <c r="M26" s="21">
        <f t="shared" si="6"/>
        <v>0</v>
      </c>
      <c r="N26" s="21">
        <f t="shared" si="7"/>
        <v>20.189690721649487</v>
      </c>
      <c r="O26" s="21">
        <f t="shared" si="8"/>
        <v>0</v>
      </c>
      <c r="P26" s="43">
        <f t="shared" si="10"/>
        <v>18.309278350515463</v>
      </c>
      <c r="Q26" s="43">
        <f t="shared" si="11"/>
        <v>0</v>
      </c>
      <c r="R26" s="740"/>
    </row>
    <row r="27" spans="1:18" s="156" customFormat="1" ht="26.25" thickBot="1">
      <c r="A27" s="1156"/>
      <c r="B27" s="221"/>
      <c r="C27" s="593" t="s">
        <v>1005</v>
      </c>
      <c r="D27" s="282" t="s">
        <v>1029</v>
      </c>
      <c r="E27" s="283">
        <v>1237.1134020618556</v>
      </c>
      <c r="F27" s="44">
        <f t="shared" si="9"/>
        <v>989.69072164948454</v>
      </c>
      <c r="G27" s="3">
        <f>F27*B27</f>
        <v>0</v>
      </c>
      <c r="H27" s="21">
        <f t="shared" si="1"/>
        <v>31.04659793814433</v>
      </c>
      <c r="I27" s="2">
        <f>H27*B27</f>
        <v>0</v>
      </c>
      <c r="J27" s="21">
        <f t="shared" si="3"/>
        <v>27.117525773195876</v>
      </c>
      <c r="K27" s="22">
        <f>J27*B27</f>
        <v>0</v>
      </c>
      <c r="L27" s="21">
        <f t="shared" si="5"/>
        <v>22.564948453608249</v>
      </c>
      <c r="M27" s="21">
        <f>L27*B27</f>
        <v>0</v>
      </c>
      <c r="N27" s="21">
        <f t="shared" si="7"/>
        <v>20.189690721649487</v>
      </c>
      <c r="O27" s="21">
        <f>N27*B27</f>
        <v>0</v>
      </c>
      <c r="P27" s="43">
        <f t="shared" si="10"/>
        <v>18.309278350515463</v>
      </c>
      <c r="Q27" s="43">
        <f t="shared" si="11"/>
        <v>0</v>
      </c>
      <c r="R27" s="740"/>
    </row>
    <row r="28" spans="1:18" s="151" customFormat="1" ht="13.5" thickBot="1">
      <c r="A28" s="1156"/>
      <c r="B28" s="221"/>
      <c r="C28" s="593" t="s">
        <v>648</v>
      </c>
      <c r="D28" s="282" t="s">
        <v>1030</v>
      </c>
      <c r="E28" s="283">
        <v>1025.7731958762886</v>
      </c>
      <c r="F28" s="44">
        <f t="shared" si="9"/>
        <v>820.61855670103091</v>
      </c>
      <c r="G28" s="3">
        <f>F28*B28</f>
        <v>0</v>
      </c>
      <c r="H28" s="21">
        <f t="shared" si="1"/>
        <v>25.742804123711341</v>
      </c>
      <c r="I28" s="2">
        <f>H28*B28</f>
        <v>0</v>
      </c>
      <c r="J28" s="21">
        <f t="shared" si="3"/>
        <v>22.484948453608247</v>
      </c>
      <c r="K28" s="22">
        <f>J28*B28</f>
        <v>0</v>
      </c>
      <c r="L28" s="21">
        <f t="shared" si="5"/>
        <v>18.710103092783505</v>
      </c>
      <c r="M28" s="21">
        <f>L28*B28</f>
        <v>0</v>
      </c>
      <c r="N28" s="21">
        <f t="shared" si="7"/>
        <v>16.740618556701033</v>
      </c>
      <c r="O28" s="21">
        <f>N28*B28</f>
        <v>0</v>
      </c>
      <c r="P28" s="43">
        <f t="shared" si="10"/>
        <v>15.181443298969072</v>
      </c>
      <c r="Q28" s="43">
        <f t="shared" si="11"/>
        <v>0</v>
      </c>
      <c r="R28" s="740"/>
    </row>
    <row r="29" spans="1:18" s="151" customFormat="1" ht="13.5" thickBot="1">
      <c r="A29" s="1156"/>
      <c r="B29" s="221"/>
      <c r="C29" s="593" t="s">
        <v>649</v>
      </c>
      <c r="D29" s="282" t="s">
        <v>1031</v>
      </c>
      <c r="E29" s="283">
        <v>1025.7731958762886</v>
      </c>
      <c r="F29" s="44">
        <f t="shared" si="9"/>
        <v>820.61855670103091</v>
      </c>
      <c r="G29" s="3">
        <f>F29*B29</f>
        <v>0</v>
      </c>
      <c r="H29" s="21">
        <f t="shared" si="1"/>
        <v>25.742804123711341</v>
      </c>
      <c r="I29" s="2">
        <f>H29*B29</f>
        <v>0</v>
      </c>
      <c r="J29" s="21">
        <f t="shared" si="3"/>
        <v>22.484948453608247</v>
      </c>
      <c r="K29" s="22">
        <f>J29*B29</f>
        <v>0</v>
      </c>
      <c r="L29" s="21">
        <f t="shared" si="5"/>
        <v>18.710103092783505</v>
      </c>
      <c r="M29" s="21">
        <f>L29*B29</f>
        <v>0</v>
      </c>
      <c r="N29" s="21">
        <f t="shared" si="7"/>
        <v>16.740618556701033</v>
      </c>
      <c r="O29" s="21">
        <f>N29*B29</f>
        <v>0</v>
      </c>
      <c r="P29" s="43">
        <f t="shared" si="10"/>
        <v>15.181443298969072</v>
      </c>
      <c r="Q29" s="43">
        <f t="shared" si="11"/>
        <v>0</v>
      </c>
      <c r="R29" s="740"/>
    </row>
    <row r="30" spans="1:18" s="151" customFormat="1" ht="12.6" customHeight="1" thickBot="1">
      <c r="A30" s="1156"/>
      <c r="B30" s="221"/>
      <c r="C30" s="593" t="s">
        <v>1021</v>
      </c>
      <c r="D30" s="282" t="s">
        <v>1032</v>
      </c>
      <c r="E30" s="283">
        <v>1025.7731958762886</v>
      </c>
      <c r="F30" s="44">
        <f t="shared" si="9"/>
        <v>820.61855670103091</v>
      </c>
      <c r="G30" s="3">
        <f>F30*B30</f>
        <v>0</v>
      </c>
      <c r="H30" s="21">
        <f t="shared" si="1"/>
        <v>25.742804123711341</v>
      </c>
      <c r="I30" s="2">
        <f>H30*B30</f>
        <v>0</v>
      </c>
      <c r="J30" s="21">
        <f t="shared" si="3"/>
        <v>22.484948453608247</v>
      </c>
      <c r="K30" s="22">
        <f>J30*B30</f>
        <v>0</v>
      </c>
      <c r="L30" s="21">
        <f t="shared" si="5"/>
        <v>18.710103092783505</v>
      </c>
      <c r="M30" s="21">
        <f>L30*B30</f>
        <v>0</v>
      </c>
      <c r="N30" s="21">
        <f t="shared" si="7"/>
        <v>16.740618556701033</v>
      </c>
      <c r="O30" s="21">
        <f>N30*B30</f>
        <v>0</v>
      </c>
      <c r="P30" s="43">
        <f t="shared" si="10"/>
        <v>15.181443298969072</v>
      </c>
      <c r="Q30" s="43">
        <f t="shared" si="11"/>
        <v>0</v>
      </c>
      <c r="R30" s="740"/>
    </row>
    <row r="31" spans="1:18" s="151" customFormat="1" ht="13.5" thickBot="1">
      <c r="A31" s="1156"/>
      <c r="B31" s="221"/>
      <c r="C31" s="593" t="s">
        <v>1006</v>
      </c>
      <c r="D31" s="282" t="s">
        <v>1033</v>
      </c>
      <c r="E31" s="283">
        <v>1025.7731958762886</v>
      </c>
      <c r="F31" s="44">
        <f t="shared" si="9"/>
        <v>820.61855670103091</v>
      </c>
      <c r="G31" s="3">
        <f t="shared" si="0"/>
        <v>0</v>
      </c>
      <c r="H31" s="21">
        <f t="shared" si="1"/>
        <v>25.742804123711341</v>
      </c>
      <c r="I31" s="2">
        <f t="shared" si="2"/>
        <v>0</v>
      </c>
      <c r="J31" s="21">
        <f t="shared" si="3"/>
        <v>22.484948453608247</v>
      </c>
      <c r="K31" s="22">
        <f t="shared" si="4"/>
        <v>0</v>
      </c>
      <c r="L31" s="21">
        <f t="shared" si="5"/>
        <v>18.710103092783505</v>
      </c>
      <c r="M31" s="21">
        <f t="shared" si="6"/>
        <v>0</v>
      </c>
      <c r="N31" s="21">
        <f t="shared" si="7"/>
        <v>16.740618556701033</v>
      </c>
      <c r="O31" s="21">
        <f t="shared" si="8"/>
        <v>0</v>
      </c>
      <c r="P31" s="43">
        <f t="shared" si="10"/>
        <v>15.181443298969072</v>
      </c>
      <c r="Q31" s="43">
        <f t="shared" si="11"/>
        <v>0</v>
      </c>
      <c r="R31" s="740"/>
    </row>
    <row r="32" spans="1:18" s="151" customFormat="1" ht="13.5" thickBot="1">
      <c r="A32" s="1227"/>
      <c r="B32" s="221"/>
      <c r="C32" s="593" t="s">
        <v>1007</v>
      </c>
      <c r="D32" s="282" t="s">
        <v>1034</v>
      </c>
      <c r="E32" s="283">
        <v>1025.7731958762886</v>
      </c>
      <c r="F32" s="44">
        <f t="shared" si="9"/>
        <v>820.61855670103091</v>
      </c>
      <c r="G32" s="3">
        <f t="shared" si="0"/>
        <v>0</v>
      </c>
      <c r="H32" s="21">
        <f t="shared" si="1"/>
        <v>25.742804123711341</v>
      </c>
      <c r="I32" s="2">
        <f t="shared" si="2"/>
        <v>0</v>
      </c>
      <c r="J32" s="21">
        <f t="shared" si="3"/>
        <v>22.484948453608247</v>
      </c>
      <c r="K32" s="22">
        <f t="shared" si="4"/>
        <v>0</v>
      </c>
      <c r="L32" s="21">
        <f t="shared" si="5"/>
        <v>18.710103092783505</v>
      </c>
      <c r="M32" s="21">
        <f t="shared" si="6"/>
        <v>0</v>
      </c>
      <c r="N32" s="21">
        <f t="shared" si="7"/>
        <v>16.740618556701033</v>
      </c>
      <c r="O32" s="21">
        <f t="shared" si="8"/>
        <v>0</v>
      </c>
      <c r="P32" s="43">
        <f t="shared" si="10"/>
        <v>15.181443298969072</v>
      </c>
      <c r="Q32" s="43">
        <f t="shared" si="11"/>
        <v>0</v>
      </c>
      <c r="R32" s="740"/>
    </row>
    <row r="33" spans="1:17" s="151" customFormat="1" ht="15">
      <c r="A33" s="156"/>
      <c r="B33" s="106"/>
      <c r="C33" s="106"/>
      <c r="D33" s="997" t="s">
        <v>183</v>
      </c>
      <c r="E33" s="998"/>
      <c r="F33" s="1274"/>
      <c r="G33" s="9">
        <f>SUM(G20:G32)+G17</f>
        <v>0</v>
      </c>
      <c r="H33" s="10" t="s">
        <v>185</v>
      </c>
      <c r="I33" s="9">
        <f>SUM(I20:I32)+I17</f>
        <v>0</v>
      </c>
      <c r="J33" s="10" t="s">
        <v>186</v>
      </c>
      <c r="K33" s="9">
        <f>SUM(K20:K32)+K17</f>
        <v>0</v>
      </c>
      <c r="L33" s="10" t="s">
        <v>187</v>
      </c>
      <c r="M33" s="9">
        <f>SUM(M20:M32)+M17</f>
        <v>0</v>
      </c>
      <c r="N33" s="10" t="s">
        <v>94</v>
      </c>
      <c r="O33" s="9">
        <f>SUM(O20:O32)+O17</f>
        <v>0</v>
      </c>
      <c r="P33" s="10" t="s">
        <v>826</v>
      </c>
      <c r="Q33" s="9">
        <f>SUM(Q20:Q32)+Q17</f>
        <v>0</v>
      </c>
    </row>
    <row r="34" spans="1:17" s="151" customFormat="1">
      <c r="A34" s="162"/>
      <c r="B34" s="104"/>
      <c r="C34" s="104"/>
      <c r="D34" s="162"/>
      <c r="E34" s="162"/>
      <c r="F34" s="24"/>
      <c r="G34" s="24"/>
      <c r="H34" s="26"/>
      <c r="I34" s="26"/>
      <c r="J34" s="26"/>
      <c r="K34" s="26"/>
      <c r="L34" s="26"/>
      <c r="M34" s="26"/>
      <c r="N34" s="26"/>
      <c r="O34" s="26"/>
      <c r="P34" s="26"/>
      <c r="Q34" s="26"/>
    </row>
    <row r="35" spans="1:17" s="151" customFormat="1" ht="15.75">
      <c r="A35" s="104"/>
      <c r="B35" s="271"/>
      <c r="C35" s="271"/>
      <c r="D35" s="272"/>
      <c r="E35" s="272"/>
      <c r="F35" s="25"/>
      <c r="G35" s="7"/>
      <c r="H35" s="8"/>
      <c r="I35" s="8"/>
      <c r="J35" s="8"/>
      <c r="K35" s="8"/>
      <c r="L35" s="8"/>
      <c r="M35" s="8"/>
      <c r="N35" s="8"/>
      <c r="O35" s="8"/>
      <c r="P35" s="8"/>
      <c r="Q35" s="8"/>
    </row>
    <row r="36" spans="1:17" s="156" customFormat="1">
      <c r="A36" s="104"/>
      <c r="B36" s="104"/>
      <c r="C36" s="104"/>
      <c r="D36" s="104"/>
      <c r="E36" s="104"/>
      <c r="F36" s="25"/>
      <c r="G36" s="7"/>
      <c r="H36" s="8"/>
      <c r="I36" s="8"/>
      <c r="J36" s="8"/>
      <c r="K36" s="8"/>
      <c r="L36" s="8"/>
      <c r="M36" s="8"/>
      <c r="N36" s="8"/>
      <c r="O36" s="8"/>
      <c r="P36" s="8"/>
      <c r="Q36" s="8"/>
    </row>
    <row r="37" spans="1:17" s="156" customFormat="1">
      <c r="A37" s="104"/>
      <c r="B37" s="104"/>
      <c r="C37" s="104"/>
      <c r="D37" s="104"/>
      <c r="E37" s="104"/>
      <c r="F37" s="7"/>
      <c r="G37" s="7"/>
      <c r="H37" s="8"/>
      <c r="I37" s="8"/>
      <c r="J37" s="8"/>
      <c r="K37" s="8"/>
      <c r="L37" s="8"/>
      <c r="M37" s="8"/>
      <c r="N37" s="8"/>
      <c r="O37" s="8"/>
      <c r="P37" s="8"/>
      <c r="Q37" s="8"/>
    </row>
    <row r="38" spans="1:17" s="274" customFormat="1" hidden="1">
      <c r="A38" s="104"/>
      <c r="B38" s="104"/>
      <c r="C38" s="104"/>
      <c r="D38" s="104"/>
      <c r="E38" s="104"/>
      <c r="F38" s="7"/>
      <c r="G38" s="7"/>
      <c r="H38" s="8"/>
      <c r="I38" s="8"/>
      <c r="J38" s="8"/>
      <c r="K38" s="8"/>
      <c r="L38" s="8"/>
      <c r="M38" s="8"/>
      <c r="N38" s="8"/>
      <c r="O38" s="8"/>
      <c r="P38" s="8"/>
      <c r="Q38" s="8"/>
    </row>
    <row r="39" spans="1:17" s="156" customFormat="1">
      <c r="A39" s="104"/>
      <c r="B39" s="104"/>
      <c r="C39" s="104"/>
      <c r="D39" s="104"/>
      <c r="E39" s="104"/>
      <c r="F39" s="165"/>
      <c r="G39" s="7"/>
      <c r="H39" s="104"/>
      <c r="I39" s="8"/>
      <c r="J39" s="104"/>
      <c r="K39" s="8"/>
      <c r="L39" s="665">
        <f>F39*0.0256</f>
        <v>0</v>
      </c>
      <c r="M39" s="8"/>
      <c r="N39" s="104"/>
      <c r="O39" s="8"/>
      <c r="P39" s="104"/>
      <c r="Q39" s="8"/>
    </row>
    <row r="40" spans="1:17" s="162" customFormat="1">
      <c r="A40" s="104"/>
      <c r="B40" s="104"/>
      <c r="C40" s="104"/>
      <c r="D40" s="104"/>
      <c r="E40" s="104"/>
      <c r="F40" s="165"/>
      <c r="G40" s="165"/>
      <c r="H40" s="104"/>
      <c r="I40" s="104"/>
      <c r="J40" s="104"/>
      <c r="K40" s="104"/>
      <c r="L40" s="104"/>
      <c r="M40" s="104"/>
      <c r="N40" s="104"/>
      <c r="O40" s="104"/>
      <c r="P40" s="104"/>
      <c r="Q40" s="104"/>
    </row>
    <row r="53" spans="2:3">
      <c r="B53" s="106"/>
      <c r="C53" s="106"/>
    </row>
  </sheetData>
  <mergeCells count="20">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FF0000"/>
  </sheetPr>
  <dimension ref="A1:P72"/>
  <sheetViews>
    <sheetView zoomScale="65" zoomScaleNormal="65" workbookViewId="0">
      <selection activeCell="H37" sqref="H37"/>
    </sheetView>
  </sheetViews>
  <sheetFormatPr defaultColWidth="8.85546875" defaultRowHeight="12.75"/>
  <cols>
    <col min="1" max="1" width="15" style="378" customWidth="1"/>
    <col min="2" max="2" width="10" style="378" customWidth="1"/>
    <col min="3" max="3" width="16.5703125" style="378" customWidth="1"/>
    <col min="4" max="4" width="44.42578125" style="378" customWidth="1"/>
    <col min="5" max="5" width="17.42578125" style="378" customWidth="1"/>
    <col min="6" max="6" width="15.5703125" style="455" customWidth="1"/>
    <col min="7" max="7" width="23.42578125" style="455" customWidth="1"/>
    <col min="8" max="8" width="28.28515625" style="378" bestFit="1" customWidth="1"/>
    <col min="9" max="9" width="19" style="378" customWidth="1"/>
    <col min="10" max="10" width="25" style="378" bestFit="1" customWidth="1"/>
    <col min="11" max="11" width="19" style="378" customWidth="1"/>
    <col min="12" max="12" width="25" style="378" bestFit="1" customWidth="1"/>
    <col min="13" max="13" width="18.42578125" style="378" customWidth="1"/>
    <col min="14" max="14" width="25" style="378" bestFit="1" customWidth="1"/>
    <col min="15" max="15" width="19.28515625" style="378" customWidth="1"/>
    <col min="16" max="16384" width="8.85546875" style="378"/>
  </cols>
  <sheetData>
    <row r="1" spans="1:16" ht="13.5" thickBot="1">
      <c r="B1" s="379"/>
      <c r="C1" s="379"/>
      <c r="D1" s="380"/>
      <c r="E1" s="380"/>
      <c r="F1" s="381"/>
      <c r="G1" s="381"/>
      <c r="H1" s="381"/>
      <c r="I1" s="381"/>
      <c r="J1" s="381"/>
      <c r="K1" s="380"/>
      <c r="L1" s="381"/>
    </row>
    <row r="2" spans="1:16" ht="9" customHeight="1">
      <c r="A2" s="382"/>
      <c r="B2" s="383"/>
      <c r="C2" s="383"/>
      <c r="D2" s="384"/>
      <c r="E2" s="384"/>
      <c r="F2" s="385"/>
      <c r="G2" s="385"/>
      <c r="H2" s="385"/>
      <c r="I2" s="386"/>
      <c r="J2" s="386"/>
      <c r="K2" s="386"/>
      <c r="L2" s="386"/>
      <c r="M2" s="382"/>
      <c r="N2" s="382"/>
      <c r="O2" s="382"/>
    </row>
    <row r="3" spans="1:16" ht="10.5" customHeight="1">
      <c r="B3" s="379"/>
      <c r="C3" s="379"/>
      <c r="D3" s="380"/>
      <c r="E3" s="380"/>
      <c r="F3" s="381"/>
      <c r="G3" s="381"/>
      <c r="H3" s="381"/>
      <c r="I3" s="387"/>
      <c r="J3" s="387"/>
      <c r="K3" s="387"/>
      <c r="L3" s="387"/>
    </row>
    <row r="4" spans="1:16" ht="36" customHeight="1">
      <c r="A4" s="1141" t="s">
        <v>600</v>
      </c>
      <c r="B4" s="1023"/>
      <c r="C4" s="1023"/>
      <c r="D4" s="1023"/>
      <c r="E4" s="1023"/>
      <c r="F4" s="1023"/>
      <c r="G4" s="1023"/>
      <c r="H4" s="1023"/>
      <c r="I4" s="1023"/>
      <c r="J4" s="1023"/>
      <c r="K4" s="1023"/>
      <c r="L4" s="1023"/>
      <c r="M4" s="1023"/>
      <c r="N4" s="1023"/>
      <c r="O4" s="1023"/>
    </row>
    <row r="5" spans="1:16" s="388" customFormat="1" ht="41.25" customHeight="1">
      <c r="A5" s="1196" t="s">
        <v>657</v>
      </c>
      <c r="B5" s="1025"/>
      <c r="C5" s="1025"/>
      <c r="D5" s="1025"/>
      <c r="E5" s="1025"/>
      <c r="F5" s="1025"/>
      <c r="G5" s="1025"/>
      <c r="H5" s="1025"/>
      <c r="I5" s="1025"/>
      <c r="J5" s="1025"/>
      <c r="K5" s="1025"/>
      <c r="L5" s="1025"/>
      <c r="M5" s="1025"/>
      <c r="N5" s="1025"/>
      <c r="O5" s="1025"/>
    </row>
    <row r="6" spans="1:16" ht="9" customHeight="1" thickBot="1">
      <c r="A6" s="389"/>
      <c r="B6" s="389"/>
      <c r="C6" s="389"/>
      <c r="D6" s="389"/>
      <c r="E6" s="389"/>
      <c r="F6" s="389"/>
      <c r="G6" s="389"/>
      <c r="H6" s="389"/>
      <c r="I6" s="389"/>
      <c r="J6" s="389"/>
      <c r="K6" s="389"/>
      <c r="L6" s="716"/>
      <c r="M6" s="389"/>
      <c r="N6" s="389"/>
      <c r="O6" s="389"/>
    </row>
    <row r="7" spans="1:16" s="387" customFormat="1" ht="14.25">
      <c r="B7" s="390"/>
      <c r="C7" s="390"/>
      <c r="D7" s="391"/>
      <c r="E7" s="391"/>
      <c r="F7" s="391"/>
      <c r="G7" s="391"/>
      <c r="H7" s="391"/>
      <c r="I7" s="391"/>
      <c r="J7" s="391"/>
      <c r="K7" s="391"/>
      <c r="L7" s="391"/>
      <c r="M7" s="391"/>
      <c r="N7" s="391"/>
      <c r="O7" s="391"/>
      <c r="P7" s="391"/>
    </row>
    <row r="8" spans="1:16" s="387" customFormat="1" ht="14.25">
      <c r="F8" s="616"/>
      <c r="G8" s="616"/>
      <c r="H8" s="1026" t="s">
        <v>3</v>
      </c>
      <c r="I8" s="1026"/>
      <c r="J8" s="1026"/>
      <c r="K8" s="717"/>
    </row>
    <row r="9" spans="1:16" s="387" customFormat="1" ht="14.25">
      <c r="H9" s="397" t="s">
        <v>171</v>
      </c>
      <c r="I9" s="387" t="s">
        <v>658</v>
      </c>
      <c r="J9" s="404"/>
      <c r="L9" s="404"/>
    </row>
    <row r="10" spans="1:16" s="387" customFormat="1">
      <c r="H10" s="392" t="s">
        <v>230</v>
      </c>
      <c r="I10" s="404" t="s">
        <v>659</v>
      </c>
      <c r="J10" s="404"/>
      <c r="L10" s="404"/>
    </row>
    <row r="11" spans="1:16" s="387" customFormat="1">
      <c r="F11" s="616"/>
      <c r="G11" s="616"/>
      <c r="H11" s="392" t="s">
        <v>9</v>
      </c>
      <c r="I11" s="387" t="s">
        <v>601</v>
      </c>
      <c r="J11" s="404"/>
      <c r="L11" s="404"/>
    </row>
    <row r="12" spans="1:16" s="387" customFormat="1">
      <c r="B12" s="718"/>
      <c r="C12" s="718"/>
      <c r="F12" s="616"/>
      <c r="G12" s="616"/>
      <c r="H12" s="392" t="s">
        <v>10</v>
      </c>
      <c r="I12" s="387" t="s">
        <v>128</v>
      </c>
      <c r="J12" s="404"/>
      <c r="L12" s="404"/>
    </row>
    <row r="13" spans="1:16" s="387" customFormat="1">
      <c r="F13" s="424"/>
      <c r="G13" s="424"/>
      <c r="H13" s="392" t="s">
        <v>11</v>
      </c>
      <c r="I13" s="387" t="s">
        <v>603</v>
      </c>
      <c r="J13" s="404"/>
      <c r="L13" s="404"/>
    </row>
    <row r="14" spans="1:16" s="387" customFormat="1">
      <c r="F14" s="616"/>
      <c r="G14" s="616"/>
      <c r="H14" s="392" t="s">
        <v>12</v>
      </c>
      <c r="I14" s="387" t="s">
        <v>602</v>
      </c>
      <c r="J14" s="404"/>
      <c r="L14" s="404"/>
    </row>
    <row r="15" spans="1:16" s="387" customFormat="1">
      <c r="H15" s="392" t="s">
        <v>16</v>
      </c>
      <c r="I15" s="387" t="s">
        <v>660</v>
      </c>
    </row>
    <row r="16" spans="1:16" s="387" customFormat="1">
      <c r="H16" s="392" t="s">
        <v>18</v>
      </c>
      <c r="I16" s="404" t="s">
        <v>661</v>
      </c>
    </row>
    <row r="17" spans="1:15" s="387" customFormat="1" ht="14.25">
      <c r="D17" s="1027"/>
      <c r="E17" s="399"/>
      <c r="H17" s="392" t="s">
        <v>19</v>
      </c>
      <c r="I17" s="387" t="s">
        <v>662</v>
      </c>
    </row>
    <row r="18" spans="1:15" s="387" customFormat="1" ht="14.25">
      <c r="D18" s="1027"/>
      <c r="E18" s="399"/>
      <c r="H18" s="392" t="s">
        <v>20</v>
      </c>
      <c r="I18" s="387" t="s">
        <v>665</v>
      </c>
    </row>
    <row r="19" spans="1:15" s="387" customFormat="1">
      <c r="F19" s="616"/>
      <c r="G19" s="616"/>
      <c r="H19" s="392" t="s">
        <v>21</v>
      </c>
      <c r="I19" s="387" t="s">
        <v>663</v>
      </c>
    </row>
    <row r="20" spans="1:15" s="387" customFormat="1">
      <c r="F20" s="616"/>
      <c r="G20" s="616"/>
      <c r="H20" s="392" t="s">
        <v>22</v>
      </c>
      <c r="I20" s="387" t="s">
        <v>664</v>
      </c>
      <c r="J20" s="404"/>
      <c r="L20" s="404"/>
    </row>
    <row r="21" spans="1:15" s="387" customFormat="1" ht="12" customHeight="1" thickBot="1">
      <c r="F21" s="616"/>
      <c r="G21" s="616"/>
      <c r="H21" s="392"/>
      <c r="I21" s="404"/>
      <c r="J21" s="404"/>
      <c r="L21" s="404"/>
    </row>
    <row r="22" spans="1:15" s="387" customFormat="1" ht="18">
      <c r="A22" s="1299" t="s">
        <v>23</v>
      </c>
      <c r="B22" s="1300"/>
      <c r="C22" s="1300"/>
      <c r="D22" s="1300"/>
      <c r="E22" s="1300"/>
      <c r="F22" s="1300"/>
      <c r="G22" s="1300"/>
      <c r="H22" s="1300"/>
      <c r="I22" s="1300"/>
      <c r="J22" s="1300"/>
      <c r="K22" s="1300"/>
      <c r="L22" s="1300"/>
      <c r="M22" s="1300"/>
      <c r="N22" s="1300"/>
      <c r="O22" s="1102"/>
    </row>
    <row r="23" spans="1:15" s="387" customFormat="1" ht="18" customHeight="1">
      <c r="A23" s="1291" t="s">
        <v>529</v>
      </c>
      <c r="B23" s="1292"/>
      <c r="C23" s="1292"/>
      <c r="D23" s="1292"/>
      <c r="E23" s="1292"/>
      <c r="F23" s="1292"/>
      <c r="G23" s="1292"/>
      <c r="H23" s="1292"/>
      <c r="I23" s="1292"/>
      <c r="J23" s="1292"/>
      <c r="K23" s="1292"/>
      <c r="L23" s="1292"/>
      <c r="M23" s="1292"/>
      <c r="N23" s="1292"/>
      <c r="O23" s="1032"/>
    </row>
    <row r="24" spans="1:15" s="387" customFormat="1" ht="18" customHeight="1">
      <c r="A24" s="1293" t="s">
        <v>91</v>
      </c>
      <c r="B24" s="1023"/>
      <c r="C24" s="1023"/>
      <c r="D24" s="1023"/>
      <c r="E24" s="1023"/>
      <c r="F24" s="1023"/>
      <c r="G24" s="1023"/>
      <c r="H24" s="1023"/>
      <c r="I24" s="1294">
        <v>4385</v>
      </c>
      <c r="J24" s="1023"/>
      <c r="K24" s="1023"/>
      <c r="L24" s="1023"/>
      <c r="M24" s="1023"/>
      <c r="N24" s="1023"/>
      <c r="O24" s="1032"/>
    </row>
    <row r="25" spans="1:15" s="387" customFormat="1" ht="18" customHeight="1">
      <c r="A25" s="1293" t="s">
        <v>494</v>
      </c>
      <c r="B25" s="1292"/>
      <c r="C25" s="1292"/>
      <c r="D25" s="1292"/>
      <c r="E25" s="1292"/>
      <c r="F25" s="1292"/>
      <c r="G25" s="1292"/>
      <c r="H25" s="1292"/>
      <c r="I25" s="1295" t="s">
        <v>525</v>
      </c>
      <c r="J25" s="1295"/>
      <c r="K25" s="1295"/>
      <c r="L25" s="1295"/>
      <c r="M25" s="1295"/>
      <c r="N25" s="1295"/>
      <c r="O25" s="1111"/>
    </row>
    <row r="26" spans="1:15" s="387" customFormat="1" ht="18" customHeight="1">
      <c r="A26" s="1293" t="s">
        <v>62</v>
      </c>
      <c r="B26" s="1292"/>
      <c r="C26" s="1292"/>
      <c r="D26" s="1292"/>
      <c r="E26" s="1292"/>
      <c r="F26" s="1292"/>
      <c r="G26" s="1292"/>
      <c r="H26" s="1292"/>
      <c r="I26" s="1295" t="s">
        <v>526</v>
      </c>
      <c r="J26" s="1295"/>
      <c r="K26" s="1295"/>
      <c r="L26" s="1295"/>
      <c r="M26" s="1295"/>
      <c r="N26" s="1295"/>
      <c r="O26" s="1111"/>
    </row>
    <row r="27" spans="1:15" s="387" customFormat="1" ht="18" customHeight="1">
      <c r="A27" s="1296" t="s">
        <v>495</v>
      </c>
      <c r="B27" s="1023"/>
      <c r="C27" s="1023"/>
      <c r="D27" s="1023"/>
      <c r="E27" s="1023"/>
      <c r="F27" s="1023"/>
      <c r="G27" s="1023"/>
      <c r="H27" s="1023"/>
      <c r="I27" s="1295" t="s">
        <v>528</v>
      </c>
      <c r="J27" s="1023"/>
      <c r="K27" s="1023"/>
      <c r="L27" s="1023"/>
      <c r="M27" s="1023"/>
      <c r="N27" s="1023"/>
      <c r="O27" s="1032"/>
    </row>
    <row r="28" spans="1:15" s="387" customFormat="1" ht="18" customHeight="1">
      <c r="A28" s="1296" t="s">
        <v>63</v>
      </c>
      <c r="B28" s="1023"/>
      <c r="C28" s="1023"/>
      <c r="D28" s="1023"/>
      <c r="E28" s="1023"/>
      <c r="F28" s="1023"/>
      <c r="G28" s="1023"/>
      <c r="H28" s="1023"/>
      <c r="I28" s="1295" t="s">
        <v>527</v>
      </c>
      <c r="J28" s="1023"/>
      <c r="K28" s="1023"/>
      <c r="L28" s="1023"/>
      <c r="M28" s="1023"/>
      <c r="N28" s="1023"/>
      <c r="O28" s="1032"/>
    </row>
    <row r="29" spans="1:15" s="387" customFormat="1" ht="18" customHeight="1" thickBot="1">
      <c r="A29" s="1297" t="s">
        <v>92</v>
      </c>
      <c r="B29" s="1298"/>
      <c r="C29" s="1298"/>
      <c r="D29" s="1298"/>
      <c r="E29" s="1298"/>
      <c r="F29" s="1298"/>
      <c r="G29" s="1298"/>
      <c r="H29" s="1298"/>
      <c r="I29" s="1298"/>
      <c r="J29" s="1298"/>
      <c r="K29" s="1298"/>
      <c r="L29" s="1298"/>
      <c r="M29" s="1298"/>
      <c r="N29" s="1298"/>
      <c r="O29" s="1038"/>
    </row>
    <row r="30" spans="1:15" s="387" customFormat="1" ht="15" thickBot="1">
      <c r="D30" s="399"/>
      <c r="E30" s="399"/>
      <c r="F30" s="405"/>
      <c r="G30" s="405"/>
      <c r="I30" s="410"/>
      <c r="J30" s="410"/>
      <c r="K30" s="410"/>
      <c r="L30" s="410"/>
    </row>
    <row r="31" spans="1:15" s="387" customFormat="1" ht="13.5" thickBot="1">
      <c r="F31" s="1040" t="s">
        <v>167</v>
      </c>
      <c r="G31" s="1041"/>
      <c r="H31" s="1042" t="s">
        <v>168</v>
      </c>
      <c r="I31" s="1044"/>
      <c r="J31" s="1044"/>
      <c r="K31" s="1044"/>
      <c r="L31" s="1044"/>
      <c r="M31" s="1044"/>
      <c r="N31" s="1044"/>
      <c r="O31" s="1045"/>
    </row>
    <row r="32" spans="1:15" s="387" customFormat="1" ht="57.75" customHeight="1" thickBot="1">
      <c r="A32" s="254" t="s">
        <v>122</v>
      </c>
      <c r="B32" s="254" t="s">
        <v>169</v>
      </c>
      <c r="C32" s="255" t="s">
        <v>170</v>
      </c>
      <c r="D32" s="255" t="s">
        <v>171</v>
      </c>
      <c r="E32" s="255" t="s">
        <v>172</v>
      </c>
      <c r="F32" s="255" t="s">
        <v>173</v>
      </c>
      <c r="G32" s="254" t="s">
        <v>174</v>
      </c>
      <c r="H32" s="255" t="s">
        <v>176</v>
      </c>
      <c r="I32" s="254" t="s">
        <v>174</v>
      </c>
      <c r="J32" s="255" t="s">
        <v>177</v>
      </c>
      <c r="K32" s="254" t="s">
        <v>174</v>
      </c>
      <c r="L32" s="255" t="s">
        <v>178</v>
      </c>
      <c r="M32" s="254" t="s">
        <v>174</v>
      </c>
      <c r="N32" s="255" t="s">
        <v>157</v>
      </c>
      <c r="O32" s="254" t="s">
        <v>174</v>
      </c>
    </row>
    <row r="33" spans="1:15" s="387" customFormat="1" ht="13.5" thickBot="1">
      <c r="A33" s="1287" t="s">
        <v>530</v>
      </c>
      <c r="B33" s="1288"/>
      <c r="C33" s="719" t="s">
        <v>624</v>
      </c>
      <c r="D33" s="281" t="s">
        <v>600</v>
      </c>
      <c r="E33" s="260">
        <v>57810</v>
      </c>
      <c r="F33" s="720">
        <f>SUM(E33:E34)*(1-28.95%)</f>
        <v>41258.0245</v>
      </c>
      <c r="G33" s="51">
        <f>F33*B33</f>
        <v>0</v>
      </c>
      <c r="H33" s="720">
        <f>F33*0.0325+I24/12</f>
        <v>1706.3024629166669</v>
      </c>
      <c r="I33" s="51">
        <f>H33*B33</f>
        <v>0</v>
      </c>
      <c r="J33" s="720">
        <f>F33*0.0254+I24/12</f>
        <v>1413.3704889666667</v>
      </c>
      <c r="K33" s="51">
        <f>J33*B33</f>
        <v>0</v>
      </c>
      <c r="L33" s="51">
        <f>F33*0.0211+I24/12</f>
        <v>1235.9609836166667</v>
      </c>
      <c r="M33" s="51">
        <f>L33*B33</f>
        <v>0</v>
      </c>
      <c r="N33" s="51">
        <f>F33*0.0185+I24/12</f>
        <v>1128.6901199166666</v>
      </c>
      <c r="O33" s="51">
        <f>N33*B33</f>
        <v>0</v>
      </c>
    </row>
    <row r="34" spans="1:15" s="387" customFormat="1" ht="12.6" customHeight="1" thickBot="1">
      <c r="A34" s="1287"/>
      <c r="B34" s="1288"/>
      <c r="C34" s="721" t="s">
        <v>104</v>
      </c>
      <c r="D34" s="267" t="s">
        <v>180</v>
      </c>
      <c r="E34" s="722">
        <v>259</v>
      </c>
      <c r="F34" s="723" t="s">
        <v>162</v>
      </c>
      <c r="G34" s="724"/>
      <c r="H34" s="723" t="s">
        <v>162</v>
      </c>
      <c r="I34" s="724"/>
      <c r="J34" s="723" t="s">
        <v>162</v>
      </c>
      <c r="K34" s="724"/>
      <c r="L34" s="723" t="s">
        <v>162</v>
      </c>
      <c r="M34" s="724"/>
      <c r="N34" s="723" t="s">
        <v>162</v>
      </c>
      <c r="O34" s="725"/>
    </row>
    <row r="35" spans="1:15" s="266" customFormat="1" ht="15.75" customHeight="1" thickBot="1">
      <c r="A35" s="1054" t="s">
        <v>498</v>
      </c>
      <c r="B35" s="1044"/>
      <c r="C35" s="1044"/>
      <c r="D35" s="1044"/>
      <c r="E35" s="1044"/>
      <c r="F35" s="1044"/>
      <c r="G35" s="1044"/>
      <c r="H35" s="1044"/>
      <c r="I35" s="1044"/>
      <c r="J35" s="1044"/>
      <c r="K35" s="1044"/>
      <c r="L35" s="1044"/>
      <c r="M35" s="1044"/>
      <c r="N35" s="1044"/>
      <c r="O35" s="1045"/>
    </row>
    <row r="36" spans="1:15" s="266" customFormat="1" ht="13.5" thickBot="1">
      <c r="A36" s="1289"/>
      <c r="B36" s="548"/>
      <c r="C36" s="726" t="s">
        <v>641</v>
      </c>
      <c r="D36" s="727" t="s">
        <v>625</v>
      </c>
      <c r="E36" s="728">
        <v>19495</v>
      </c>
      <c r="F36" s="59">
        <v>1396.5</v>
      </c>
      <c r="G36" s="62">
        <f t="shared" ref="G36:G50" si="0">F36*B36</f>
        <v>0</v>
      </c>
      <c r="H36" s="60">
        <f t="shared" ref="H36:H50" si="1">F36*0.0325</f>
        <v>45.386250000000004</v>
      </c>
      <c r="I36" s="61">
        <f t="shared" ref="I36:I50" si="2">H36*B36</f>
        <v>0</v>
      </c>
      <c r="J36" s="60">
        <f t="shared" ref="J36:J50" si="3">F36*0.0254</f>
        <v>35.4711</v>
      </c>
      <c r="K36" s="61">
        <f t="shared" ref="K36:K50" si="4">J36*B36</f>
        <v>0</v>
      </c>
      <c r="L36" s="60">
        <f t="shared" ref="L36:L50" si="5">F36*0.0211</f>
        <v>29.466150000000003</v>
      </c>
      <c r="M36" s="60">
        <f t="shared" ref="M36:M50" si="6">L36*B36</f>
        <v>0</v>
      </c>
      <c r="N36" s="60">
        <f t="shared" ref="N36:N50" si="7">F36*0.0185</f>
        <v>25.835249999999998</v>
      </c>
      <c r="O36" s="60">
        <f t="shared" ref="O36:O50" si="8">N36*B36</f>
        <v>0</v>
      </c>
    </row>
    <row r="37" spans="1:15" s="266" customFormat="1" ht="13.5" thickBot="1">
      <c r="A37" s="1289"/>
      <c r="B37" s="548"/>
      <c r="C37" s="726" t="s">
        <v>642</v>
      </c>
      <c r="D37" s="727" t="s">
        <v>626</v>
      </c>
      <c r="E37" s="728">
        <v>1500</v>
      </c>
      <c r="F37" s="59">
        <v>157.5</v>
      </c>
      <c r="G37" s="62">
        <f t="shared" si="0"/>
        <v>0</v>
      </c>
      <c r="H37" s="60">
        <f t="shared" si="1"/>
        <v>5.1187500000000004</v>
      </c>
      <c r="I37" s="61">
        <f t="shared" si="2"/>
        <v>0</v>
      </c>
      <c r="J37" s="60">
        <f t="shared" si="3"/>
        <v>4.0004999999999997</v>
      </c>
      <c r="K37" s="61">
        <f t="shared" si="4"/>
        <v>0</v>
      </c>
      <c r="L37" s="60">
        <f t="shared" si="5"/>
        <v>3.3232500000000003</v>
      </c>
      <c r="M37" s="60">
        <f t="shared" si="6"/>
        <v>0</v>
      </c>
      <c r="N37" s="60">
        <f t="shared" si="7"/>
        <v>2.9137499999999998</v>
      </c>
      <c r="O37" s="60">
        <f t="shared" si="8"/>
        <v>0</v>
      </c>
    </row>
    <row r="38" spans="1:15" s="266" customFormat="1" ht="13.5" thickBot="1">
      <c r="A38" s="1289"/>
      <c r="B38" s="548"/>
      <c r="C38" s="726" t="s">
        <v>643</v>
      </c>
      <c r="D38" s="727" t="s">
        <v>627</v>
      </c>
      <c r="E38" s="728">
        <v>4000</v>
      </c>
      <c r="F38" s="59">
        <v>36.4</v>
      </c>
      <c r="G38" s="62">
        <f t="shared" si="0"/>
        <v>0</v>
      </c>
      <c r="H38" s="60">
        <f t="shared" si="1"/>
        <v>1.1830000000000001</v>
      </c>
      <c r="I38" s="61">
        <f t="shared" si="2"/>
        <v>0</v>
      </c>
      <c r="J38" s="60">
        <f t="shared" si="3"/>
        <v>0.92455999999999994</v>
      </c>
      <c r="K38" s="61">
        <f t="shared" si="4"/>
        <v>0</v>
      </c>
      <c r="L38" s="60">
        <f t="shared" si="5"/>
        <v>0.76803999999999994</v>
      </c>
      <c r="M38" s="60">
        <f t="shared" si="6"/>
        <v>0</v>
      </c>
      <c r="N38" s="60">
        <f t="shared" si="7"/>
        <v>0.67339999999999989</v>
      </c>
      <c r="O38" s="60">
        <f t="shared" si="8"/>
        <v>0</v>
      </c>
    </row>
    <row r="39" spans="1:15" s="266" customFormat="1" ht="13.5" thickBot="1">
      <c r="A39" s="1289"/>
      <c r="B39" s="548"/>
      <c r="C39" s="726" t="s">
        <v>644</v>
      </c>
      <c r="D39" s="727" t="s">
        <v>628</v>
      </c>
      <c r="E39" s="728">
        <v>3300</v>
      </c>
      <c r="F39" s="59">
        <v>1312.5</v>
      </c>
      <c r="G39" s="62">
        <f t="shared" si="0"/>
        <v>0</v>
      </c>
      <c r="H39" s="60">
        <f t="shared" si="1"/>
        <v>42.65625</v>
      </c>
      <c r="I39" s="61">
        <f t="shared" si="2"/>
        <v>0</v>
      </c>
      <c r="J39" s="60">
        <f t="shared" si="3"/>
        <v>33.337499999999999</v>
      </c>
      <c r="K39" s="61">
        <f t="shared" si="4"/>
        <v>0</v>
      </c>
      <c r="L39" s="60">
        <f t="shared" si="5"/>
        <v>27.693750000000001</v>
      </c>
      <c r="M39" s="60">
        <f t="shared" si="6"/>
        <v>0</v>
      </c>
      <c r="N39" s="60">
        <f t="shared" si="7"/>
        <v>24.28125</v>
      </c>
      <c r="O39" s="60">
        <f t="shared" si="8"/>
        <v>0</v>
      </c>
    </row>
    <row r="40" spans="1:15" s="266" customFormat="1" ht="13.5" thickBot="1">
      <c r="A40" s="1289"/>
      <c r="B40" s="548"/>
      <c r="C40" s="726" t="s">
        <v>645</v>
      </c>
      <c r="D40" s="727" t="s">
        <v>629</v>
      </c>
      <c r="E40" s="728">
        <v>36000</v>
      </c>
      <c r="F40" s="59">
        <v>36.4</v>
      </c>
      <c r="G40" s="62">
        <f>F40*B40</f>
        <v>0</v>
      </c>
      <c r="H40" s="60">
        <f>F40*0.0325</f>
        <v>1.1830000000000001</v>
      </c>
      <c r="I40" s="61">
        <f>H40*B40</f>
        <v>0</v>
      </c>
      <c r="J40" s="60">
        <f>F40*0.0254</f>
        <v>0.92455999999999994</v>
      </c>
      <c r="K40" s="61">
        <f>J40*B40</f>
        <v>0</v>
      </c>
      <c r="L40" s="60">
        <f>F40*0.0211</f>
        <v>0.76803999999999994</v>
      </c>
      <c r="M40" s="60">
        <f>L40*B40</f>
        <v>0</v>
      </c>
      <c r="N40" s="60">
        <f>F40*0.0185</f>
        <v>0.67339999999999989</v>
      </c>
      <c r="O40" s="60">
        <f>N40*B40</f>
        <v>0</v>
      </c>
    </row>
    <row r="41" spans="1:15" s="266" customFormat="1" ht="13.5" thickBot="1">
      <c r="A41" s="1289"/>
      <c r="B41" s="548"/>
      <c r="C41" s="726" t="s">
        <v>646</v>
      </c>
      <c r="D41" s="727" t="s">
        <v>630</v>
      </c>
      <c r="E41" s="728">
        <v>1400</v>
      </c>
      <c r="F41" s="59">
        <v>1312.5</v>
      </c>
      <c r="G41" s="62">
        <f>F41*B41</f>
        <v>0</v>
      </c>
      <c r="H41" s="60">
        <f>F41*0.0325</f>
        <v>42.65625</v>
      </c>
      <c r="I41" s="61">
        <f>H41*B41</f>
        <v>0</v>
      </c>
      <c r="J41" s="60">
        <f>F41*0.0254</f>
        <v>33.337499999999999</v>
      </c>
      <c r="K41" s="61">
        <f>J41*B41</f>
        <v>0</v>
      </c>
      <c r="L41" s="60">
        <f>F41*0.0211</f>
        <v>27.693750000000001</v>
      </c>
      <c r="M41" s="60">
        <f>L41*B41</f>
        <v>0</v>
      </c>
      <c r="N41" s="60">
        <f>F41*0.0185</f>
        <v>24.28125</v>
      </c>
      <c r="O41" s="60">
        <f>N41*B41</f>
        <v>0</v>
      </c>
    </row>
    <row r="42" spans="1:15" s="729" customFormat="1" ht="13.5" thickBot="1">
      <c r="A42" s="1289"/>
      <c r="B42" s="548"/>
      <c r="C42" s="726" t="s">
        <v>647</v>
      </c>
      <c r="D42" s="727" t="s">
        <v>631</v>
      </c>
      <c r="E42" s="728">
        <v>2600</v>
      </c>
      <c r="F42" s="59">
        <v>36.4</v>
      </c>
      <c r="G42" s="62">
        <f t="shared" si="0"/>
        <v>0</v>
      </c>
      <c r="H42" s="60">
        <f t="shared" si="1"/>
        <v>1.1830000000000001</v>
      </c>
      <c r="I42" s="61">
        <f t="shared" si="2"/>
        <v>0</v>
      </c>
      <c r="J42" s="60">
        <f t="shared" si="3"/>
        <v>0.92455999999999994</v>
      </c>
      <c r="K42" s="61">
        <f t="shared" si="4"/>
        <v>0</v>
      </c>
      <c r="L42" s="60">
        <f t="shared" si="5"/>
        <v>0.76803999999999994</v>
      </c>
      <c r="M42" s="60">
        <f t="shared" si="6"/>
        <v>0</v>
      </c>
      <c r="N42" s="60">
        <f t="shared" si="7"/>
        <v>0.67339999999999989</v>
      </c>
      <c r="O42" s="60">
        <f t="shared" si="8"/>
        <v>0</v>
      </c>
    </row>
    <row r="43" spans="1:15" s="413" customFormat="1" ht="13.5" thickBot="1">
      <c r="A43" s="1289"/>
      <c r="B43" s="548"/>
      <c r="C43" s="726" t="s">
        <v>648</v>
      </c>
      <c r="D43" s="727" t="s">
        <v>632</v>
      </c>
      <c r="E43" s="728">
        <v>995</v>
      </c>
      <c r="F43" s="59">
        <v>52.5</v>
      </c>
      <c r="G43" s="62">
        <f t="shared" si="0"/>
        <v>0</v>
      </c>
      <c r="H43" s="60">
        <f t="shared" si="1"/>
        <v>1.70625</v>
      </c>
      <c r="I43" s="61">
        <f t="shared" si="2"/>
        <v>0</v>
      </c>
      <c r="J43" s="60">
        <f t="shared" si="3"/>
        <v>1.3334999999999999</v>
      </c>
      <c r="K43" s="61">
        <f t="shared" si="4"/>
        <v>0</v>
      </c>
      <c r="L43" s="60">
        <f t="shared" si="5"/>
        <v>1.10775</v>
      </c>
      <c r="M43" s="60">
        <f t="shared" si="6"/>
        <v>0</v>
      </c>
      <c r="N43" s="60">
        <f t="shared" si="7"/>
        <v>0.97124999999999995</v>
      </c>
      <c r="O43" s="60">
        <f t="shared" si="8"/>
        <v>0</v>
      </c>
    </row>
    <row r="44" spans="1:15" s="266" customFormat="1" ht="13.5" thickBot="1">
      <c r="A44" s="1289"/>
      <c r="B44" s="548"/>
      <c r="C44" s="726" t="s">
        <v>649</v>
      </c>
      <c r="D44" s="727" t="s">
        <v>633</v>
      </c>
      <c r="E44" s="728">
        <v>995</v>
      </c>
      <c r="F44" s="59">
        <v>101.5</v>
      </c>
      <c r="G44" s="62">
        <f t="shared" si="0"/>
        <v>0</v>
      </c>
      <c r="H44" s="60">
        <f t="shared" si="1"/>
        <v>3.2987500000000001</v>
      </c>
      <c r="I44" s="61">
        <f t="shared" si="2"/>
        <v>0</v>
      </c>
      <c r="J44" s="60">
        <f t="shared" si="3"/>
        <v>2.5781000000000001</v>
      </c>
      <c r="K44" s="61">
        <f t="shared" si="4"/>
        <v>0</v>
      </c>
      <c r="L44" s="60">
        <f t="shared" si="5"/>
        <v>2.1416500000000003</v>
      </c>
      <c r="M44" s="60">
        <f t="shared" si="6"/>
        <v>0</v>
      </c>
      <c r="N44" s="60">
        <f t="shared" si="7"/>
        <v>1.8777499999999998</v>
      </c>
      <c r="O44" s="60">
        <f t="shared" si="8"/>
        <v>0</v>
      </c>
    </row>
    <row r="45" spans="1:15" s="266" customFormat="1" ht="13.5" thickBot="1">
      <c r="A45" s="1289"/>
      <c r="B45" s="548"/>
      <c r="C45" s="726" t="s">
        <v>650</v>
      </c>
      <c r="D45" s="727" t="s">
        <v>634</v>
      </c>
      <c r="E45" s="728">
        <v>995</v>
      </c>
      <c r="F45" s="59">
        <v>52.5</v>
      </c>
      <c r="G45" s="62">
        <f t="shared" si="0"/>
        <v>0</v>
      </c>
      <c r="H45" s="60">
        <f t="shared" si="1"/>
        <v>1.70625</v>
      </c>
      <c r="I45" s="61">
        <f t="shared" si="2"/>
        <v>0</v>
      </c>
      <c r="J45" s="60">
        <f t="shared" si="3"/>
        <v>1.3334999999999999</v>
      </c>
      <c r="K45" s="61">
        <f t="shared" si="4"/>
        <v>0</v>
      </c>
      <c r="L45" s="60">
        <f t="shared" si="5"/>
        <v>1.10775</v>
      </c>
      <c r="M45" s="60">
        <f t="shared" si="6"/>
        <v>0</v>
      </c>
      <c r="N45" s="60">
        <f t="shared" si="7"/>
        <v>0.97124999999999995</v>
      </c>
      <c r="O45" s="60">
        <f t="shared" si="8"/>
        <v>0</v>
      </c>
    </row>
    <row r="46" spans="1:15" s="266" customFormat="1" ht="13.5" thickBot="1">
      <c r="A46" s="1289"/>
      <c r="B46" s="548"/>
      <c r="C46" s="726" t="s">
        <v>651</v>
      </c>
      <c r="D46" s="727" t="s">
        <v>635</v>
      </c>
      <c r="E46" s="728">
        <v>920</v>
      </c>
      <c r="F46" s="59">
        <v>560</v>
      </c>
      <c r="G46" s="62">
        <f t="shared" si="0"/>
        <v>0</v>
      </c>
      <c r="H46" s="60">
        <f t="shared" si="1"/>
        <v>18.2</v>
      </c>
      <c r="I46" s="61">
        <f t="shared" si="2"/>
        <v>0</v>
      </c>
      <c r="J46" s="60">
        <f t="shared" si="3"/>
        <v>14.224</v>
      </c>
      <c r="K46" s="61">
        <f t="shared" si="4"/>
        <v>0</v>
      </c>
      <c r="L46" s="60">
        <f t="shared" si="5"/>
        <v>11.816000000000001</v>
      </c>
      <c r="M46" s="60">
        <f t="shared" si="6"/>
        <v>0</v>
      </c>
      <c r="N46" s="60">
        <f t="shared" si="7"/>
        <v>10.36</v>
      </c>
      <c r="O46" s="60">
        <f t="shared" si="8"/>
        <v>0</v>
      </c>
    </row>
    <row r="47" spans="1:15" s="266" customFormat="1" ht="13.5" thickBot="1">
      <c r="A47" s="1289"/>
      <c r="B47" s="548"/>
      <c r="C47" s="726" t="s">
        <v>652</v>
      </c>
      <c r="D47" s="727" t="s">
        <v>636</v>
      </c>
      <c r="E47" s="728">
        <v>950</v>
      </c>
      <c r="F47" s="59">
        <v>416.5</v>
      </c>
      <c r="G47" s="62">
        <f t="shared" si="0"/>
        <v>0</v>
      </c>
      <c r="H47" s="60">
        <f t="shared" si="1"/>
        <v>13.536250000000001</v>
      </c>
      <c r="I47" s="61">
        <f t="shared" si="2"/>
        <v>0</v>
      </c>
      <c r="J47" s="60">
        <f t="shared" si="3"/>
        <v>10.5791</v>
      </c>
      <c r="K47" s="61">
        <f t="shared" si="4"/>
        <v>0</v>
      </c>
      <c r="L47" s="60">
        <f t="shared" si="5"/>
        <v>8.7881499999999999</v>
      </c>
      <c r="M47" s="60">
        <f t="shared" si="6"/>
        <v>0</v>
      </c>
      <c r="N47" s="60">
        <f t="shared" si="7"/>
        <v>7.7052499999999995</v>
      </c>
      <c r="O47" s="60">
        <f t="shared" si="8"/>
        <v>0</v>
      </c>
    </row>
    <row r="48" spans="1:15" s="413" customFormat="1" ht="13.5" thickBot="1">
      <c r="A48" s="1289"/>
      <c r="B48" s="548"/>
      <c r="C48" s="726" t="s">
        <v>653</v>
      </c>
      <c r="D48" s="727" t="s">
        <v>637</v>
      </c>
      <c r="E48" s="728">
        <v>150</v>
      </c>
      <c r="F48" s="59">
        <v>1116.5</v>
      </c>
      <c r="G48" s="62">
        <f t="shared" si="0"/>
        <v>0</v>
      </c>
      <c r="H48" s="60">
        <f t="shared" si="1"/>
        <v>36.286250000000003</v>
      </c>
      <c r="I48" s="61">
        <f t="shared" si="2"/>
        <v>0</v>
      </c>
      <c r="J48" s="60">
        <f t="shared" si="3"/>
        <v>28.359099999999998</v>
      </c>
      <c r="K48" s="61">
        <f t="shared" si="4"/>
        <v>0</v>
      </c>
      <c r="L48" s="60">
        <f t="shared" si="5"/>
        <v>23.558150000000001</v>
      </c>
      <c r="M48" s="60">
        <f t="shared" si="6"/>
        <v>0</v>
      </c>
      <c r="N48" s="60">
        <f t="shared" si="7"/>
        <v>20.655249999999999</v>
      </c>
      <c r="O48" s="60">
        <f t="shared" si="8"/>
        <v>0</v>
      </c>
    </row>
    <row r="49" spans="1:15" s="413" customFormat="1" ht="13.5" thickBot="1">
      <c r="A49" s="1289"/>
      <c r="B49" s="548"/>
      <c r="C49" s="726" t="s">
        <v>654</v>
      </c>
      <c r="D49" s="727" t="s">
        <v>638</v>
      </c>
      <c r="E49" s="728">
        <v>150</v>
      </c>
      <c r="F49" s="59">
        <v>346.5</v>
      </c>
      <c r="G49" s="62">
        <f t="shared" si="0"/>
        <v>0</v>
      </c>
      <c r="H49" s="60">
        <f t="shared" si="1"/>
        <v>11.26125</v>
      </c>
      <c r="I49" s="61">
        <f t="shared" si="2"/>
        <v>0</v>
      </c>
      <c r="J49" s="60">
        <f t="shared" si="3"/>
        <v>8.8010999999999999</v>
      </c>
      <c r="K49" s="61">
        <f t="shared" si="4"/>
        <v>0</v>
      </c>
      <c r="L49" s="60">
        <f t="shared" si="5"/>
        <v>7.3111500000000005</v>
      </c>
      <c r="M49" s="60">
        <f t="shared" si="6"/>
        <v>0</v>
      </c>
      <c r="N49" s="60">
        <f t="shared" si="7"/>
        <v>6.4102499999999996</v>
      </c>
      <c r="O49" s="60">
        <f t="shared" si="8"/>
        <v>0</v>
      </c>
    </row>
    <row r="50" spans="1:15" s="413" customFormat="1" ht="13.5" thickBot="1">
      <c r="A50" s="1289"/>
      <c r="B50" s="548"/>
      <c r="C50" s="726" t="s">
        <v>655</v>
      </c>
      <c r="D50" s="727" t="s">
        <v>639</v>
      </c>
      <c r="E50" s="728">
        <v>200</v>
      </c>
      <c r="F50" s="59">
        <v>1172.5</v>
      </c>
      <c r="G50" s="62">
        <f t="shared" si="0"/>
        <v>0</v>
      </c>
      <c r="H50" s="60">
        <f t="shared" si="1"/>
        <v>38.106250000000003</v>
      </c>
      <c r="I50" s="61">
        <f t="shared" si="2"/>
        <v>0</v>
      </c>
      <c r="J50" s="60">
        <f t="shared" si="3"/>
        <v>29.781499999999998</v>
      </c>
      <c r="K50" s="61">
        <f t="shared" si="4"/>
        <v>0</v>
      </c>
      <c r="L50" s="60">
        <f t="shared" si="5"/>
        <v>24.739750000000001</v>
      </c>
      <c r="M50" s="60">
        <f t="shared" si="6"/>
        <v>0</v>
      </c>
      <c r="N50" s="60">
        <f t="shared" si="7"/>
        <v>21.69125</v>
      </c>
      <c r="O50" s="60">
        <f t="shared" si="8"/>
        <v>0</v>
      </c>
    </row>
    <row r="51" spans="1:15" s="413" customFormat="1" ht="13.5" thickBot="1">
      <c r="A51" s="1290"/>
      <c r="B51" s="548"/>
      <c r="C51" s="726" t="s">
        <v>656</v>
      </c>
      <c r="D51" s="727" t="s">
        <v>640</v>
      </c>
      <c r="E51" s="728">
        <v>600</v>
      </c>
      <c r="F51" s="59">
        <v>20860</v>
      </c>
      <c r="G51" s="62">
        <f>F51*B51</f>
        <v>0</v>
      </c>
      <c r="H51" s="60">
        <f>F51*0.0325</f>
        <v>677.95</v>
      </c>
      <c r="I51" s="61">
        <f>H51*B51</f>
        <v>0</v>
      </c>
      <c r="J51" s="60">
        <f>F51*0.0254</f>
        <v>529.84399999999994</v>
      </c>
      <c r="K51" s="61">
        <f>J51*B51</f>
        <v>0</v>
      </c>
      <c r="L51" s="60">
        <f>F51*0.0211</f>
        <v>440.14600000000002</v>
      </c>
      <c r="M51" s="60">
        <f>L51*B51</f>
        <v>0</v>
      </c>
      <c r="N51" s="60">
        <f>F51*0.0185</f>
        <v>385.90999999999997</v>
      </c>
      <c r="O51" s="60">
        <f>N51*B51</f>
        <v>0</v>
      </c>
    </row>
    <row r="52" spans="1:15" s="413" customFormat="1" ht="15">
      <c r="A52" s="729"/>
      <c r="B52" s="380"/>
      <c r="C52" s="380"/>
      <c r="D52" s="1059" t="s">
        <v>183</v>
      </c>
      <c r="E52" s="1124"/>
      <c r="F52" s="1124"/>
      <c r="G52" s="730">
        <f t="array" ref="G52">SUM(G36:G51)+G33:G35:G51</f>
        <v>0</v>
      </c>
      <c r="H52" s="451" t="s">
        <v>184</v>
      </c>
      <c r="I52" s="730">
        <f t="array" ref="I52">SUM(I36:I51)+I33:I35:I51</f>
        <v>0</v>
      </c>
      <c r="J52" s="451" t="s">
        <v>185</v>
      </c>
      <c r="K52" s="730">
        <f t="array" ref="K52">SUM(K36:K51)+K33:K35:K51</f>
        <v>0</v>
      </c>
      <c r="L52" s="451" t="s">
        <v>186</v>
      </c>
      <c r="M52" s="730">
        <f t="array" ref="M52">SUM(M36:M51)+M33:M35:M51</f>
        <v>0</v>
      </c>
      <c r="N52" s="451" t="s">
        <v>187</v>
      </c>
      <c r="O52" s="730">
        <f t="array" ref="O52">SUM(O36:O51)+O33:O35:O51</f>
        <v>0</v>
      </c>
    </row>
    <row r="53" spans="1:15" s="413" customFormat="1">
      <c r="A53" s="437"/>
      <c r="B53" s="378"/>
      <c r="C53" s="378"/>
      <c r="D53" s="437"/>
      <c r="E53" s="437"/>
      <c r="F53" s="626"/>
      <c r="G53" s="626"/>
      <c r="H53" s="437"/>
      <c r="I53" s="437"/>
      <c r="J53" s="437"/>
      <c r="K53" s="437"/>
      <c r="L53" s="437"/>
      <c r="M53" s="437"/>
      <c r="N53" s="437"/>
      <c r="O53" s="437"/>
    </row>
    <row r="54" spans="1:15" s="413" customFormat="1" ht="15.75">
      <c r="A54" s="378"/>
      <c r="B54" s="731"/>
      <c r="C54" s="731"/>
      <c r="D54" s="732"/>
      <c r="E54" s="732"/>
      <c r="F54" s="733"/>
      <c r="G54" s="455"/>
      <c r="H54" s="378"/>
      <c r="I54" s="378"/>
      <c r="J54" s="378"/>
      <c r="K54" s="378"/>
      <c r="L54" s="378"/>
      <c r="M54" s="378"/>
      <c r="N54" s="378"/>
      <c r="O54" s="378"/>
    </row>
    <row r="55" spans="1:15" s="729" customFormat="1">
      <c r="A55" s="378"/>
      <c r="B55" s="378"/>
      <c r="C55" s="378"/>
      <c r="D55" s="378"/>
      <c r="E55" s="378"/>
      <c r="F55" s="733"/>
      <c r="G55" s="455"/>
      <c r="H55" s="378"/>
      <c r="I55" s="378"/>
      <c r="J55" s="378"/>
      <c r="K55" s="378"/>
      <c r="L55" s="378"/>
      <c r="M55" s="378"/>
      <c r="N55" s="378"/>
      <c r="O55" s="378"/>
    </row>
    <row r="56" spans="1:15" s="729" customFormat="1">
      <c r="A56" s="378"/>
      <c r="B56" s="378"/>
      <c r="C56" s="378"/>
      <c r="D56" s="378"/>
      <c r="E56" s="378"/>
      <c r="F56" s="455"/>
      <c r="G56" s="455"/>
      <c r="H56" s="378"/>
      <c r="I56" s="378"/>
      <c r="J56" s="378"/>
      <c r="K56" s="378"/>
      <c r="L56" s="378"/>
      <c r="M56" s="378"/>
      <c r="N56" s="378"/>
      <c r="O56" s="378"/>
    </row>
    <row r="57" spans="1:15" s="734" customFormat="1" hidden="1">
      <c r="A57" s="378"/>
      <c r="B57" s="378"/>
      <c r="C57" s="378"/>
      <c r="D57" s="378"/>
      <c r="E57" s="378"/>
      <c r="F57" s="455"/>
      <c r="G57" s="455"/>
      <c r="H57" s="378"/>
      <c r="I57" s="378"/>
      <c r="J57" s="378"/>
      <c r="K57" s="378"/>
      <c r="L57" s="378"/>
      <c r="M57" s="378"/>
      <c r="N57" s="378"/>
      <c r="O57" s="378"/>
    </row>
    <row r="58" spans="1:15" s="729" customFormat="1">
      <c r="A58" s="378"/>
      <c r="B58" s="378"/>
      <c r="C58" s="378"/>
      <c r="D58" s="378"/>
      <c r="E58" s="378"/>
      <c r="F58" s="455"/>
      <c r="G58" s="455"/>
      <c r="H58" s="378"/>
      <c r="I58" s="378"/>
      <c r="J58" s="378"/>
      <c r="K58" s="378"/>
      <c r="L58" s="378"/>
      <c r="M58" s="378"/>
      <c r="N58" s="378"/>
      <c r="O58" s="378"/>
    </row>
    <row r="59" spans="1:15" s="437" customFormat="1">
      <c r="A59" s="378"/>
      <c r="B59" s="378"/>
      <c r="C59" s="378"/>
      <c r="D59" s="378"/>
      <c r="E59" s="378"/>
      <c r="F59" s="455"/>
      <c r="G59" s="455"/>
      <c r="H59" s="378"/>
      <c r="I59" s="378"/>
      <c r="J59" s="378"/>
      <c r="K59" s="378"/>
      <c r="L59" s="378"/>
      <c r="M59" s="378"/>
      <c r="N59" s="378"/>
      <c r="O59" s="378"/>
    </row>
    <row r="72" spans="2:3">
      <c r="B72" s="380"/>
      <c r="C72" s="380"/>
    </row>
  </sheetData>
  <mergeCells count="24">
    <mergeCell ref="A4:O4"/>
    <mergeCell ref="A5:O5"/>
    <mergeCell ref="H8:J8"/>
    <mergeCell ref="D17:D18"/>
    <mergeCell ref="A22:O22"/>
    <mergeCell ref="A23:O23"/>
    <mergeCell ref="F31:G31"/>
    <mergeCell ref="H31:O31"/>
    <mergeCell ref="A24:H24"/>
    <mergeCell ref="I24:O24"/>
    <mergeCell ref="A25:H25"/>
    <mergeCell ref="I25:O25"/>
    <mergeCell ref="A26:H26"/>
    <mergeCell ref="I26:O26"/>
    <mergeCell ref="A27:H27"/>
    <mergeCell ref="I27:O27"/>
    <mergeCell ref="A28:H28"/>
    <mergeCell ref="I28:O28"/>
    <mergeCell ref="A29:O29"/>
    <mergeCell ref="A33:A34"/>
    <mergeCell ref="B33:B34"/>
    <mergeCell ref="A35:O35"/>
    <mergeCell ref="A36:A51"/>
    <mergeCell ref="D52:F52"/>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9">
    <tabColor rgb="FFFF0000"/>
  </sheetPr>
  <dimension ref="A1:R57"/>
  <sheetViews>
    <sheetView topLeftCell="C9" zoomScale="73" zoomScaleNormal="73" workbookViewId="0">
      <selection activeCell="J52" sqref="J52"/>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8" width="11.85546875" style="104" bestFit="1" customWidth="1"/>
    <col min="19"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1043</v>
      </c>
      <c r="B4" s="979"/>
      <c r="C4" s="979"/>
      <c r="D4" s="979"/>
      <c r="E4" s="979"/>
      <c r="F4" s="979"/>
      <c r="G4" s="979"/>
      <c r="H4" s="979"/>
      <c r="I4" s="979"/>
      <c r="J4" s="979"/>
      <c r="K4" s="979"/>
      <c r="L4" s="979"/>
      <c r="M4" s="979"/>
      <c r="N4" s="979"/>
      <c r="O4" s="979"/>
    </row>
    <row r="5" spans="1:18" s="114" customFormat="1" ht="41.25" customHeight="1">
      <c r="A5" s="1276" t="s">
        <v>1042</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D8" s="136"/>
      <c r="E8" s="136"/>
      <c r="H8" s="123"/>
    </row>
    <row r="9" spans="1:18" s="113" customFormat="1" ht="12" customHeight="1">
      <c r="F9" s="249"/>
      <c r="G9" s="249"/>
      <c r="H9" s="123"/>
      <c r="I9" s="124"/>
      <c r="J9" s="124"/>
      <c r="L9" s="124"/>
    </row>
    <row r="10" spans="1:18" s="113" customFormat="1" ht="18.75" thickBot="1">
      <c r="A10" s="1279" t="s">
        <v>23</v>
      </c>
      <c r="B10" s="1245"/>
      <c r="C10" s="1245"/>
      <c r="D10" s="1245"/>
      <c r="E10" s="1245"/>
      <c r="F10" s="1245"/>
      <c r="G10" s="1245"/>
      <c r="H10" s="1245"/>
      <c r="I10" s="1245"/>
      <c r="J10" s="1245"/>
      <c r="K10" s="1245"/>
      <c r="L10" s="1245"/>
      <c r="M10" s="1245"/>
      <c r="N10" s="1245"/>
      <c r="O10" s="1245"/>
      <c r="P10" s="1245"/>
      <c r="Q10" s="1245"/>
    </row>
    <row r="11" spans="1:18" s="113" customFormat="1" ht="18" customHeight="1">
      <c r="A11" s="1280" t="s">
        <v>1040</v>
      </c>
      <c r="B11" s="1281"/>
      <c r="C11" s="1281"/>
      <c r="D11" s="1281"/>
      <c r="E11" s="1281"/>
      <c r="F11" s="1281"/>
      <c r="G11" s="1281"/>
      <c r="H11" s="1281"/>
      <c r="I11" s="1281"/>
      <c r="J11" s="1281"/>
      <c r="K11" s="1281"/>
      <c r="L11" s="1281"/>
      <c r="M11" s="1281"/>
      <c r="N11" s="1281"/>
      <c r="O11" s="1281"/>
      <c r="P11" s="1281"/>
      <c r="Q11" s="1282"/>
    </row>
    <row r="12" spans="1:18" s="113" customFormat="1" ht="18" customHeight="1">
      <c r="A12" s="1240" t="s">
        <v>91</v>
      </c>
      <c r="B12" s="1241"/>
      <c r="C12" s="1241"/>
      <c r="D12" s="1241"/>
      <c r="E12" s="1241"/>
      <c r="F12" s="1241"/>
      <c r="G12" s="1241"/>
      <c r="H12" s="1241"/>
      <c r="I12" s="1264">
        <v>5498</v>
      </c>
      <c r="J12" s="1264"/>
      <c r="K12" s="1264"/>
      <c r="L12" s="1264"/>
      <c r="M12" s="1264"/>
      <c r="N12" s="1264"/>
      <c r="O12" s="1264"/>
      <c r="P12" s="1264"/>
      <c r="Q12" s="1283"/>
    </row>
    <row r="13" spans="1:18" s="113" customFormat="1" ht="18" customHeight="1" thickBot="1">
      <c r="A13" s="1234" t="s">
        <v>0</v>
      </c>
      <c r="B13" s="1235"/>
      <c r="C13" s="1235"/>
      <c r="D13" s="1235"/>
      <c r="E13" s="1235"/>
      <c r="F13" s="1235"/>
      <c r="G13" s="1235"/>
      <c r="H13" s="1235"/>
      <c r="I13" s="1235"/>
      <c r="J13" s="1235"/>
      <c r="K13" s="1235"/>
      <c r="L13" s="1235"/>
      <c r="M13" s="1235"/>
      <c r="N13" s="1235"/>
      <c r="O13" s="1235"/>
      <c r="P13" s="1235"/>
      <c r="Q13" s="1236"/>
    </row>
    <row r="14" spans="1:18" s="113" customFormat="1" ht="15" thickBot="1">
      <c r="D14" s="136"/>
      <c r="E14" s="136"/>
      <c r="F14" s="135"/>
      <c r="G14" s="135"/>
      <c r="I14" s="150"/>
      <c r="J14" s="150"/>
      <c r="K14" s="150"/>
      <c r="L14" s="150"/>
    </row>
    <row r="15" spans="1:18" s="113" customFormat="1" ht="13.5" thickBot="1">
      <c r="F15" s="1217" t="s">
        <v>167</v>
      </c>
      <c r="G15" s="1008"/>
      <c r="H15" s="1277" t="s">
        <v>168</v>
      </c>
      <c r="I15" s="1278"/>
      <c r="J15" s="1278"/>
      <c r="K15" s="1278"/>
      <c r="L15" s="1278"/>
      <c r="M15" s="1278"/>
      <c r="N15" s="1278"/>
      <c r="O15" s="1278"/>
      <c r="P15" s="1278"/>
      <c r="Q15" s="1278"/>
    </row>
    <row r="16" spans="1:18" s="113" customFormat="1" ht="57.75" customHeight="1" thickBot="1">
      <c r="A16" s="254" t="s">
        <v>122</v>
      </c>
      <c r="B16" s="254" t="s">
        <v>169</v>
      </c>
      <c r="C16" s="255" t="s">
        <v>170</v>
      </c>
      <c r="D16" s="255" t="s">
        <v>171</v>
      </c>
      <c r="E16" s="255" t="s">
        <v>172</v>
      </c>
      <c r="F16" s="255" t="s">
        <v>173</v>
      </c>
      <c r="G16" s="254" t="s">
        <v>174</v>
      </c>
      <c r="H16" s="255" t="s">
        <v>176</v>
      </c>
      <c r="I16" s="254" t="s">
        <v>174</v>
      </c>
      <c r="J16" s="255" t="s">
        <v>177</v>
      </c>
      <c r="K16" s="254" t="s">
        <v>174</v>
      </c>
      <c r="L16" s="255" t="s">
        <v>178</v>
      </c>
      <c r="M16" s="254" t="s">
        <v>174</v>
      </c>
      <c r="N16" s="255" t="s">
        <v>157</v>
      </c>
      <c r="O16" s="254" t="s">
        <v>174</v>
      </c>
      <c r="P16" s="255" t="s">
        <v>824</v>
      </c>
      <c r="Q16" s="254" t="s">
        <v>174</v>
      </c>
    </row>
    <row r="17" spans="1:18" s="113" customFormat="1" ht="46.5" customHeight="1" thickBot="1">
      <c r="A17" s="1287">
        <v>43</v>
      </c>
      <c r="B17" s="1288"/>
      <c r="C17" s="258" t="s">
        <v>1041</v>
      </c>
      <c r="D17" s="281" t="s">
        <v>1043</v>
      </c>
      <c r="E17" s="260">
        <v>38761.61</v>
      </c>
      <c r="F17" s="19">
        <f>SUM(E17:E18)*(1-20%)</f>
        <v>31216.488000000001</v>
      </c>
      <c r="G17" s="1162">
        <f>F17*B17</f>
        <v>0</v>
      </c>
      <c r="H17" s="19">
        <f>F17*0.03137+I12/12</f>
        <v>1437.4278952266668</v>
      </c>
      <c r="I17" s="1162">
        <f>H17*B17</f>
        <v>0</v>
      </c>
      <c r="J17" s="19">
        <f>F17*0.0274+I12/12</f>
        <v>1313.4984378666668</v>
      </c>
      <c r="K17" s="1162">
        <f>J17*B17</f>
        <v>0</v>
      </c>
      <c r="L17" s="20">
        <f>F17*0.0228+I12/12</f>
        <v>1169.9025930666667</v>
      </c>
      <c r="M17" s="1162">
        <f>L17*B17</f>
        <v>0</v>
      </c>
      <c r="N17" s="20">
        <f>F17*0.0204+I12/12</f>
        <v>1094.9830218666668</v>
      </c>
      <c r="O17" s="1162">
        <f>N17*B17</f>
        <v>0</v>
      </c>
      <c r="P17" s="20">
        <f>F17*0.0185+I12/12</f>
        <v>1035.6716946666668</v>
      </c>
      <c r="Q17" s="1162">
        <f>P17*B17</f>
        <v>0</v>
      </c>
    </row>
    <row r="18" spans="1:18" s="113" customFormat="1" ht="13.5" thickBot="1">
      <c r="A18" s="1287"/>
      <c r="B18" s="1288"/>
      <c r="C18" s="261" t="s">
        <v>104</v>
      </c>
      <c r="D18" s="262" t="s">
        <v>180</v>
      </c>
      <c r="E18" s="263">
        <v>259</v>
      </c>
      <c r="F18" s="264" t="s">
        <v>162</v>
      </c>
      <c r="G18" s="1284"/>
      <c r="H18" s="265" t="s">
        <v>162</v>
      </c>
      <c r="I18" s="1284"/>
      <c r="J18" s="265" t="s">
        <v>162</v>
      </c>
      <c r="K18" s="1284"/>
      <c r="L18" s="265" t="s">
        <v>162</v>
      </c>
      <c r="M18" s="1284"/>
      <c r="N18" s="265" t="s">
        <v>162</v>
      </c>
      <c r="O18" s="1284"/>
      <c r="P18" s="265" t="s">
        <v>162</v>
      </c>
      <c r="Q18" s="1167"/>
    </row>
    <row r="19" spans="1:18" s="266" customFormat="1" ht="15.75" customHeight="1" thickBot="1">
      <c r="A19" s="1285" t="s">
        <v>182</v>
      </c>
      <c r="B19" s="1286"/>
      <c r="C19" s="1272"/>
      <c r="D19" s="1272"/>
      <c r="E19" s="1272"/>
      <c r="F19" s="1272"/>
      <c r="G19" s="1272"/>
      <c r="H19" s="1272"/>
      <c r="I19" s="1272"/>
      <c r="J19" s="1272"/>
      <c r="K19" s="1272"/>
      <c r="L19" s="1272"/>
      <c r="M19" s="1272"/>
      <c r="N19" s="1272"/>
      <c r="O19" s="1272"/>
      <c r="P19" s="1272"/>
      <c r="Q19" s="1273"/>
    </row>
    <row r="20" spans="1:18" s="266" customFormat="1" ht="13.5" thickBot="1">
      <c r="A20" s="1005"/>
      <c r="B20" s="568"/>
      <c r="C20" s="592" t="s">
        <v>643</v>
      </c>
      <c r="D20" s="569" t="s">
        <v>1022</v>
      </c>
      <c r="E20" s="570">
        <v>4123.7113402061859</v>
      </c>
      <c r="F20" s="43">
        <f>E20*(1-20%)</f>
        <v>3298.969072164949</v>
      </c>
      <c r="G20" s="74">
        <f t="shared" ref="G20:G36" si="0">F20*B20</f>
        <v>0</v>
      </c>
      <c r="H20" s="43">
        <f t="shared" ref="H20:H36" si="1">F20*0.03137</f>
        <v>103.48865979381446</v>
      </c>
      <c r="I20" s="74">
        <f t="shared" ref="I20:I36" si="2">H20*B20</f>
        <v>0</v>
      </c>
      <c r="J20" s="43">
        <f t="shared" ref="J20:J36" si="3">F20*0.0274</f>
        <v>90.391752577319608</v>
      </c>
      <c r="K20" s="74">
        <f t="shared" ref="K20:K36" si="4">J20*B20</f>
        <v>0</v>
      </c>
      <c r="L20" s="43">
        <f t="shared" ref="L20:L36" si="5">F20*0.0228</f>
        <v>75.216494845360842</v>
      </c>
      <c r="M20" s="43">
        <f t="shared" ref="M20:M36" si="6">L20*B20</f>
        <v>0</v>
      </c>
      <c r="N20" s="43">
        <f t="shared" ref="N20:N36" si="7">F20*0.0204</f>
        <v>67.298969072164965</v>
      </c>
      <c r="O20" s="43">
        <f t="shared" ref="O20:O36" si="8">N20*B20</f>
        <v>0</v>
      </c>
      <c r="P20" s="43">
        <f>F20*0.0185</f>
        <v>61.030927835051557</v>
      </c>
      <c r="Q20" s="43">
        <f>P20*B20</f>
        <v>0</v>
      </c>
      <c r="R20" s="740"/>
    </row>
    <row r="21" spans="1:18" s="156" customFormat="1" ht="13.5" thickBot="1">
      <c r="A21" s="1156"/>
      <c r="B21" s="221"/>
      <c r="C21" s="593" t="s">
        <v>644</v>
      </c>
      <c r="D21" s="282" t="s">
        <v>1052</v>
      </c>
      <c r="E21" s="283">
        <v>3402.0618556701033</v>
      </c>
      <c r="F21" s="44">
        <f t="shared" ref="F21:F36" si="9">E21*(1-20%)</f>
        <v>2721.649484536083</v>
      </c>
      <c r="G21" s="3">
        <f>F21*B21</f>
        <v>0</v>
      </c>
      <c r="H21" s="21">
        <f t="shared" si="1"/>
        <v>85.378144329896926</v>
      </c>
      <c r="I21" s="2">
        <f>H21*B21</f>
        <v>0</v>
      </c>
      <c r="J21" s="21">
        <f t="shared" si="3"/>
        <v>74.573195876288679</v>
      </c>
      <c r="K21" s="22">
        <f>J21*B21</f>
        <v>0</v>
      </c>
      <c r="L21" s="21">
        <f t="shared" si="5"/>
        <v>62.053608247422694</v>
      </c>
      <c r="M21" s="21">
        <f>L21*B21</f>
        <v>0</v>
      </c>
      <c r="N21" s="21">
        <f t="shared" si="7"/>
        <v>55.521649484536098</v>
      </c>
      <c r="O21" s="21">
        <f>N21*B21</f>
        <v>0</v>
      </c>
      <c r="P21" s="43">
        <f t="shared" ref="P21:P36" si="10">F21*0.0185</f>
        <v>50.350515463917532</v>
      </c>
      <c r="Q21" s="43">
        <f t="shared" ref="Q21:Q36" si="11">P21*B21</f>
        <v>0</v>
      </c>
      <c r="R21" s="740"/>
    </row>
    <row r="22" spans="1:18" s="151" customFormat="1" ht="13.5" thickBot="1">
      <c r="A22" s="1156"/>
      <c r="B22" s="221"/>
      <c r="C22" s="593" t="s">
        <v>1044</v>
      </c>
      <c r="D22" s="282" t="s">
        <v>1053</v>
      </c>
      <c r="E22" s="283">
        <v>3402.0618556701033</v>
      </c>
      <c r="F22" s="44">
        <f t="shared" si="9"/>
        <v>2721.649484536083</v>
      </c>
      <c r="G22" s="3">
        <f t="shared" si="0"/>
        <v>0</v>
      </c>
      <c r="H22" s="21">
        <f t="shared" si="1"/>
        <v>85.378144329896926</v>
      </c>
      <c r="I22" s="2">
        <f t="shared" si="2"/>
        <v>0</v>
      </c>
      <c r="J22" s="21">
        <f t="shared" si="3"/>
        <v>74.573195876288679</v>
      </c>
      <c r="K22" s="22">
        <f t="shared" si="4"/>
        <v>0</v>
      </c>
      <c r="L22" s="21">
        <f t="shared" si="5"/>
        <v>62.053608247422694</v>
      </c>
      <c r="M22" s="21">
        <f t="shared" si="6"/>
        <v>0</v>
      </c>
      <c r="N22" s="21">
        <f t="shared" si="7"/>
        <v>55.521649484536098</v>
      </c>
      <c r="O22" s="21">
        <f t="shared" si="8"/>
        <v>0</v>
      </c>
      <c r="P22" s="43">
        <f t="shared" si="10"/>
        <v>50.350515463917532</v>
      </c>
      <c r="Q22" s="43">
        <f t="shared" si="11"/>
        <v>0</v>
      </c>
      <c r="R22" s="740"/>
    </row>
    <row r="23" spans="1:18" s="151" customFormat="1" ht="13.5" thickBot="1">
      <c r="A23" s="1156"/>
      <c r="B23" s="221"/>
      <c r="C23" s="593" t="s">
        <v>1045</v>
      </c>
      <c r="D23" s="282" t="s">
        <v>1054</v>
      </c>
      <c r="E23" s="283">
        <v>37113.402061855668</v>
      </c>
      <c r="F23" s="44">
        <f t="shared" si="9"/>
        <v>29690.721649484534</v>
      </c>
      <c r="G23" s="3">
        <f t="shared" si="0"/>
        <v>0</v>
      </c>
      <c r="H23" s="21">
        <f t="shared" si="1"/>
        <v>931.39793814432994</v>
      </c>
      <c r="I23" s="2">
        <f t="shared" si="2"/>
        <v>0</v>
      </c>
      <c r="J23" s="21">
        <f t="shared" si="3"/>
        <v>813.52577319587624</v>
      </c>
      <c r="K23" s="22">
        <f t="shared" si="4"/>
        <v>0</v>
      </c>
      <c r="L23" s="21">
        <f t="shared" si="5"/>
        <v>676.94845360824741</v>
      </c>
      <c r="M23" s="21">
        <f t="shared" si="6"/>
        <v>0</v>
      </c>
      <c r="N23" s="21">
        <f t="shared" si="7"/>
        <v>605.69072164948454</v>
      </c>
      <c r="O23" s="21">
        <f t="shared" si="8"/>
        <v>0</v>
      </c>
      <c r="P23" s="43">
        <f t="shared" si="10"/>
        <v>549.2783505154639</v>
      </c>
      <c r="Q23" s="43">
        <f t="shared" si="11"/>
        <v>0</v>
      </c>
      <c r="R23" s="740"/>
    </row>
    <row r="24" spans="1:18" s="151" customFormat="1" ht="13.5" thickBot="1">
      <c r="A24" s="1156"/>
      <c r="B24" s="221"/>
      <c r="C24" s="593" t="s">
        <v>1046</v>
      </c>
      <c r="D24" s="282" t="s">
        <v>1055</v>
      </c>
      <c r="E24" s="283">
        <v>4123.7113402061859</v>
      </c>
      <c r="F24" s="44">
        <f t="shared" si="9"/>
        <v>3298.969072164949</v>
      </c>
      <c r="G24" s="3">
        <f t="shared" si="0"/>
        <v>0</v>
      </c>
      <c r="H24" s="21">
        <f t="shared" si="1"/>
        <v>103.48865979381446</v>
      </c>
      <c r="I24" s="2">
        <f t="shared" si="2"/>
        <v>0</v>
      </c>
      <c r="J24" s="21">
        <f t="shared" si="3"/>
        <v>90.391752577319608</v>
      </c>
      <c r="K24" s="22">
        <f t="shared" si="4"/>
        <v>0</v>
      </c>
      <c r="L24" s="21">
        <f t="shared" si="5"/>
        <v>75.216494845360842</v>
      </c>
      <c r="M24" s="21">
        <f t="shared" si="6"/>
        <v>0</v>
      </c>
      <c r="N24" s="21">
        <f t="shared" si="7"/>
        <v>67.298969072164965</v>
      </c>
      <c r="O24" s="21">
        <f t="shared" si="8"/>
        <v>0</v>
      </c>
      <c r="P24" s="43">
        <f t="shared" si="10"/>
        <v>61.030927835051557</v>
      </c>
      <c r="Q24" s="43">
        <f t="shared" si="11"/>
        <v>0</v>
      </c>
      <c r="R24" s="740"/>
    </row>
    <row r="25" spans="1:18" s="151" customFormat="1" ht="13.5" thickBot="1">
      <c r="A25" s="1156"/>
      <c r="B25" s="221"/>
      <c r="C25" s="593" t="s">
        <v>1001</v>
      </c>
      <c r="D25" s="282" t="s">
        <v>1056</v>
      </c>
      <c r="E25" s="283">
        <v>12881.443298969072</v>
      </c>
      <c r="F25" s="44">
        <f t="shared" si="9"/>
        <v>10305.154639175258</v>
      </c>
      <c r="G25" s="3">
        <f t="shared" si="0"/>
        <v>0</v>
      </c>
      <c r="H25" s="21">
        <f t="shared" si="1"/>
        <v>323.27270103092786</v>
      </c>
      <c r="I25" s="2">
        <f t="shared" si="2"/>
        <v>0</v>
      </c>
      <c r="J25" s="21">
        <f t="shared" si="3"/>
        <v>282.36123711340207</v>
      </c>
      <c r="K25" s="22">
        <f t="shared" si="4"/>
        <v>0</v>
      </c>
      <c r="L25" s="21">
        <f t="shared" si="5"/>
        <v>234.9575257731959</v>
      </c>
      <c r="M25" s="21">
        <f t="shared" si="6"/>
        <v>0</v>
      </c>
      <c r="N25" s="21">
        <f t="shared" si="7"/>
        <v>210.22515463917529</v>
      </c>
      <c r="O25" s="21">
        <f t="shared" si="8"/>
        <v>0</v>
      </c>
      <c r="P25" s="43">
        <f t="shared" si="10"/>
        <v>190.64536082474226</v>
      </c>
      <c r="Q25" s="43">
        <f t="shared" si="11"/>
        <v>0</v>
      </c>
      <c r="R25" s="740"/>
    </row>
    <row r="26" spans="1:18" s="151" customFormat="1" ht="12.6" customHeight="1" thickBot="1">
      <c r="A26" s="1156"/>
      <c r="B26" s="221"/>
      <c r="C26" s="593" t="s">
        <v>1002</v>
      </c>
      <c r="D26" s="282" t="s">
        <v>1057</v>
      </c>
      <c r="E26" s="283">
        <v>20097.938144329899</v>
      </c>
      <c r="F26" s="44">
        <f t="shared" si="9"/>
        <v>16078.350515463921</v>
      </c>
      <c r="G26" s="3">
        <f t="shared" si="0"/>
        <v>0</v>
      </c>
      <c r="H26" s="21">
        <f t="shared" si="1"/>
        <v>504.3778556701032</v>
      </c>
      <c r="I26" s="2">
        <f t="shared" si="2"/>
        <v>0</v>
      </c>
      <c r="J26" s="21">
        <f t="shared" si="3"/>
        <v>440.54680412371141</v>
      </c>
      <c r="K26" s="22">
        <f t="shared" si="4"/>
        <v>0</v>
      </c>
      <c r="L26" s="21">
        <f t="shared" si="5"/>
        <v>366.58639175257741</v>
      </c>
      <c r="M26" s="21">
        <f t="shared" si="6"/>
        <v>0</v>
      </c>
      <c r="N26" s="21">
        <f t="shared" si="7"/>
        <v>327.99835051546398</v>
      </c>
      <c r="O26" s="21">
        <f t="shared" si="8"/>
        <v>0</v>
      </c>
      <c r="P26" s="43">
        <f t="shared" si="10"/>
        <v>297.44948453608254</v>
      </c>
      <c r="Q26" s="43">
        <f t="shared" si="11"/>
        <v>0</v>
      </c>
      <c r="R26" s="740"/>
    </row>
    <row r="27" spans="1:18" s="151" customFormat="1" ht="13.5" thickBot="1">
      <c r="A27" s="1156"/>
      <c r="B27" s="221"/>
      <c r="C27" s="593" t="s">
        <v>642</v>
      </c>
      <c r="D27" s="282" t="s">
        <v>1025</v>
      </c>
      <c r="E27" s="283">
        <v>1546.3917525773197</v>
      </c>
      <c r="F27" s="44">
        <f>E27*(1-20%)</f>
        <v>1237.1134020618558</v>
      </c>
      <c r="G27" s="3">
        <f t="shared" ref="G27:G34" si="12">F27*B27</f>
        <v>0</v>
      </c>
      <c r="H27" s="21">
        <f t="shared" si="1"/>
        <v>38.808247422680417</v>
      </c>
      <c r="I27" s="2">
        <f t="shared" ref="I27:I34" si="13">H27*B27</f>
        <v>0</v>
      </c>
      <c r="J27" s="21">
        <f t="shared" si="3"/>
        <v>33.896907216494853</v>
      </c>
      <c r="K27" s="22">
        <f t="shared" ref="K27:K34" si="14">J27*B27</f>
        <v>0</v>
      </c>
      <c r="L27" s="21">
        <f t="shared" si="5"/>
        <v>28.206185567010312</v>
      </c>
      <c r="M27" s="21">
        <f t="shared" ref="M27:M34" si="15">L27*B27</f>
        <v>0</v>
      </c>
      <c r="N27" s="21">
        <f t="shared" si="7"/>
        <v>25.237113402061862</v>
      </c>
      <c r="O27" s="21">
        <f t="shared" ref="O27:O34" si="16">N27*B27</f>
        <v>0</v>
      </c>
      <c r="P27" s="43">
        <f>F27*0.0185</f>
        <v>22.88659793814433</v>
      </c>
      <c r="Q27" s="43">
        <f>P27*B27</f>
        <v>0</v>
      </c>
      <c r="R27" s="740"/>
    </row>
    <row r="28" spans="1:18" s="151" customFormat="1" ht="13.5" thickBot="1">
      <c r="A28" s="1156"/>
      <c r="B28" s="221"/>
      <c r="C28" s="593" t="s">
        <v>646</v>
      </c>
      <c r="D28" s="282" t="s">
        <v>1026</v>
      </c>
      <c r="E28" s="283">
        <v>1443.2989690721649</v>
      </c>
      <c r="F28" s="44">
        <f>E28*(1-20%)</f>
        <v>1154.6391752577319</v>
      </c>
      <c r="G28" s="3">
        <f t="shared" si="12"/>
        <v>0</v>
      </c>
      <c r="H28" s="21">
        <f t="shared" si="1"/>
        <v>36.221030927835052</v>
      </c>
      <c r="I28" s="2">
        <f t="shared" si="13"/>
        <v>0</v>
      </c>
      <c r="J28" s="21">
        <f t="shared" si="3"/>
        <v>31.637113402061857</v>
      </c>
      <c r="K28" s="22">
        <f t="shared" si="14"/>
        <v>0</v>
      </c>
      <c r="L28" s="21">
        <f t="shared" si="5"/>
        <v>26.325773195876291</v>
      </c>
      <c r="M28" s="21">
        <f t="shared" si="15"/>
        <v>0</v>
      </c>
      <c r="N28" s="21">
        <f t="shared" si="7"/>
        <v>23.554639175257734</v>
      </c>
      <c r="O28" s="21">
        <f t="shared" si="16"/>
        <v>0</v>
      </c>
      <c r="P28" s="43">
        <f>F28*0.0185</f>
        <v>21.36082474226804</v>
      </c>
      <c r="Q28" s="43">
        <f>P28*B28</f>
        <v>0</v>
      </c>
      <c r="R28" s="740"/>
    </row>
    <row r="29" spans="1:18" s="151" customFormat="1" ht="13.5" thickBot="1">
      <c r="A29" s="1156"/>
      <c r="B29" s="221"/>
      <c r="C29" s="593" t="s">
        <v>1003</v>
      </c>
      <c r="D29" s="282" t="s">
        <v>1027</v>
      </c>
      <c r="E29" s="283">
        <v>1443.2989690721649</v>
      </c>
      <c r="F29" s="44">
        <f>E29*(1-20%)</f>
        <v>1154.6391752577319</v>
      </c>
      <c r="G29" s="3">
        <f t="shared" si="12"/>
        <v>0</v>
      </c>
      <c r="H29" s="21">
        <f t="shared" si="1"/>
        <v>36.221030927835052</v>
      </c>
      <c r="I29" s="2">
        <f t="shared" si="13"/>
        <v>0</v>
      </c>
      <c r="J29" s="21">
        <f t="shared" si="3"/>
        <v>31.637113402061857</v>
      </c>
      <c r="K29" s="22">
        <f t="shared" si="14"/>
        <v>0</v>
      </c>
      <c r="L29" s="21">
        <f t="shared" si="5"/>
        <v>26.325773195876291</v>
      </c>
      <c r="M29" s="21">
        <f t="shared" si="15"/>
        <v>0</v>
      </c>
      <c r="N29" s="21">
        <f t="shared" si="7"/>
        <v>23.554639175257734</v>
      </c>
      <c r="O29" s="21">
        <f t="shared" si="16"/>
        <v>0</v>
      </c>
      <c r="P29" s="43">
        <f>F29*0.0185</f>
        <v>21.36082474226804</v>
      </c>
      <c r="Q29" s="43">
        <f>P29*B29</f>
        <v>0</v>
      </c>
      <c r="R29" s="740"/>
    </row>
    <row r="30" spans="1:18" s="151" customFormat="1" ht="12.6" customHeight="1" thickBot="1">
      <c r="A30" s="1156"/>
      <c r="B30" s="221"/>
      <c r="C30" s="593" t="s">
        <v>1047</v>
      </c>
      <c r="D30" s="282" t="s">
        <v>1058</v>
      </c>
      <c r="E30" s="283">
        <v>2680.4123711340208</v>
      </c>
      <c r="F30" s="44">
        <f>E30*(1-20%)</f>
        <v>2144.3298969072166</v>
      </c>
      <c r="G30" s="3">
        <f t="shared" si="12"/>
        <v>0</v>
      </c>
      <c r="H30" s="21">
        <f t="shared" si="1"/>
        <v>67.26762886597939</v>
      </c>
      <c r="I30" s="2">
        <f t="shared" si="13"/>
        <v>0</v>
      </c>
      <c r="J30" s="21">
        <f t="shared" si="3"/>
        <v>58.754639175257736</v>
      </c>
      <c r="K30" s="22">
        <f t="shared" si="14"/>
        <v>0</v>
      </c>
      <c r="L30" s="21">
        <f t="shared" si="5"/>
        <v>48.89072164948454</v>
      </c>
      <c r="M30" s="21">
        <f t="shared" si="15"/>
        <v>0</v>
      </c>
      <c r="N30" s="21">
        <f t="shared" si="7"/>
        <v>43.744329896907225</v>
      </c>
      <c r="O30" s="21">
        <f t="shared" si="16"/>
        <v>0</v>
      </c>
      <c r="P30" s="43">
        <f>F30*0.0185</f>
        <v>39.670103092783506</v>
      </c>
      <c r="Q30" s="43">
        <f>P30*B30</f>
        <v>0</v>
      </c>
      <c r="R30" s="740"/>
    </row>
    <row r="31" spans="1:18" s="156" customFormat="1" ht="26.25" thickBot="1">
      <c r="A31" s="1156"/>
      <c r="B31" s="221"/>
      <c r="C31" s="593" t="s">
        <v>1048</v>
      </c>
      <c r="D31" s="282" t="s">
        <v>1059</v>
      </c>
      <c r="E31" s="283">
        <v>2680.4123711340208</v>
      </c>
      <c r="F31" s="44">
        <f t="shared" si="9"/>
        <v>2144.3298969072166</v>
      </c>
      <c r="G31" s="3">
        <f t="shared" si="12"/>
        <v>0</v>
      </c>
      <c r="H31" s="21">
        <f t="shared" si="1"/>
        <v>67.26762886597939</v>
      </c>
      <c r="I31" s="2">
        <f t="shared" si="13"/>
        <v>0</v>
      </c>
      <c r="J31" s="21">
        <f t="shared" si="3"/>
        <v>58.754639175257736</v>
      </c>
      <c r="K31" s="22">
        <f t="shared" si="14"/>
        <v>0</v>
      </c>
      <c r="L31" s="21">
        <f t="shared" si="5"/>
        <v>48.89072164948454</v>
      </c>
      <c r="M31" s="21">
        <f t="shared" si="15"/>
        <v>0</v>
      </c>
      <c r="N31" s="21">
        <f t="shared" si="7"/>
        <v>43.744329896907225</v>
      </c>
      <c r="O31" s="21">
        <f t="shared" si="16"/>
        <v>0</v>
      </c>
      <c r="P31" s="43">
        <f t="shared" si="10"/>
        <v>39.670103092783506</v>
      </c>
      <c r="Q31" s="43">
        <f t="shared" si="11"/>
        <v>0</v>
      </c>
      <c r="R31" s="740"/>
    </row>
    <row r="32" spans="1:18" s="151" customFormat="1" ht="13.5" thickBot="1">
      <c r="A32" s="1156"/>
      <c r="B32" s="221"/>
      <c r="C32" s="593" t="s">
        <v>648</v>
      </c>
      <c r="D32" s="282" t="s">
        <v>1030</v>
      </c>
      <c r="E32" s="283">
        <v>1025.7731958762886</v>
      </c>
      <c r="F32" s="44">
        <f t="shared" si="9"/>
        <v>820.61855670103091</v>
      </c>
      <c r="G32" s="3">
        <f t="shared" si="12"/>
        <v>0</v>
      </c>
      <c r="H32" s="21">
        <f t="shared" si="1"/>
        <v>25.742804123711341</v>
      </c>
      <c r="I32" s="2">
        <f t="shared" si="13"/>
        <v>0</v>
      </c>
      <c r="J32" s="21">
        <f t="shared" si="3"/>
        <v>22.484948453608247</v>
      </c>
      <c r="K32" s="22">
        <f t="shared" si="14"/>
        <v>0</v>
      </c>
      <c r="L32" s="21">
        <f t="shared" si="5"/>
        <v>18.710103092783505</v>
      </c>
      <c r="M32" s="21">
        <f t="shared" si="15"/>
        <v>0</v>
      </c>
      <c r="N32" s="21">
        <f t="shared" si="7"/>
        <v>16.740618556701033</v>
      </c>
      <c r="O32" s="21">
        <f t="shared" si="16"/>
        <v>0</v>
      </c>
      <c r="P32" s="43">
        <f t="shared" si="10"/>
        <v>15.181443298969072</v>
      </c>
      <c r="Q32" s="43">
        <f t="shared" si="11"/>
        <v>0</v>
      </c>
      <c r="R32" s="740"/>
    </row>
    <row r="33" spans="1:18" s="151" customFormat="1" ht="13.5" thickBot="1">
      <c r="A33" s="1156"/>
      <c r="B33" s="221"/>
      <c r="C33" s="593" t="s">
        <v>649</v>
      </c>
      <c r="D33" s="282" t="s">
        <v>1031</v>
      </c>
      <c r="E33" s="283">
        <v>1025.7731958762886</v>
      </c>
      <c r="F33" s="44">
        <f t="shared" si="9"/>
        <v>820.61855670103091</v>
      </c>
      <c r="G33" s="3">
        <f t="shared" si="12"/>
        <v>0</v>
      </c>
      <c r="H33" s="21">
        <f t="shared" si="1"/>
        <v>25.742804123711341</v>
      </c>
      <c r="I33" s="2">
        <f t="shared" si="13"/>
        <v>0</v>
      </c>
      <c r="J33" s="21">
        <f t="shared" si="3"/>
        <v>22.484948453608247</v>
      </c>
      <c r="K33" s="22">
        <f t="shared" si="14"/>
        <v>0</v>
      </c>
      <c r="L33" s="21">
        <f t="shared" si="5"/>
        <v>18.710103092783505</v>
      </c>
      <c r="M33" s="21">
        <f t="shared" si="15"/>
        <v>0</v>
      </c>
      <c r="N33" s="21">
        <f t="shared" si="7"/>
        <v>16.740618556701033</v>
      </c>
      <c r="O33" s="21">
        <f t="shared" si="16"/>
        <v>0</v>
      </c>
      <c r="P33" s="43">
        <f t="shared" si="10"/>
        <v>15.181443298969072</v>
      </c>
      <c r="Q33" s="43">
        <f t="shared" si="11"/>
        <v>0</v>
      </c>
      <c r="R33" s="740"/>
    </row>
    <row r="34" spans="1:18" s="151" customFormat="1" ht="12.6" customHeight="1" thickBot="1">
      <c r="A34" s="1156"/>
      <c r="B34" s="221"/>
      <c r="C34" s="593" t="s">
        <v>1049</v>
      </c>
      <c r="D34" s="282" t="s">
        <v>1060</v>
      </c>
      <c r="E34" s="283">
        <v>1025.7731958762886</v>
      </c>
      <c r="F34" s="44">
        <f t="shared" si="9"/>
        <v>820.61855670103091</v>
      </c>
      <c r="G34" s="3">
        <f t="shared" si="12"/>
        <v>0</v>
      </c>
      <c r="H34" s="21">
        <f t="shared" si="1"/>
        <v>25.742804123711341</v>
      </c>
      <c r="I34" s="2">
        <f t="shared" si="13"/>
        <v>0</v>
      </c>
      <c r="J34" s="21">
        <f t="shared" si="3"/>
        <v>22.484948453608247</v>
      </c>
      <c r="K34" s="22">
        <f t="shared" si="14"/>
        <v>0</v>
      </c>
      <c r="L34" s="21">
        <f t="shared" si="5"/>
        <v>18.710103092783505</v>
      </c>
      <c r="M34" s="21">
        <f t="shared" si="15"/>
        <v>0</v>
      </c>
      <c r="N34" s="21">
        <f t="shared" si="7"/>
        <v>16.740618556701033</v>
      </c>
      <c r="O34" s="21">
        <f t="shared" si="16"/>
        <v>0</v>
      </c>
      <c r="P34" s="43">
        <f t="shared" si="10"/>
        <v>15.181443298969072</v>
      </c>
      <c r="Q34" s="43">
        <f t="shared" si="11"/>
        <v>0</v>
      </c>
      <c r="R34" s="740"/>
    </row>
    <row r="35" spans="1:18" s="151" customFormat="1" ht="13.5" thickBot="1">
      <c r="A35" s="1156"/>
      <c r="B35" s="221"/>
      <c r="C35" s="593" t="s">
        <v>1050</v>
      </c>
      <c r="D35" s="282" t="s">
        <v>1033</v>
      </c>
      <c r="E35" s="283">
        <v>1025.7731958762886</v>
      </c>
      <c r="F35" s="44">
        <f t="shared" si="9"/>
        <v>820.61855670103091</v>
      </c>
      <c r="G35" s="3">
        <f t="shared" si="0"/>
        <v>0</v>
      </c>
      <c r="H35" s="21">
        <f t="shared" si="1"/>
        <v>25.742804123711341</v>
      </c>
      <c r="I35" s="2">
        <f t="shared" si="2"/>
        <v>0</v>
      </c>
      <c r="J35" s="21">
        <f t="shared" si="3"/>
        <v>22.484948453608247</v>
      </c>
      <c r="K35" s="22">
        <f t="shared" si="4"/>
        <v>0</v>
      </c>
      <c r="L35" s="21">
        <f t="shared" si="5"/>
        <v>18.710103092783505</v>
      </c>
      <c r="M35" s="21">
        <f t="shared" si="6"/>
        <v>0</v>
      </c>
      <c r="N35" s="21">
        <f t="shared" si="7"/>
        <v>16.740618556701033</v>
      </c>
      <c r="O35" s="21">
        <f t="shared" si="8"/>
        <v>0</v>
      </c>
      <c r="P35" s="43">
        <f t="shared" si="10"/>
        <v>15.181443298969072</v>
      </c>
      <c r="Q35" s="43">
        <f t="shared" si="11"/>
        <v>0</v>
      </c>
      <c r="R35" s="740"/>
    </row>
    <row r="36" spans="1:18" s="151" customFormat="1" ht="13.5" thickBot="1">
      <c r="A36" s="1227"/>
      <c r="B36" s="221"/>
      <c r="C36" s="593" t="s">
        <v>1051</v>
      </c>
      <c r="D36" s="282" t="s">
        <v>1034</v>
      </c>
      <c r="E36" s="283">
        <v>1025.7731958762886</v>
      </c>
      <c r="F36" s="44">
        <f t="shared" si="9"/>
        <v>820.61855670103091</v>
      </c>
      <c r="G36" s="3">
        <f t="shared" si="0"/>
        <v>0</v>
      </c>
      <c r="H36" s="21">
        <f t="shared" si="1"/>
        <v>25.742804123711341</v>
      </c>
      <c r="I36" s="2">
        <f t="shared" si="2"/>
        <v>0</v>
      </c>
      <c r="J36" s="21">
        <f t="shared" si="3"/>
        <v>22.484948453608247</v>
      </c>
      <c r="K36" s="22">
        <f t="shared" si="4"/>
        <v>0</v>
      </c>
      <c r="L36" s="21">
        <f t="shared" si="5"/>
        <v>18.710103092783505</v>
      </c>
      <c r="M36" s="21">
        <f t="shared" si="6"/>
        <v>0</v>
      </c>
      <c r="N36" s="21">
        <f t="shared" si="7"/>
        <v>16.740618556701033</v>
      </c>
      <c r="O36" s="21">
        <f t="shared" si="8"/>
        <v>0</v>
      </c>
      <c r="P36" s="43">
        <f t="shared" si="10"/>
        <v>15.181443298969072</v>
      </c>
      <c r="Q36" s="43">
        <f t="shared" si="11"/>
        <v>0</v>
      </c>
      <c r="R36" s="740"/>
    </row>
    <row r="37" spans="1:18" s="151" customFormat="1" ht="15">
      <c r="A37" s="156"/>
      <c r="B37" s="106"/>
      <c r="C37" s="106"/>
      <c r="D37" s="997" t="s">
        <v>183</v>
      </c>
      <c r="E37" s="998"/>
      <c r="F37" s="1274"/>
      <c r="G37" s="9">
        <f>SUM(G20:G36)+G17</f>
        <v>0</v>
      </c>
      <c r="H37" s="10" t="s">
        <v>185</v>
      </c>
      <c r="I37" s="9">
        <f>SUM(I20:I36)+I17</f>
        <v>0</v>
      </c>
      <c r="J37" s="10" t="s">
        <v>186</v>
      </c>
      <c r="K37" s="9">
        <f>SUM(K20:K36)+K17</f>
        <v>0</v>
      </c>
      <c r="L37" s="10" t="s">
        <v>187</v>
      </c>
      <c r="M37" s="9">
        <f>SUM(M20:M36)+M17</f>
        <v>0</v>
      </c>
      <c r="N37" s="10" t="s">
        <v>94</v>
      </c>
      <c r="O37" s="9">
        <f>SUM(O20:O36)+O17</f>
        <v>0</v>
      </c>
      <c r="P37" s="10" t="s">
        <v>826</v>
      </c>
      <c r="Q37" s="9">
        <f>SUM(Q20:Q36)+Q17</f>
        <v>0</v>
      </c>
    </row>
    <row r="38" spans="1:18" s="151" customFormat="1">
      <c r="A38" s="162"/>
      <c r="B38" s="104"/>
      <c r="C38" s="104"/>
      <c r="D38" s="162"/>
      <c r="E38" s="162"/>
      <c r="F38" s="24"/>
      <c r="G38" s="24"/>
      <c r="H38" s="26"/>
      <c r="I38" s="26"/>
      <c r="J38" s="26"/>
      <c r="K38" s="26"/>
      <c r="L38" s="26"/>
      <c r="M38" s="26"/>
      <c r="N38" s="26"/>
      <c r="O38" s="26"/>
      <c r="P38" s="26"/>
      <c r="Q38" s="26"/>
    </row>
    <row r="39" spans="1:18" s="151" customFormat="1" ht="15.75">
      <c r="A39" s="104"/>
      <c r="B39" s="271"/>
      <c r="C39" s="271"/>
      <c r="D39" s="272"/>
      <c r="E39" s="272"/>
      <c r="F39" s="25"/>
      <c r="G39" s="7"/>
      <c r="H39" s="8"/>
      <c r="I39" s="8"/>
      <c r="J39" s="8"/>
      <c r="K39" s="8"/>
      <c r="L39" s="666">
        <f>F39*0.0256</f>
        <v>0</v>
      </c>
      <c r="M39" s="8"/>
      <c r="N39" s="8"/>
      <c r="O39" s="8"/>
      <c r="P39" s="8"/>
      <c r="Q39" s="8"/>
    </row>
    <row r="40" spans="1:18" s="156" customFormat="1">
      <c r="A40" s="104"/>
      <c r="B40" s="104"/>
      <c r="C40" s="104"/>
      <c r="D40" s="104"/>
      <c r="E40" s="104"/>
      <c r="F40" s="25"/>
      <c r="G40" s="7"/>
      <c r="H40" s="8"/>
      <c r="I40" s="8"/>
      <c r="J40" s="8"/>
      <c r="K40" s="8"/>
      <c r="L40" s="8"/>
      <c r="M40" s="8"/>
      <c r="N40" s="8"/>
      <c r="O40" s="8"/>
      <c r="P40" s="8"/>
      <c r="Q40" s="8"/>
    </row>
    <row r="41" spans="1:18" s="156" customFormat="1">
      <c r="A41" s="104"/>
      <c r="B41" s="104"/>
      <c r="C41" s="104"/>
      <c r="D41" s="104"/>
      <c r="E41" s="104"/>
      <c r="F41" s="7"/>
      <c r="G41" s="7"/>
      <c r="H41" s="8"/>
      <c r="I41" s="8"/>
      <c r="J41" s="8"/>
      <c r="K41" s="8"/>
      <c r="L41" s="8"/>
      <c r="M41" s="8"/>
      <c r="N41" s="8"/>
      <c r="O41" s="8"/>
      <c r="P41" s="8"/>
      <c r="Q41" s="8"/>
    </row>
    <row r="42" spans="1:18" s="274" customFormat="1" hidden="1">
      <c r="A42" s="104"/>
      <c r="B42" s="104"/>
      <c r="C42" s="104"/>
      <c r="D42" s="104"/>
      <c r="E42" s="104"/>
      <c r="F42" s="7"/>
      <c r="G42" s="7"/>
      <c r="H42" s="8"/>
      <c r="I42" s="8"/>
      <c r="J42" s="8"/>
      <c r="K42" s="8"/>
      <c r="L42" s="8"/>
      <c r="M42" s="8"/>
      <c r="N42" s="8"/>
      <c r="O42" s="8"/>
      <c r="P42" s="8"/>
      <c r="Q42" s="8"/>
    </row>
    <row r="43" spans="1:18" s="156" customFormat="1">
      <c r="A43" s="104"/>
      <c r="B43" s="104"/>
      <c r="C43" s="104"/>
      <c r="D43" s="104"/>
      <c r="E43" s="104"/>
      <c r="F43" s="165"/>
      <c r="G43" s="7"/>
      <c r="H43" s="104"/>
      <c r="I43" s="8"/>
      <c r="J43" s="104"/>
      <c r="K43" s="8"/>
      <c r="L43" s="104"/>
      <c r="M43" s="8"/>
      <c r="N43" s="104"/>
      <c r="O43" s="8"/>
      <c r="P43" s="104"/>
      <c r="Q43" s="8"/>
    </row>
    <row r="44" spans="1:18" s="162" customFormat="1">
      <c r="A44" s="104"/>
      <c r="B44" s="104"/>
      <c r="C44" s="104"/>
      <c r="D44" s="104"/>
      <c r="E44" s="104"/>
      <c r="F44" s="165"/>
      <c r="G44" s="165"/>
      <c r="H44" s="104"/>
      <c r="I44" s="104"/>
      <c r="J44" s="104"/>
      <c r="K44" s="104"/>
      <c r="L44" s="104"/>
      <c r="M44" s="104"/>
      <c r="N44" s="104"/>
      <c r="O44" s="104"/>
      <c r="P44" s="104"/>
      <c r="Q44" s="104"/>
    </row>
    <row r="57" spans="2:3">
      <c r="B57" s="106"/>
      <c r="C57" s="106"/>
    </row>
  </sheetData>
  <mergeCells count="20">
    <mergeCell ref="Q17:Q18"/>
    <mergeCell ref="A19:Q19"/>
    <mergeCell ref="A20:A36"/>
    <mergeCell ref="D37:F37"/>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7">
    <tabColor rgb="FFFF0000"/>
  </sheetPr>
  <dimension ref="A1:R40"/>
  <sheetViews>
    <sheetView zoomScale="84" zoomScaleNormal="84" workbookViewId="0">
      <selection activeCell="F17" sqref="F17"/>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3458</v>
      </c>
      <c r="B4" s="979"/>
      <c r="C4" s="979"/>
      <c r="D4" s="979"/>
      <c r="E4" s="979"/>
      <c r="F4" s="979"/>
      <c r="G4" s="979"/>
      <c r="H4" s="979"/>
      <c r="I4" s="979"/>
      <c r="J4" s="979"/>
      <c r="K4" s="979"/>
      <c r="L4" s="979"/>
      <c r="M4" s="979"/>
      <c r="N4" s="979"/>
      <c r="O4" s="979"/>
    </row>
    <row r="5" spans="1:18" s="114" customFormat="1" ht="41.25" customHeight="1">
      <c r="A5" s="1276" t="s">
        <v>3457</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D8" s="136"/>
      <c r="E8" s="136"/>
      <c r="H8" s="123"/>
    </row>
    <row r="9" spans="1:18" s="113" customFormat="1" ht="12" customHeight="1">
      <c r="F9" s="249"/>
      <c r="G9" s="249"/>
      <c r="H9" s="123"/>
      <c r="I9" s="124"/>
      <c r="J9" s="124"/>
      <c r="L9" s="124"/>
    </row>
    <row r="10" spans="1:18" s="113" customFormat="1" ht="18.75" thickBot="1">
      <c r="A10" s="1279" t="s">
        <v>23</v>
      </c>
      <c r="B10" s="1245"/>
      <c r="C10" s="1245"/>
      <c r="D10" s="1245"/>
      <c r="E10" s="1245"/>
      <c r="F10" s="1245"/>
      <c r="G10" s="1245"/>
      <c r="H10" s="1245"/>
      <c r="I10" s="1245"/>
      <c r="J10" s="1245"/>
      <c r="K10" s="1245"/>
      <c r="L10" s="1245"/>
      <c r="M10" s="1245"/>
      <c r="N10" s="1245"/>
      <c r="O10" s="1245"/>
      <c r="P10" s="1245"/>
      <c r="Q10" s="1245"/>
    </row>
    <row r="11" spans="1:18" s="113" customFormat="1" ht="18" customHeight="1">
      <c r="A11" s="1280" t="s">
        <v>3441</v>
      </c>
      <c r="B11" s="1281"/>
      <c r="C11" s="1281"/>
      <c r="D11" s="1281"/>
      <c r="E11" s="1281"/>
      <c r="F11" s="1281"/>
      <c r="G11" s="1281"/>
      <c r="H11" s="1281"/>
      <c r="I11" s="1281"/>
      <c r="J11" s="1281"/>
      <c r="K11" s="1281"/>
      <c r="L11" s="1281"/>
      <c r="M11" s="1281"/>
      <c r="N11" s="1281"/>
      <c r="O11" s="1281"/>
      <c r="P11" s="1281"/>
      <c r="Q11" s="1282"/>
    </row>
    <row r="12" spans="1:18" s="113" customFormat="1" ht="18" customHeight="1">
      <c r="A12" s="1240" t="s">
        <v>91</v>
      </c>
      <c r="B12" s="1241"/>
      <c r="C12" s="1241"/>
      <c r="D12" s="1241"/>
      <c r="E12" s="1241"/>
      <c r="F12" s="1241"/>
      <c r="G12" s="1241"/>
      <c r="H12" s="1241"/>
      <c r="I12" s="1264">
        <v>589</v>
      </c>
      <c r="J12" s="1264"/>
      <c r="K12" s="1264"/>
      <c r="L12" s="1264"/>
      <c r="M12" s="1264"/>
      <c r="N12" s="1264"/>
      <c r="O12" s="1264"/>
      <c r="P12" s="1264"/>
      <c r="Q12" s="1283"/>
    </row>
    <row r="13" spans="1:18" s="113" customFormat="1" ht="18" customHeight="1" thickBot="1">
      <c r="A13" s="1234" t="s">
        <v>0</v>
      </c>
      <c r="B13" s="1235"/>
      <c r="C13" s="1235"/>
      <c r="D13" s="1235"/>
      <c r="E13" s="1235"/>
      <c r="F13" s="1235"/>
      <c r="G13" s="1235"/>
      <c r="H13" s="1235"/>
      <c r="I13" s="1235"/>
      <c r="J13" s="1235"/>
      <c r="K13" s="1235"/>
      <c r="L13" s="1235"/>
      <c r="M13" s="1235"/>
      <c r="N13" s="1235"/>
      <c r="O13" s="1235"/>
      <c r="P13" s="1235"/>
      <c r="Q13" s="1236"/>
    </row>
    <row r="14" spans="1:18" s="113" customFormat="1" ht="15" thickBot="1">
      <c r="D14" s="136"/>
      <c r="E14" s="136"/>
      <c r="F14" s="135"/>
      <c r="G14" s="135"/>
      <c r="I14" s="150"/>
      <c r="J14" s="150"/>
      <c r="K14" s="150"/>
      <c r="L14" s="150"/>
    </row>
    <row r="15" spans="1:18" s="113" customFormat="1" ht="13.5" thickBot="1">
      <c r="F15" s="1217" t="s">
        <v>167</v>
      </c>
      <c r="G15" s="1008"/>
      <c r="H15" s="1009" t="s">
        <v>168</v>
      </c>
      <c r="I15" s="1010"/>
      <c r="J15" s="1010"/>
      <c r="K15" s="1010"/>
      <c r="L15" s="1010"/>
      <c r="M15" s="1010"/>
      <c r="N15" s="1010"/>
      <c r="O15" s="1010"/>
      <c r="P15" s="1010"/>
      <c r="Q15" s="1301"/>
    </row>
    <row r="16" spans="1:18" s="113" customFormat="1" ht="57.75" customHeight="1" thickBot="1">
      <c r="A16" s="254" t="s">
        <v>122</v>
      </c>
      <c r="B16" s="254" t="s">
        <v>169</v>
      </c>
      <c r="C16" s="255" t="s">
        <v>170</v>
      </c>
      <c r="D16" s="255" t="s">
        <v>171</v>
      </c>
      <c r="E16" s="255" t="s">
        <v>172</v>
      </c>
      <c r="F16" s="255" t="s">
        <v>173</v>
      </c>
      <c r="G16" s="254" t="s">
        <v>174</v>
      </c>
      <c r="H16" s="255" t="s">
        <v>176</v>
      </c>
      <c r="I16" s="254" t="s">
        <v>174</v>
      </c>
      <c r="J16" s="255" t="s">
        <v>177</v>
      </c>
      <c r="K16" s="254" t="s">
        <v>174</v>
      </c>
      <c r="L16" s="255" t="s">
        <v>178</v>
      </c>
      <c r="M16" s="254" t="s">
        <v>174</v>
      </c>
      <c r="N16" s="255" t="s">
        <v>157</v>
      </c>
      <c r="O16" s="254" t="s">
        <v>174</v>
      </c>
      <c r="P16" s="255" t="s">
        <v>824</v>
      </c>
      <c r="Q16" s="254" t="s">
        <v>174</v>
      </c>
    </row>
    <row r="17" spans="1:17" s="113" customFormat="1" ht="46.5" customHeight="1" thickBot="1">
      <c r="A17" s="1287">
        <v>45</v>
      </c>
      <c r="B17" s="1288" t="s">
        <v>817</v>
      </c>
      <c r="C17" s="258" t="s">
        <v>3442</v>
      </c>
      <c r="D17" s="281" t="s">
        <v>3458</v>
      </c>
      <c r="E17" s="260">
        <v>21136.880000000001</v>
      </c>
      <c r="F17" s="19">
        <f>SUM(E17:E18)*(1-20%)</f>
        <v>17116.704000000002</v>
      </c>
      <c r="G17" s="1162">
        <f>F17*B17</f>
        <v>17116.704000000002</v>
      </c>
      <c r="H17" s="19">
        <f>F17*0.03137+I12/12</f>
        <v>586.03433781333342</v>
      </c>
      <c r="I17" s="1162">
        <f>H17*B17</f>
        <v>586.03433781333342</v>
      </c>
      <c r="J17" s="19">
        <f>F17*0.0274+I12/12</f>
        <v>518.08102293333343</v>
      </c>
      <c r="K17" s="1162">
        <f>J17*B17</f>
        <v>518.08102293333343</v>
      </c>
      <c r="L17" s="20">
        <f>F17*0.0228+I12/12</f>
        <v>439.34418453333336</v>
      </c>
      <c r="M17" s="1162">
        <f>L17*B17</f>
        <v>439.34418453333336</v>
      </c>
      <c r="N17" s="20">
        <f>F17*0.0204+I12/12</f>
        <v>398.26409493333335</v>
      </c>
      <c r="O17" s="1162">
        <f>N17*B17</f>
        <v>398.26409493333335</v>
      </c>
      <c r="P17" s="20">
        <f>F17*0.0185+I12/12</f>
        <v>365.7423573333333</v>
      </c>
      <c r="Q17" s="1162">
        <f>P17*B17</f>
        <v>365.7423573333333</v>
      </c>
    </row>
    <row r="18" spans="1:17" s="113" customFormat="1" ht="13.5" thickBot="1">
      <c r="A18" s="1287"/>
      <c r="B18" s="1288"/>
      <c r="C18" s="261" t="s">
        <v>104</v>
      </c>
      <c r="D18" s="262" t="s">
        <v>180</v>
      </c>
      <c r="E18" s="263">
        <v>259</v>
      </c>
      <c r="F18" s="264" t="s">
        <v>162</v>
      </c>
      <c r="G18" s="1284"/>
      <c r="H18" s="265" t="s">
        <v>162</v>
      </c>
      <c r="I18" s="1284"/>
      <c r="J18" s="265" t="s">
        <v>162</v>
      </c>
      <c r="K18" s="1284"/>
      <c r="L18" s="265" t="s">
        <v>162</v>
      </c>
      <c r="M18" s="1284"/>
      <c r="N18" s="265" t="s">
        <v>162</v>
      </c>
      <c r="O18" s="1284"/>
      <c r="P18" s="265" t="s">
        <v>162</v>
      </c>
      <c r="Q18" s="1167"/>
    </row>
    <row r="19" spans="1:17" s="266" customFormat="1" ht="15.75" customHeight="1" thickBot="1">
      <c r="A19" s="1285" t="s">
        <v>182</v>
      </c>
      <c r="B19" s="1286"/>
      <c r="C19" s="1272"/>
      <c r="D19" s="1272"/>
      <c r="E19" s="1272"/>
      <c r="F19" s="1272"/>
      <c r="G19" s="1272"/>
      <c r="H19" s="1272"/>
      <c r="I19" s="1272"/>
      <c r="J19" s="1272"/>
      <c r="K19" s="1272"/>
      <c r="L19" s="1272"/>
      <c r="M19" s="1272"/>
      <c r="N19" s="1272"/>
      <c r="O19" s="1272"/>
      <c r="P19" s="1272"/>
      <c r="Q19" s="1273"/>
    </row>
    <row r="20" spans="1:17" s="151" customFormat="1" ht="15">
      <c r="A20" s="156"/>
      <c r="B20" s="106"/>
      <c r="C20" s="106"/>
      <c r="D20" s="997" t="s">
        <v>183</v>
      </c>
      <c r="E20" s="998"/>
      <c r="F20" s="1274"/>
      <c r="G20" s="9">
        <f>G17</f>
        <v>17116.704000000002</v>
      </c>
      <c r="H20" s="10" t="s">
        <v>185</v>
      </c>
      <c r="I20" s="9">
        <f>I17</f>
        <v>586.03433781333342</v>
      </c>
      <c r="J20" s="10" t="s">
        <v>186</v>
      </c>
      <c r="K20" s="9">
        <f>K17</f>
        <v>518.08102293333343</v>
      </c>
      <c r="L20" s="10" t="s">
        <v>187</v>
      </c>
      <c r="M20" s="9">
        <f>M17</f>
        <v>439.34418453333336</v>
      </c>
      <c r="N20" s="10" t="s">
        <v>94</v>
      </c>
      <c r="O20" s="9">
        <f>O17</f>
        <v>398.26409493333335</v>
      </c>
      <c r="P20" s="10" t="s">
        <v>826</v>
      </c>
      <c r="Q20" s="9">
        <f>Q17</f>
        <v>365.7423573333333</v>
      </c>
    </row>
    <row r="21" spans="1:17" s="151" customFormat="1">
      <c r="A21" s="162"/>
      <c r="B21" s="104"/>
      <c r="C21" s="104"/>
      <c r="D21" s="162"/>
      <c r="E21" s="162"/>
      <c r="F21" s="24"/>
      <c r="G21" s="24"/>
      <c r="H21" s="26"/>
      <c r="I21" s="26"/>
      <c r="J21" s="26"/>
      <c r="K21" s="26"/>
      <c r="L21" s="26"/>
      <c r="M21" s="26"/>
      <c r="N21" s="26"/>
      <c r="O21" s="26"/>
      <c r="P21" s="26"/>
      <c r="Q21" s="26"/>
    </row>
    <row r="22" spans="1:17" s="151" customFormat="1" ht="15.75">
      <c r="A22" s="104"/>
      <c r="B22" s="271"/>
      <c r="C22" s="271"/>
      <c r="D22" s="272"/>
      <c r="E22" s="272"/>
      <c r="F22" s="25"/>
      <c r="G22" s="7"/>
      <c r="H22" s="8"/>
      <c r="I22" s="8"/>
      <c r="J22" s="8"/>
      <c r="K22" s="8"/>
      <c r="L22" s="8"/>
      <c r="M22" s="8"/>
      <c r="N22" s="8"/>
      <c r="O22" s="8"/>
      <c r="P22" s="8"/>
      <c r="Q22" s="8"/>
    </row>
    <row r="23" spans="1:17" s="156" customFormat="1">
      <c r="A23" s="104"/>
      <c r="B23" s="104"/>
      <c r="C23" s="104"/>
      <c r="D23" s="104"/>
      <c r="E23" s="104"/>
      <c r="F23" s="25"/>
      <c r="G23" s="7"/>
      <c r="H23" s="8"/>
      <c r="I23" s="8"/>
      <c r="J23" s="8"/>
      <c r="K23" s="8"/>
      <c r="L23" s="8"/>
      <c r="M23" s="8"/>
      <c r="N23" s="8"/>
      <c r="O23" s="8"/>
      <c r="P23" s="8"/>
      <c r="Q23" s="8"/>
    </row>
    <row r="24" spans="1:17" s="156" customFormat="1">
      <c r="A24" s="104"/>
      <c r="B24" s="104"/>
      <c r="C24" s="104"/>
      <c r="D24" s="104"/>
      <c r="E24" s="104"/>
      <c r="F24" s="7"/>
      <c r="G24" s="7"/>
      <c r="H24" s="8"/>
      <c r="I24" s="8"/>
      <c r="J24" s="8"/>
      <c r="K24" s="8"/>
      <c r="L24" s="8"/>
      <c r="M24" s="8"/>
      <c r="N24" s="8"/>
      <c r="O24" s="8"/>
      <c r="P24" s="8"/>
      <c r="Q24" s="8"/>
    </row>
    <row r="25" spans="1:17" s="274" customFormat="1" hidden="1">
      <c r="A25" s="104"/>
      <c r="B25" s="104"/>
      <c r="C25" s="104"/>
      <c r="D25" s="104"/>
      <c r="E25" s="104"/>
      <c r="F25" s="7"/>
      <c r="G25" s="7"/>
      <c r="H25" s="8"/>
      <c r="I25" s="8"/>
      <c r="J25" s="8"/>
      <c r="K25" s="8"/>
      <c r="L25" s="8"/>
      <c r="M25" s="8"/>
      <c r="N25" s="8"/>
      <c r="O25" s="8"/>
      <c r="P25" s="8"/>
      <c r="Q25" s="8"/>
    </row>
    <row r="26" spans="1:17" s="156" customFormat="1">
      <c r="A26" s="104"/>
      <c r="B26" s="104"/>
      <c r="C26" s="104"/>
      <c r="D26" s="104"/>
      <c r="E26" s="104"/>
      <c r="F26" s="165"/>
      <c r="G26" s="7"/>
      <c r="H26" s="104"/>
      <c r="I26" s="8"/>
      <c r="J26" s="104"/>
      <c r="K26" s="8"/>
      <c r="L26" s="104"/>
      <c r="M26" s="8"/>
      <c r="N26" s="104"/>
      <c r="O26" s="8"/>
      <c r="P26" s="104"/>
      <c r="Q26" s="8"/>
    </row>
    <row r="27" spans="1:17" s="162" customFormat="1">
      <c r="A27" s="104"/>
      <c r="B27" s="104"/>
      <c r="C27" s="104"/>
      <c r="D27" s="104"/>
      <c r="E27" s="104"/>
      <c r="F27" s="165"/>
      <c r="G27" s="165"/>
      <c r="H27" s="104"/>
      <c r="I27" s="104"/>
      <c r="J27" s="104"/>
      <c r="K27" s="104"/>
      <c r="L27" s="104"/>
      <c r="M27" s="104"/>
      <c r="N27" s="104"/>
      <c r="O27" s="104"/>
      <c r="P27" s="104"/>
      <c r="Q27" s="104"/>
    </row>
    <row r="39" spans="2:12">
      <c r="L39" s="665"/>
    </row>
    <row r="40" spans="2:12">
      <c r="B40" s="106"/>
      <c r="C40" s="106"/>
    </row>
  </sheetData>
  <mergeCells count="19">
    <mergeCell ref="A4:O4"/>
    <mergeCell ref="A5:O5"/>
    <mergeCell ref="A10:Q10"/>
    <mergeCell ref="A11:Q11"/>
    <mergeCell ref="M17:M18"/>
    <mergeCell ref="O17:O18"/>
    <mergeCell ref="Q17:Q18"/>
    <mergeCell ref="A19:Q19"/>
    <mergeCell ref="D20:F20"/>
    <mergeCell ref="A12:H12"/>
    <mergeCell ref="I12:Q12"/>
    <mergeCell ref="A13:Q13"/>
    <mergeCell ref="F15:G15"/>
    <mergeCell ref="H15:Q15"/>
    <mergeCell ref="A17:A18"/>
    <mergeCell ref="B17:B18"/>
    <mergeCell ref="G17:G18"/>
    <mergeCell ref="I17:I18"/>
    <mergeCell ref="K17:K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8">
    <tabColor rgb="FFFF0000"/>
  </sheetPr>
  <dimension ref="A1:R42"/>
  <sheetViews>
    <sheetView topLeftCell="E8" zoomScale="84" zoomScaleNormal="84" workbookViewId="0">
      <selection activeCell="L38" sqref="L38"/>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8" width="11.7109375" style="104" bestFit="1" customWidth="1"/>
    <col min="19"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3459</v>
      </c>
      <c r="B4" s="979"/>
      <c r="C4" s="979"/>
      <c r="D4" s="979"/>
      <c r="E4" s="979"/>
      <c r="F4" s="979"/>
      <c r="G4" s="979"/>
      <c r="H4" s="979"/>
      <c r="I4" s="979"/>
      <c r="J4" s="979"/>
      <c r="K4" s="979"/>
      <c r="L4" s="979"/>
      <c r="M4" s="979"/>
      <c r="N4" s="979"/>
      <c r="O4" s="979"/>
    </row>
    <row r="5" spans="1:18" s="114" customFormat="1" ht="41.25" customHeight="1">
      <c r="A5" s="1276" t="s">
        <v>3457</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D8" s="136"/>
      <c r="E8" s="136"/>
      <c r="H8" s="123"/>
    </row>
    <row r="9" spans="1:18" s="113" customFormat="1" ht="12" customHeight="1">
      <c r="F9" s="249"/>
      <c r="G9" s="249"/>
      <c r="H9" s="123"/>
      <c r="I9" s="124"/>
      <c r="J9" s="124"/>
      <c r="L9" s="124"/>
    </row>
    <row r="10" spans="1:18" s="113" customFormat="1" ht="18.75" thickBot="1">
      <c r="A10" s="1279" t="s">
        <v>23</v>
      </c>
      <c r="B10" s="1245"/>
      <c r="C10" s="1245"/>
      <c r="D10" s="1245"/>
      <c r="E10" s="1245"/>
      <c r="F10" s="1245"/>
      <c r="G10" s="1245"/>
      <c r="H10" s="1245"/>
      <c r="I10" s="1245"/>
      <c r="J10" s="1245"/>
      <c r="K10" s="1245"/>
      <c r="L10" s="1245"/>
      <c r="M10" s="1245"/>
      <c r="N10" s="1245"/>
      <c r="O10" s="1245"/>
      <c r="P10" s="1245"/>
      <c r="Q10" s="1245"/>
    </row>
    <row r="11" spans="1:18" s="113" customFormat="1" ht="18" customHeight="1">
      <c r="A11" s="1280" t="s">
        <v>3460</v>
      </c>
      <c r="B11" s="1281"/>
      <c r="C11" s="1281"/>
      <c r="D11" s="1281"/>
      <c r="E11" s="1281"/>
      <c r="F11" s="1281"/>
      <c r="G11" s="1281"/>
      <c r="H11" s="1281"/>
      <c r="I11" s="1281"/>
      <c r="J11" s="1281"/>
      <c r="K11" s="1281"/>
      <c r="L11" s="1281"/>
      <c r="M11" s="1281"/>
      <c r="N11" s="1281"/>
      <c r="O11" s="1281"/>
      <c r="P11" s="1281"/>
      <c r="Q11" s="1282"/>
    </row>
    <row r="12" spans="1:18" s="113" customFormat="1" ht="18" customHeight="1">
      <c r="A12" s="1240" t="s">
        <v>91</v>
      </c>
      <c r="B12" s="1241"/>
      <c r="C12" s="1241"/>
      <c r="D12" s="1241"/>
      <c r="E12" s="1241"/>
      <c r="F12" s="1241"/>
      <c r="G12" s="1241"/>
      <c r="H12" s="1241"/>
      <c r="I12" s="1264">
        <v>583</v>
      </c>
      <c r="J12" s="1264"/>
      <c r="K12" s="1264"/>
      <c r="L12" s="1264"/>
      <c r="M12" s="1264"/>
      <c r="N12" s="1264"/>
      <c r="O12" s="1264"/>
      <c r="P12" s="1264"/>
      <c r="Q12" s="1283"/>
    </row>
    <row r="13" spans="1:18" s="113" customFormat="1" ht="18" customHeight="1" thickBot="1">
      <c r="A13" s="1234" t="s">
        <v>0</v>
      </c>
      <c r="B13" s="1235"/>
      <c r="C13" s="1235"/>
      <c r="D13" s="1235"/>
      <c r="E13" s="1235"/>
      <c r="F13" s="1235"/>
      <c r="G13" s="1235"/>
      <c r="H13" s="1235"/>
      <c r="I13" s="1235"/>
      <c r="J13" s="1235"/>
      <c r="K13" s="1235"/>
      <c r="L13" s="1235"/>
      <c r="M13" s="1235"/>
      <c r="N13" s="1235"/>
      <c r="O13" s="1235"/>
      <c r="P13" s="1235"/>
      <c r="Q13" s="1236"/>
    </row>
    <row r="14" spans="1:18" s="113" customFormat="1" ht="15" thickBot="1">
      <c r="D14" s="136"/>
      <c r="E14" s="136"/>
      <c r="F14" s="135"/>
      <c r="G14" s="135"/>
      <c r="I14" s="150"/>
      <c r="J14" s="150"/>
      <c r="K14" s="150"/>
      <c r="L14" s="150"/>
    </row>
    <row r="15" spans="1:18" s="113" customFormat="1" ht="13.5" thickBot="1">
      <c r="F15" s="1217" t="s">
        <v>167</v>
      </c>
      <c r="G15" s="1008"/>
      <c r="H15" s="1277" t="s">
        <v>168</v>
      </c>
      <c r="I15" s="1278"/>
      <c r="J15" s="1278"/>
      <c r="K15" s="1278"/>
      <c r="L15" s="1278"/>
      <c r="M15" s="1278"/>
      <c r="N15" s="1278"/>
      <c r="O15" s="1278"/>
      <c r="P15" s="1278"/>
      <c r="Q15" s="1278"/>
    </row>
    <row r="16" spans="1:18" s="113" customFormat="1" ht="57.75" customHeight="1" thickBot="1">
      <c r="A16" s="254" t="s">
        <v>122</v>
      </c>
      <c r="B16" s="254" t="s">
        <v>169</v>
      </c>
      <c r="C16" s="255" t="s">
        <v>170</v>
      </c>
      <c r="D16" s="255" t="s">
        <v>171</v>
      </c>
      <c r="E16" s="255" t="s">
        <v>172</v>
      </c>
      <c r="F16" s="255" t="s">
        <v>173</v>
      </c>
      <c r="G16" s="254" t="s">
        <v>174</v>
      </c>
      <c r="H16" s="255" t="s">
        <v>176</v>
      </c>
      <c r="I16" s="254" t="s">
        <v>174</v>
      </c>
      <c r="J16" s="255" t="s">
        <v>177</v>
      </c>
      <c r="K16" s="254" t="s">
        <v>174</v>
      </c>
      <c r="L16" s="255" t="s">
        <v>178</v>
      </c>
      <c r="M16" s="254" t="s">
        <v>174</v>
      </c>
      <c r="N16" s="255" t="s">
        <v>157</v>
      </c>
      <c r="O16" s="254" t="s">
        <v>174</v>
      </c>
      <c r="P16" s="255" t="s">
        <v>824</v>
      </c>
      <c r="Q16" s="254" t="s">
        <v>174</v>
      </c>
    </row>
    <row r="17" spans="1:18" s="113" customFormat="1" ht="46.5" customHeight="1" thickBot="1">
      <c r="A17" s="1287">
        <v>46</v>
      </c>
      <c r="B17" s="1288"/>
      <c r="C17" s="258" t="s">
        <v>3442</v>
      </c>
      <c r="D17" s="281" t="s">
        <v>3459</v>
      </c>
      <c r="E17" s="260">
        <v>12373.99</v>
      </c>
      <c r="F17" s="19">
        <f>SUM(E17:E18)*(1-20%)</f>
        <v>10106.392</v>
      </c>
      <c r="G17" s="1162">
        <f>F17*B17</f>
        <v>0</v>
      </c>
      <c r="H17" s="19">
        <f>F17*0.03137+I12/12</f>
        <v>365.62085037333333</v>
      </c>
      <c r="I17" s="1162">
        <f>H17*B17</f>
        <v>0</v>
      </c>
      <c r="J17" s="19">
        <f>F17*0.0274+I12/12</f>
        <v>325.49847413333333</v>
      </c>
      <c r="K17" s="1162">
        <f>J17*B17</f>
        <v>0</v>
      </c>
      <c r="L17" s="20">
        <f>F17*0.0228+I12/12</f>
        <v>279.00907093333331</v>
      </c>
      <c r="M17" s="1162">
        <f>L17*B17</f>
        <v>0</v>
      </c>
      <c r="N17" s="20">
        <f>F17*0.0204+I12/12</f>
        <v>254.75373013333336</v>
      </c>
      <c r="O17" s="1162">
        <f>N17*B17</f>
        <v>0</v>
      </c>
      <c r="P17" s="20">
        <f>F17*0.0185+I12/12</f>
        <v>235.55158533333332</v>
      </c>
      <c r="Q17" s="1162">
        <f>P17*B17</f>
        <v>0</v>
      </c>
    </row>
    <row r="18" spans="1:18" s="113" customFormat="1" ht="13.5" thickBot="1">
      <c r="A18" s="1287"/>
      <c r="B18" s="1288"/>
      <c r="C18" s="261" t="s">
        <v>104</v>
      </c>
      <c r="D18" s="262" t="s">
        <v>180</v>
      </c>
      <c r="E18" s="263">
        <v>259</v>
      </c>
      <c r="F18" s="264" t="s">
        <v>162</v>
      </c>
      <c r="G18" s="1284"/>
      <c r="H18" s="265" t="s">
        <v>162</v>
      </c>
      <c r="I18" s="1284"/>
      <c r="J18" s="265" t="s">
        <v>162</v>
      </c>
      <c r="K18" s="1284"/>
      <c r="L18" s="265" t="s">
        <v>162</v>
      </c>
      <c r="M18" s="1284"/>
      <c r="N18" s="265" t="s">
        <v>162</v>
      </c>
      <c r="O18" s="1284"/>
      <c r="P18" s="265" t="s">
        <v>162</v>
      </c>
      <c r="Q18" s="1167"/>
    </row>
    <row r="19" spans="1:18" s="266" customFormat="1" ht="15.6" customHeight="1" thickBot="1">
      <c r="A19" s="1302" t="s">
        <v>182</v>
      </c>
      <c r="B19" s="1303"/>
      <c r="C19" s="1304"/>
      <c r="D19" s="1304"/>
      <c r="E19" s="1304"/>
      <c r="F19" s="1304"/>
      <c r="G19" s="1304"/>
      <c r="H19" s="1304"/>
      <c r="I19" s="1304"/>
      <c r="J19" s="1304"/>
      <c r="K19" s="1304"/>
      <c r="L19" s="1304"/>
      <c r="M19" s="1304"/>
      <c r="N19" s="1304"/>
      <c r="O19" s="1304"/>
      <c r="P19" s="1304"/>
      <c r="Q19" s="1305"/>
    </row>
    <row r="20" spans="1:18" s="151" customFormat="1" ht="26.25" thickBot="1">
      <c r="A20" s="1306"/>
      <c r="B20" s="221"/>
      <c r="C20" s="282">
        <v>5557022</v>
      </c>
      <c r="D20" s="282" t="s">
        <v>3462</v>
      </c>
      <c r="E20" s="283">
        <v>14273.195876288661</v>
      </c>
      <c r="F20" s="44">
        <f>E20*(1-20%)</f>
        <v>11418.55670103093</v>
      </c>
      <c r="G20" s="3">
        <f>F20*B20</f>
        <v>0</v>
      </c>
      <c r="H20" s="21">
        <f>F20*0.03137</f>
        <v>358.20012371134027</v>
      </c>
      <c r="I20" s="2">
        <f>H20*B20</f>
        <v>0</v>
      </c>
      <c r="J20" s="21">
        <f>F20*0.0274</f>
        <v>312.86845360824748</v>
      </c>
      <c r="K20" s="22">
        <f>J20*B20</f>
        <v>0</v>
      </c>
      <c r="L20" s="21">
        <f>F20*0.0228</f>
        <v>260.3430927835052</v>
      </c>
      <c r="M20" s="21">
        <f>L20*B20</f>
        <v>0</v>
      </c>
      <c r="N20" s="21">
        <f>F20*0.0204</f>
        <v>232.93855670103099</v>
      </c>
      <c r="O20" s="21">
        <f>N20*B20</f>
        <v>0</v>
      </c>
      <c r="P20" s="43">
        <f>F20*0.0185</f>
        <v>211.24329896907219</v>
      </c>
      <c r="Q20" s="43">
        <f>P20*B20</f>
        <v>0</v>
      </c>
      <c r="R20" s="715"/>
    </row>
    <row r="21" spans="1:18" s="151" customFormat="1" ht="13.5" thickBot="1">
      <c r="A21" s="1307"/>
      <c r="B21" s="221"/>
      <c r="C21" s="282">
        <v>2786351</v>
      </c>
      <c r="D21" s="282" t="s">
        <v>3461</v>
      </c>
      <c r="E21" s="283">
        <v>2392.7835051546394</v>
      </c>
      <c r="F21" s="44">
        <f>E21*(1-20%)</f>
        <v>1914.2268041237116</v>
      </c>
      <c r="G21" s="3">
        <f>F21*B21</f>
        <v>0</v>
      </c>
      <c r="H21" s="21">
        <f>F21*0.03137</f>
        <v>60.049294845360841</v>
      </c>
      <c r="I21" s="2">
        <f>H21*B21</f>
        <v>0</v>
      </c>
      <c r="J21" s="21">
        <f>F21*0.0274</f>
        <v>52.449814432989697</v>
      </c>
      <c r="K21" s="22">
        <f>J21*B21</f>
        <v>0</v>
      </c>
      <c r="L21" s="21">
        <f>F21*0.0228</f>
        <v>43.644371134020631</v>
      </c>
      <c r="M21" s="21">
        <f>L21*B21</f>
        <v>0</v>
      </c>
      <c r="N21" s="21">
        <f>F21*0.0204</f>
        <v>39.050226804123717</v>
      </c>
      <c r="O21" s="21">
        <f>N21*B21</f>
        <v>0</v>
      </c>
      <c r="P21" s="43">
        <f>F21*0.0185</f>
        <v>35.413195876288661</v>
      </c>
      <c r="Q21" s="43">
        <f>P21*B21</f>
        <v>0</v>
      </c>
      <c r="R21" s="715"/>
    </row>
    <row r="22" spans="1:18" s="151" customFormat="1" ht="15">
      <c r="A22" s="156"/>
      <c r="B22" s="106"/>
      <c r="C22" s="106"/>
      <c r="D22" s="997" t="s">
        <v>183</v>
      </c>
      <c r="E22" s="998"/>
      <c r="F22" s="1274"/>
      <c r="G22" s="9">
        <f>SUM(G20:G21)+G17</f>
        <v>0</v>
      </c>
      <c r="H22" s="10" t="s">
        <v>185</v>
      </c>
      <c r="I22" s="9">
        <f>SUM(I20:I21)+I17</f>
        <v>0</v>
      </c>
      <c r="J22" s="10" t="s">
        <v>186</v>
      </c>
      <c r="K22" s="9">
        <f>SUM(K20:K21)+K17</f>
        <v>0</v>
      </c>
      <c r="L22" s="10" t="s">
        <v>187</v>
      </c>
      <c r="M22" s="9">
        <f>SUM(M20:M21)+M17</f>
        <v>0</v>
      </c>
      <c r="N22" s="10" t="s">
        <v>94</v>
      </c>
      <c r="O22" s="9">
        <f>SUM(O20:O21)+O17</f>
        <v>0</v>
      </c>
      <c r="P22" s="10" t="s">
        <v>826</v>
      </c>
      <c r="Q22" s="9">
        <f>SUM(Q20:Q21)+Q17</f>
        <v>0</v>
      </c>
    </row>
    <row r="23" spans="1:18" s="151" customFormat="1">
      <c r="A23" s="162"/>
      <c r="B23" s="104"/>
      <c r="C23" s="104"/>
      <c r="D23" s="162"/>
      <c r="E23" s="162"/>
      <c r="F23" s="24"/>
      <c r="G23" s="24"/>
      <c r="H23" s="26"/>
      <c r="I23" s="26"/>
      <c r="J23" s="26"/>
      <c r="K23" s="26"/>
      <c r="L23" s="26"/>
      <c r="M23" s="26"/>
      <c r="N23" s="26"/>
      <c r="O23" s="26"/>
      <c r="P23" s="26"/>
      <c r="Q23" s="26"/>
    </row>
    <row r="24" spans="1:18" s="151" customFormat="1" ht="15.75">
      <c r="A24" s="104"/>
      <c r="B24" s="271"/>
      <c r="C24" s="271"/>
      <c r="D24" s="272"/>
      <c r="E24" s="272"/>
      <c r="F24" s="25"/>
      <c r="G24" s="7"/>
      <c r="H24" s="8"/>
      <c r="I24" s="8"/>
      <c r="J24" s="8"/>
      <c r="K24" s="8"/>
      <c r="L24" s="8"/>
      <c r="M24" s="8"/>
      <c r="N24" s="8"/>
      <c r="O24" s="8"/>
      <c r="P24" s="8"/>
      <c r="Q24" s="8"/>
    </row>
    <row r="25" spans="1:18" s="156" customFormat="1">
      <c r="A25" s="104"/>
      <c r="B25" s="104"/>
      <c r="C25" s="104"/>
      <c r="D25" s="104"/>
      <c r="E25" s="104"/>
      <c r="F25" s="25"/>
      <c r="G25" s="7"/>
      <c r="H25" s="8"/>
      <c r="I25" s="8"/>
      <c r="J25" s="8"/>
      <c r="K25" s="8"/>
      <c r="L25" s="8"/>
      <c r="M25" s="8"/>
      <c r="N25" s="8"/>
      <c r="O25" s="8"/>
      <c r="P25" s="8"/>
      <c r="Q25" s="8"/>
    </row>
    <row r="26" spans="1:18" s="156" customFormat="1">
      <c r="A26" s="104"/>
      <c r="B26" s="104"/>
      <c r="C26" s="104"/>
      <c r="D26" s="104"/>
      <c r="E26" s="104"/>
      <c r="F26" s="7"/>
      <c r="G26" s="7"/>
      <c r="H26" s="8"/>
      <c r="I26" s="8"/>
      <c r="J26" s="8"/>
      <c r="K26" s="8"/>
      <c r="L26" s="8"/>
      <c r="M26" s="8"/>
      <c r="N26" s="8"/>
      <c r="O26" s="8"/>
      <c r="P26" s="8"/>
      <c r="Q26" s="8"/>
    </row>
    <row r="27" spans="1:18" s="274" customFormat="1" hidden="1">
      <c r="A27" s="104"/>
      <c r="B27" s="104"/>
      <c r="C27" s="104"/>
      <c r="D27" s="104"/>
      <c r="E27" s="104"/>
      <c r="F27" s="7"/>
      <c r="G27" s="7"/>
      <c r="H27" s="8"/>
      <c r="I27" s="8"/>
      <c r="J27" s="8"/>
      <c r="K27" s="8"/>
      <c r="L27" s="8"/>
      <c r="M27" s="8"/>
      <c r="N27" s="8"/>
      <c r="O27" s="8"/>
      <c r="P27" s="8"/>
      <c r="Q27" s="8"/>
    </row>
    <row r="28" spans="1:18" s="156" customFormat="1">
      <c r="A28" s="104"/>
      <c r="B28" s="104"/>
      <c r="C28" s="104"/>
      <c r="D28" s="104"/>
      <c r="E28" s="104"/>
      <c r="F28" s="165"/>
      <c r="G28" s="7"/>
      <c r="H28" s="104"/>
      <c r="I28" s="8"/>
      <c r="J28" s="104"/>
      <c r="K28" s="8"/>
      <c r="L28" s="104"/>
      <c r="M28" s="8"/>
      <c r="N28" s="104"/>
      <c r="O28" s="8"/>
      <c r="P28" s="104"/>
      <c r="Q28" s="8"/>
    </row>
    <row r="29" spans="1:18" s="162" customFormat="1">
      <c r="A29" s="104"/>
      <c r="B29" s="104"/>
      <c r="C29" s="104"/>
      <c r="D29" s="104"/>
      <c r="E29" s="104"/>
      <c r="F29" s="165"/>
      <c r="G29" s="165"/>
      <c r="H29" s="104"/>
      <c r="I29" s="104"/>
      <c r="J29" s="104"/>
      <c r="K29" s="104"/>
      <c r="L29" s="104"/>
      <c r="M29" s="104"/>
      <c r="N29" s="104"/>
      <c r="O29" s="104"/>
      <c r="P29" s="104"/>
      <c r="Q29" s="104"/>
    </row>
    <row r="39" spans="2:12">
      <c r="L39" s="665">
        <f>F39*0.0256</f>
        <v>0</v>
      </c>
    </row>
    <row r="42" spans="2:12">
      <c r="B42" s="106"/>
      <c r="C42" s="106"/>
    </row>
  </sheetData>
  <mergeCells count="20">
    <mergeCell ref="A4:O4"/>
    <mergeCell ref="A5:O5"/>
    <mergeCell ref="A10:Q10"/>
    <mergeCell ref="A11:Q11"/>
    <mergeCell ref="A12:H12"/>
    <mergeCell ref="I12:Q12"/>
    <mergeCell ref="A19:Q19"/>
    <mergeCell ref="D22:F22"/>
    <mergeCell ref="A20:A21"/>
    <mergeCell ref="A13:Q13"/>
    <mergeCell ref="F15:G15"/>
    <mergeCell ref="H15:Q15"/>
    <mergeCell ref="A17:A18"/>
    <mergeCell ref="B17:B18"/>
    <mergeCell ref="G17:G18"/>
    <mergeCell ref="I17:I18"/>
    <mergeCell ref="K17:K18"/>
    <mergeCell ref="M17:M18"/>
    <mergeCell ref="O17:O18"/>
    <mergeCell ref="Q17:Q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7">
    <tabColor rgb="FFFF0000"/>
  </sheetPr>
  <dimension ref="A1:R53"/>
  <sheetViews>
    <sheetView zoomScale="90" zoomScaleNormal="90" workbookViewId="0">
      <selection activeCell="E17" sqref="E17"/>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4013</v>
      </c>
      <c r="B4" s="979"/>
      <c r="C4" s="979"/>
      <c r="D4" s="979"/>
      <c r="E4" s="979"/>
      <c r="F4" s="979"/>
      <c r="G4" s="979"/>
      <c r="H4" s="979"/>
      <c r="I4" s="979"/>
      <c r="J4" s="979"/>
      <c r="K4" s="979"/>
      <c r="L4" s="979"/>
      <c r="M4" s="979"/>
      <c r="N4" s="979"/>
      <c r="O4" s="979"/>
    </row>
    <row r="5" spans="1:18" s="114" customFormat="1" ht="41.25" customHeight="1">
      <c r="A5" s="1276" t="s">
        <v>4036</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D8" s="136"/>
      <c r="E8" s="136"/>
      <c r="H8" s="123"/>
    </row>
    <row r="9" spans="1:18" s="113" customFormat="1" ht="12" customHeight="1">
      <c r="F9" s="249"/>
      <c r="G9" s="249"/>
      <c r="H9" s="123"/>
      <c r="I9" s="124"/>
      <c r="J9" s="124"/>
      <c r="L9" s="124"/>
    </row>
    <row r="10" spans="1:18" s="113" customFormat="1" ht="18.75" thickBot="1">
      <c r="A10" s="1279" t="s">
        <v>23</v>
      </c>
      <c r="B10" s="1245"/>
      <c r="C10" s="1245"/>
      <c r="D10" s="1245"/>
      <c r="E10" s="1245"/>
      <c r="F10" s="1245"/>
      <c r="G10" s="1245"/>
      <c r="H10" s="1245"/>
      <c r="I10" s="1245"/>
      <c r="J10" s="1245"/>
      <c r="K10" s="1245"/>
      <c r="L10" s="1245"/>
      <c r="M10" s="1245"/>
      <c r="N10" s="1245"/>
      <c r="O10" s="1245"/>
      <c r="P10" s="1245"/>
      <c r="Q10" s="1245"/>
    </row>
    <row r="11" spans="1:18" s="113" customFormat="1" ht="18" customHeight="1">
      <c r="A11" s="1280" t="s">
        <v>1035</v>
      </c>
      <c r="B11" s="1281"/>
      <c r="C11" s="1281"/>
      <c r="D11" s="1281"/>
      <c r="E11" s="1281"/>
      <c r="F11" s="1281"/>
      <c r="G11" s="1281"/>
      <c r="H11" s="1281"/>
      <c r="I11" s="1281"/>
      <c r="J11" s="1281"/>
      <c r="K11" s="1281"/>
      <c r="L11" s="1281"/>
      <c r="M11" s="1281"/>
      <c r="N11" s="1281"/>
      <c r="O11" s="1281"/>
      <c r="P11" s="1281"/>
      <c r="Q11" s="1282"/>
    </row>
    <row r="12" spans="1:18" s="113" customFormat="1" ht="18" customHeight="1">
      <c r="A12" s="1240" t="s">
        <v>91</v>
      </c>
      <c r="B12" s="1241"/>
      <c r="C12" s="1241"/>
      <c r="D12" s="1241"/>
      <c r="E12" s="1241"/>
      <c r="F12" s="1241"/>
      <c r="G12" s="1241"/>
      <c r="H12" s="1241"/>
      <c r="I12" s="1264">
        <v>2348</v>
      </c>
      <c r="J12" s="1264"/>
      <c r="K12" s="1264"/>
      <c r="L12" s="1264"/>
      <c r="M12" s="1264"/>
      <c r="N12" s="1264"/>
      <c r="O12" s="1264"/>
      <c r="P12" s="1264"/>
      <c r="Q12" s="1283"/>
    </row>
    <row r="13" spans="1:18" s="113" customFormat="1" ht="18" customHeight="1" thickBot="1">
      <c r="A13" s="1234" t="s">
        <v>0</v>
      </c>
      <c r="B13" s="1235"/>
      <c r="C13" s="1235"/>
      <c r="D13" s="1235"/>
      <c r="E13" s="1235"/>
      <c r="F13" s="1235"/>
      <c r="G13" s="1235"/>
      <c r="H13" s="1235"/>
      <c r="I13" s="1235"/>
      <c r="J13" s="1235"/>
      <c r="K13" s="1235"/>
      <c r="L13" s="1235"/>
      <c r="M13" s="1235"/>
      <c r="N13" s="1235"/>
      <c r="O13" s="1235"/>
      <c r="P13" s="1235"/>
      <c r="Q13" s="1236"/>
    </row>
    <row r="14" spans="1:18" s="113" customFormat="1" ht="15" thickBot="1">
      <c r="D14" s="136"/>
      <c r="E14" s="136"/>
      <c r="F14" s="135"/>
      <c r="G14" s="135"/>
      <c r="I14" s="150"/>
      <c r="J14" s="150"/>
      <c r="K14" s="150"/>
      <c r="L14" s="150"/>
    </row>
    <row r="15" spans="1:18" s="113" customFormat="1" ht="13.5" thickBot="1">
      <c r="F15" s="1217" t="s">
        <v>167</v>
      </c>
      <c r="G15" s="1008"/>
      <c r="H15" s="1277" t="s">
        <v>168</v>
      </c>
      <c r="I15" s="1278"/>
      <c r="J15" s="1278"/>
      <c r="K15" s="1278"/>
      <c r="L15" s="1278"/>
      <c r="M15" s="1278"/>
      <c r="N15" s="1278"/>
      <c r="O15" s="1278"/>
      <c r="P15" s="1278"/>
      <c r="Q15" s="1278"/>
    </row>
    <row r="16" spans="1:18" s="113" customFormat="1" ht="57.75" customHeight="1" thickBot="1">
      <c r="A16" s="254" t="s">
        <v>122</v>
      </c>
      <c r="B16" s="254" t="s">
        <v>169</v>
      </c>
      <c r="C16" s="255" t="s">
        <v>170</v>
      </c>
      <c r="D16" s="255" t="s">
        <v>171</v>
      </c>
      <c r="E16" s="255" t="s">
        <v>172</v>
      </c>
      <c r="F16" s="255" t="s">
        <v>173</v>
      </c>
      <c r="G16" s="254" t="s">
        <v>174</v>
      </c>
      <c r="H16" s="255" t="s">
        <v>176</v>
      </c>
      <c r="I16" s="254" t="s">
        <v>174</v>
      </c>
      <c r="J16" s="255" t="s">
        <v>177</v>
      </c>
      <c r="K16" s="254" t="s">
        <v>174</v>
      </c>
      <c r="L16" s="255" t="s">
        <v>178</v>
      </c>
      <c r="M16" s="254" t="s">
        <v>174</v>
      </c>
      <c r="N16" s="255" t="s">
        <v>157</v>
      </c>
      <c r="O16" s="254" t="s">
        <v>174</v>
      </c>
      <c r="P16" s="255" t="s">
        <v>824</v>
      </c>
      <c r="Q16" s="254" t="s">
        <v>174</v>
      </c>
    </row>
    <row r="17" spans="1:17" s="113" customFormat="1" ht="46.5" customHeight="1" thickBot="1">
      <c r="A17" s="1287">
        <v>47</v>
      </c>
      <c r="B17" s="1288"/>
      <c r="C17" s="258" t="s">
        <v>4014</v>
      </c>
      <c r="D17" s="281" t="s">
        <v>4013</v>
      </c>
      <c r="E17" s="260">
        <v>39482</v>
      </c>
      <c r="F17" s="19">
        <f>SUM(E17:E18)*(1-40%)</f>
        <v>23844.6</v>
      </c>
      <c r="G17" s="1162">
        <f>F17*B17</f>
        <v>0</v>
      </c>
      <c r="H17" s="19">
        <f>F17*0.03137+I12/12</f>
        <v>943.67176866666659</v>
      </c>
      <c r="I17" s="1162">
        <f>H17*B17</f>
        <v>0</v>
      </c>
      <c r="J17" s="19">
        <f>F17*0.0274+I12/12</f>
        <v>849.00870666666663</v>
      </c>
      <c r="K17" s="1162">
        <f>J17*B17</f>
        <v>0</v>
      </c>
      <c r="L17" s="20">
        <f>F17*0.0228+I12/12</f>
        <v>739.32354666666663</v>
      </c>
      <c r="M17" s="1162">
        <f>L17*B17</f>
        <v>0</v>
      </c>
      <c r="N17" s="20">
        <f>F17*0.0204+I12/12</f>
        <v>682.09650666666664</v>
      </c>
      <c r="O17" s="1162">
        <f>N17*B17</f>
        <v>0</v>
      </c>
      <c r="P17" s="20">
        <f>F17*0.0185+I12/12</f>
        <v>636.7917666666666</v>
      </c>
      <c r="Q17" s="1162">
        <f>P17*B17</f>
        <v>0</v>
      </c>
    </row>
    <row r="18" spans="1:17" s="113" customFormat="1" ht="13.5" thickBot="1">
      <c r="A18" s="1287"/>
      <c r="B18" s="1288"/>
      <c r="C18" s="261" t="s">
        <v>104</v>
      </c>
      <c r="D18" s="262" t="s">
        <v>180</v>
      </c>
      <c r="E18" s="263">
        <v>259</v>
      </c>
      <c r="F18" s="264" t="s">
        <v>162</v>
      </c>
      <c r="G18" s="1284"/>
      <c r="H18" s="265" t="s">
        <v>162</v>
      </c>
      <c r="I18" s="1284"/>
      <c r="J18" s="265" t="s">
        <v>162</v>
      </c>
      <c r="K18" s="1284"/>
      <c r="L18" s="265" t="s">
        <v>162</v>
      </c>
      <c r="M18" s="1284"/>
      <c r="N18" s="265" t="s">
        <v>162</v>
      </c>
      <c r="O18" s="1284"/>
      <c r="P18" s="265" t="s">
        <v>162</v>
      </c>
      <c r="Q18" s="1167"/>
    </row>
    <row r="19" spans="1:17" s="266" customFormat="1" ht="15.75" customHeight="1" thickBot="1">
      <c r="A19" s="1285" t="s">
        <v>182</v>
      </c>
      <c r="B19" s="1286"/>
      <c r="C19" s="1272"/>
      <c r="D19" s="1272"/>
      <c r="E19" s="1272"/>
      <c r="F19" s="1272"/>
      <c r="G19" s="1272"/>
      <c r="H19" s="1272"/>
      <c r="I19" s="1272"/>
      <c r="J19" s="1272"/>
      <c r="K19" s="1272"/>
      <c r="L19" s="1272"/>
      <c r="M19" s="1272"/>
      <c r="N19" s="1272"/>
      <c r="O19" s="1272"/>
      <c r="P19" s="1272"/>
      <c r="Q19" s="1273"/>
    </row>
    <row r="20" spans="1:17" s="266" customFormat="1" ht="13.5" thickBot="1">
      <c r="A20" s="1004"/>
      <c r="B20" s="568"/>
      <c r="C20" s="592" t="s">
        <v>4015</v>
      </c>
      <c r="D20" s="569" t="s">
        <v>1022</v>
      </c>
      <c r="E20" s="570">
        <v>4000</v>
      </c>
      <c r="F20" s="43">
        <f>E20*(1-20%)</f>
        <v>3200</v>
      </c>
      <c r="G20" s="74">
        <f t="shared" ref="G20:G32" si="0">F20*B20</f>
        <v>0</v>
      </c>
      <c r="H20" s="43">
        <f t="shared" ref="H20:H32" si="1">F20*0.03137</f>
        <v>100.384</v>
      </c>
      <c r="I20" s="74">
        <f t="shared" ref="I20:I32" si="2">H20*B20</f>
        <v>0</v>
      </c>
      <c r="J20" s="43">
        <f t="shared" ref="J20:J32" si="3">F20*0.0274</f>
        <v>87.68</v>
      </c>
      <c r="K20" s="74">
        <f t="shared" ref="K20:K32" si="4">J20*B20</f>
        <v>0</v>
      </c>
      <c r="L20" s="43">
        <f t="shared" ref="L20:L32" si="5">F20*0.0228</f>
        <v>72.960000000000008</v>
      </c>
      <c r="M20" s="43">
        <f t="shared" ref="M20:M32" si="6">L20*B20</f>
        <v>0</v>
      </c>
      <c r="N20" s="43">
        <f t="shared" ref="N20:N32" si="7">F20*0.0204</f>
        <v>65.28</v>
      </c>
      <c r="O20" s="43">
        <f t="shared" ref="O20:O32" si="8">N20*B20</f>
        <v>0</v>
      </c>
      <c r="P20" s="43">
        <f>F20*0.0185</f>
        <v>59.199999999999996</v>
      </c>
      <c r="Q20" s="43">
        <f>P20*B20</f>
        <v>0</v>
      </c>
    </row>
    <row r="21" spans="1:17" s="156" customFormat="1" ht="13.5" thickBot="1">
      <c r="A21" s="1005"/>
      <c r="B21" s="221"/>
      <c r="C21" s="593" t="s">
        <v>4016</v>
      </c>
      <c r="D21" s="282" t="s">
        <v>4019</v>
      </c>
      <c r="E21" s="283">
        <v>10495</v>
      </c>
      <c r="F21" s="44">
        <f t="shared" ref="F21:F32" si="9">E21*(1-20%)</f>
        <v>8396</v>
      </c>
      <c r="G21" s="3">
        <f>F21*B21</f>
        <v>0</v>
      </c>
      <c r="H21" s="21">
        <f t="shared" si="1"/>
        <v>263.38252</v>
      </c>
      <c r="I21" s="2">
        <f>H21*B21</f>
        <v>0</v>
      </c>
      <c r="J21" s="21">
        <f t="shared" si="3"/>
        <v>230.0504</v>
      </c>
      <c r="K21" s="22">
        <f>J21*B21</f>
        <v>0</v>
      </c>
      <c r="L21" s="21">
        <f t="shared" si="5"/>
        <v>191.4288</v>
      </c>
      <c r="M21" s="21">
        <f>L21*B21</f>
        <v>0</v>
      </c>
      <c r="N21" s="21">
        <f t="shared" si="7"/>
        <v>171.2784</v>
      </c>
      <c r="O21" s="21">
        <f>N21*B21</f>
        <v>0</v>
      </c>
      <c r="P21" s="43">
        <f t="shared" ref="P21:P32" si="10">F21*0.0185</f>
        <v>155.32599999999999</v>
      </c>
      <c r="Q21" s="43">
        <f t="shared" ref="Q21:Q32" si="11">P21*B21</f>
        <v>0</v>
      </c>
    </row>
    <row r="22" spans="1:17" s="151" customFormat="1" ht="13.5" thickBot="1">
      <c r="A22" s="1005"/>
      <c r="B22" s="221"/>
      <c r="C22" s="593" t="s">
        <v>4017</v>
      </c>
      <c r="D22" s="282" t="s">
        <v>4020</v>
      </c>
      <c r="E22" s="283">
        <v>16995</v>
      </c>
      <c r="F22" s="44">
        <f t="shared" si="9"/>
        <v>13596</v>
      </c>
      <c r="G22" s="3">
        <f t="shared" si="0"/>
        <v>0</v>
      </c>
      <c r="H22" s="21">
        <f t="shared" si="1"/>
        <v>426.50652000000002</v>
      </c>
      <c r="I22" s="2">
        <f t="shared" si="2"/>
        <v>0</v>
      </c>
      <c r="J22" s="21">
        <f t="shared" si="3"/>
        <v>372.53039999999999</v>
      </c>
      <c r="K22" s="22">
        <f t="shared" si="4"/>
        <v>0</v>
      </c>
      <c r="L22" s="21">
        <f t="shared" si="5"/>
        <v>309.98880000000003</v>
      </c>
      <c r="M22" s="21">
        <f t="shared" si="6"/>
        <v>0</v>
      </c>
      <c r="N22" s="21">
        <f t="shared" si="7"/>
        <v>277.35840000000002</v>
      </c>
      <c r="O22" s="21">
        <f t="shared" si="8"/>
        <v>0</v>
      </c>
      <c r="P22" s="43">
        <f t="shared" si="10"/>
        <v>251.52599999999998</v>
      </c>
      <c r="Q22" s="43">
        <f t="shared" si="11"/>
        <v>0</v>
      </c>
    </row>
    <row r="23" spans="1:17" s="151" customFormat="1" ht="13.5" thickBot="1">
      <c r="A23" s="1005"/>
      <c r="B23" s="221"/>
      <c r="C23" s="593" t="s">
        <v>4018</v>
      </c>
      <c r="D23" s="282" t="s">
        <v>4021</v>
      </c>
      <c r="E23" s="283">
        <v>17995</v>
      </c>
      <c r="F23" s="44">
        <f t="shared" si="9"/>
        <v>14396</v>
      </c>
      <c r="G23" s="3">
        <f t="shared" si="0"/>
        <v>0</v>
      </c>
      <c r="H23" s="21">
        <f t="shared" si="1"/>
        <v>451.60252000000003</v>
      </c>
      <c r="I23" s="2">
        <f t="shared" si="2"/>
        <v>0</v>
      </c>
      <c r="J23" s="21">
        <f t="shared" si="3"/>
        <v>394.4504</v>
      </c>
      <c r="K23" s="22">
        <f t="shared" si="4"/>
        <v>0</v>
      </c>
      <c r="L23" s="21">
        <f t="shared" si="5"/>
        <v>328.22880000000004</v>
      </c>
      <c r="M23" s="21">
        <f t="shared" si="6"/>
        <v>0</v>
      </c>
      <c r="N23" s="21">
        <f t="shared" si="7"/>
        <v>293.67840000000001</v>
      </c>
      <c r="O23" s="21">
        <f t="shared" si="8"/>
        <v>0</v>
      </c>
      <c r="P23" s="43">
        <f t="shared" si="10"/>
        <v>266.32599999999996</v>
      </c>
      <c r="Q23" s="43">
        <f t="shared" si="11"/>
        <v>0</v>
      </c>
    </row>
    <row r="24" spans="1:17" s="151" customFormat="1" ht="13.5" thickBot="1">
      <c r="A24" s="1005"/>
      <c r="B24" s="221"/>
      <c r="C24" s="593" t="s">
        <v>642</v>
      </c>
      <c r="D24" s="282" t="s">
        <v>1025</v>
      </c>
      <c r="E24" s="283">
        <v>1500</v>
      </c>
      <c r="F24" s="44">
        <f t="shared" si="9"/>
        <v>1200</v>
      </c>
      <c r="G24" s="3">
        <f t="shared" si="0"/>
        <v>0</v>
      </c>
      <c r="H24" s="21">
        <f t="shared" si="1"/>
        <v>37.644000000000005</v>
      </c>
      <c r="I24" s="2">
        <f t="shared" si="2"/>
        <v>0</v>
      </c>
      <c r="J24" s="21">
        <f t="shared" si="3"/>
        <v>32.880000000000003</v>
      </c>
      <c r="K24" s="22">
        <f t="shared" si="4"/>
        <v>0</v>
      </c>
      <c r="L24" s="21">
        <f t="shared" si="5"/>
        <v>27.36</v>
      </c>
      <c r="M24" s="21">
        <f t="shared" si="6"/>
        <v>0</v>
      </c>
      <c r="N24" s="21">
        <f t="shared" si="7"/>
        <v>24.48</v>
      </c>
      <c r="O24" s="21">
        <f t="shared" si="8"/>
        <v>0</v>
      </c>
      <c r="P24" s="43">
        <f t="shared" si="10"/>
        <v>22.2</v>
      </c>
      <c r="Q24" s="43">
        <f t="shared" si="11"/>
        <v>0</v>
      </c>
    </row>
    <row r="25" spans="1:17" s="151" customFormat="1" ht="13.5" thickBot="1">
      <c r="A25" s="1005"/>
      <c r="B25" s="221"/>
      <c r="C25" s="593" t="s">
        <v>4022</v>
      </c>
      <c r="D25" s="282" t="s">
        <v>4026</v>
      </c>
      <c r="E25" s="283">
        <v>1400</v>
      </c>
      <c r="F25" s="44">
        <f t="shared" si="9"/>
        <v>1120</v>
      </c>
      <c r="G25" s="3">
        <f t="shared" si="0"/>
        <v>0</v>
      </c>
      <c r="H25" s="21">
        <f t="shared" si="1"/>
        <v>35.134399999999999</v>
      </c>
      <c r="I25" s="2">
        <f t="shared" si="2"/>
        <v>0</v>
      </c>
      <c r="J25" s="21">
        <f t="shared" si="3"/>
        <v>30.688000000000002</v>
      </c>
      <c r="K25" s="22">
        <f t="shared" si="4"/>
        <v>0</v>
      </c>
      <c r="L25" s="21">
        <f t="shared" si="5"/>
        <v>25.536000000000001</v>
      </c>
      <c r="M25" s="21">
        <f t="shared" si="6"/>
        <v>0</v>
      </c>
      <c r="N25" s="21">
        <f t="shared" si="7"/>
        <v>22.848000000000003</v>
      </c>
      <c r="O25" s="21">
        <f t="shared" si="8"/>
        <v>0</v>
      </c>
      <c r="P25" s="43">
        <f t="shared" si="10"/>
        <v>20.72</v>
      </c>
      <c r="Q25" s="43">
        <f t="shared" si="11"/>
        <v>0</v>
      </c>
    </row>
    <row r="26" spans="1:17" s="151" customFormat="1" ht="12.6" customHeight="1" thickBot="1">
      <c r="A26" s="1005"/>
      <c r="B26" s="221"/>
      <c r="C26" s="593" t="s">
        <v>4023</v>
      </c>
      <c r="D26" s="282" t="s">
        <v>4027</v>
      </c>
      <c r="E26" s="283">
        <v>1400</v>
      </c>
      <c r="F26" s="44">
        <f t="shared" si="9"/>
        <v>1120</v>
      </c>
      <c r="G26" s="3">
        <f t="shared" si="0"/>
        <v>0</v>
      </c>
      <c r="H26" s="21">
        <f t="shared" si="1"/>
        <v>35.134399999999999</v>
      </c>
      <c r="I26" s="2">
        <f t="shared" si="2"/>
        <v>0</v>
      </c>
      <c r="J26" s="21">
        <f t="shared" si="3"/>
        <v>30.688000000000002</v>
      </c>
      <c r="K26" s="22">
        <f t="shared" si="4"/>
        <v>0</v>
      </c>
      <c r="L26" s="21">
        <f t="shared" si="5"/>
        <v>25.536000000000001</v>
      </c>
      <c r="M26" s="21">
        <f t="shared" si="6"/>
        <v>0</v>
      </c>
      <c r="N26" s="21">
        <f t="shared" si="7"/>
        <v>22.848000000000003</v>
      </c>
      <c r="O26" s="21">
        <f t="shared" si="8"/>
        <v>0</v>
      </c>
      <c r="P26" s="43">
        <f t="shared" si="10"/>
        <v>20.72</v>
      </c>
      <c r="Q26" s="43">
        <f t="shared" si="11"/>
        <v>0</v>
      </c>
    </row>
    <row r="27" spans="1:17" s="156" customFormat="1" ht="13.5" thickBot="1">
      <c r="A27" s="1005"/>
      <c r="B27" s="221"/>
      <c r="C27" s="593" t="s">
        <v>4024</v>
      </c>
      <c r="D27" s="282" t="s">
        <v>4028</v>
      </c>
      <c r="E27" s="283">
        <v>1200</v>
      </c>
      <c r="F27" s="44">
        <f t="shared" si="9"/>
        <v>960</v>
      </c>
      <c r="G27" s="3">
        <f>F27*B27</f>
        <v>0</v>
      </c>
      <c r="H27" s="21">
        <f t="shared" si="1"/>
        <v>30.115200000000002</v>
      </c>
      <c r="I27" s="2">
        <f>H27*B27</f>
        <v>0</v>
      </c>
      <c r="J27" s="21">
        <f t="shared" si="3"/>
        <v>26.304000000000002</v>
      </c>
      <c r="K27" s="22">
        <f>J27*B27</f>
        <v>0</v>
      </c>
      <c r="L27" s="21">
        <f t="shared" si="5"/>
        <v>21.888000000000002</v>
      </c>
      <c r="M27" s="21">
        <f>L27*B27</f>
        <v>0</v>
      </c>
      <c r="N27" s="21">
        <f t="shared" si="7"/>
        <v>19.584000000000003</v>
      </c>
      <c r="O27" s="21">
        <f>N27*B27</f>
        <v>0</v>
      </c>
      <c r="P27" s="43">
        <f t="shared" si="10"/>
        <v>17.759999999999998</v>
      </c>
      <c r="Q27" s="43">
        <f t="shared" si="11"/>
        <v>0</v>
      </c>
    </row>
    <row r="28" spans="1:17" s="151" customFormat="1" ht="13.5" thickBot="1">
      <c r="A28" s="1005"/>
      <c r="B28" s="221"/>
      <c r="C28" s="593" t="s">
        <v>4025</v>
      </c>
      <c r="D28" s="282" t="s">
        <v>4029</v>
      </c>
      <c r="E28" s="283">
        <v>1200</v>
      </c>
      <c r="F28" s="44">
        <f t="shared" si="9"/>
        <v>960</v>
      </c>
      <c r="G28" s="3">
        <f>F28*B28</f>
        <v>0</v>
      </c>
      <c r="H28" s="21">
        <f t="shared" si="1"/>
        <v>30.115200000000002</v>
      </c>
      <c r="I28" s="2">
        <f>H28*B28</f>
        <v>0</v>
      </c>
      <c r="J28" s="21">
        <f t="shared" si="3"/>
        <v>26.304000000000002</v>
      </c>
      <c r="K28" s="22">
        <f>J28*B28</f>
        <v>0</v>
      </c>
      <c r="L28" s="21">
        <f t="shared" si="5"/>
        <v>21.888000000000002</v>
      </c>
      <c r="M28" s="21">
        <f>L28*B28</f>
        <v>0</v>
      </c>
      <c r="N28" s="21">
        <f t="shared" si="7"/>
        <v>19.584000000000003</v>
      </c>
      <c r="O28" s="21">
        <f>N28*B28</f>
        <v>0</v>
      </c>
      <c r="P28" s="43">
        <f t="shared" si="10"/>
        <v>17.759999999999998</v>
      </c>
      <c r="Q28" s="43">
        <f t="shared" si="11"/>
        <v>0</v>
      </c>
    </row>
    <row r="29" spans="1:17" s="151" customFormat="1" ht="13.5" thickBot="1">
      <c r="A29" s="1005"/>
      <c r="B29" s="221"/>
      <c r="C29" s="593" t="s">
        <v>648</v>
      </c>
      <c r="D29" s="282" t="s">
        <v>4030</v>
      </c>
      <c r="E29" s="283">
        <v>995</v>
      </c>
      <c r="F29" s="44">
        <f t="shared" si="9"/>
        <v>796</v>
      </c>
      <c r="G29" s="3">
        <f>F29*B29</f>
        <v>0</v>
      </c>
      <c r="H29" s="21">
        <f t="shared" si="1"/>
        <v>24.97052</v>
      </c>
      <c r="I29" s="2">
        <f>H29*B29</f>
        <v>0</v>
      </c>
      <c r="J29" s="21">
        <f t="shared" si="3"/>
        <v>21.810400000000001</v>
      </c>
      <c r="K29" s="22">
        <f>J29*B29</f>
        <v>0</v>
      </c>
      <c r="L29" s="21">
        <f t="shared" si="5"/>
        <v>18.148800000000001</v>
      </c>
      <c r="M29" s="21">
        <f>L29*B29</f>
        <v>0</v>
      </c>
      <c r="N29" s="21">
        <f t="shared" si="7"/>
        <v>16.238400000000002</v>
      </c>
      <c r="O29" s="21">
        <f>N29*B29</f>
        <v>0</v>
      </c>
      <c r="P29" s="43">
        <f t="shared" si="10"/>
        <v>14.725999999999999</v>
      </c>
      <c r="Q29" s="43">
        <f t="shared" si="11"/>
        <v>0</v>
      </c>
    </row>
    <row r="30" spans="1:17" s="151" customFormat="1" ht="12.6" customHeight="1" thickBot="1">
      <c r="A30" s="1005"/>
      <c r="B30" s="221"/>
      <c r="C30" s="593" t="s">
        <v>649</v>
      </c>
      <c r="D30" s="282" t="s">
        <v>4031</v>
      </c>
      <c r="E30" s="283">
        <v>995</v>
      </c>
      <c r="F30" s="44">
        <f t="shared" si="9"/>
        <v>796</v>
      </c>
      <c r="G30" s="3">
        <f>F30*B30</f>
        <v>0</v>
      </c>
      <c r="H30" s="21">
        <f t="shared" si="1"/>
        <v>24.97052</v>
      </c>
      <c r="I30" s="2">
        <f>H30*B30</f>
        <v>0</v>
      </c>
      <c r="J30" s="21">
        <f t="shared" si="3"/>
        <v>21.810400000000001</v>
      </c>
      <c r="K30" s="22">
        <f>J30*B30</f>
        <v>0</v>
      </c>
      <c r="L30" s="21">
        <f t="shared" si="5"/>
        <v>18.148800000000001</v>
      </c>
      <c r="M30" s="21">
        <f>L30*B30</f>
        <v>0</v>
      </c>
      <c r="N30" s="21">
        <f t="shared" si="7"/>
        <v>16.238400000000002</v>
      </c>
      <c r="O30" s="21">
        <f>N30*B30</f>
        <v>0</v>
      </c>
      <c r="P30" s="43">
        <f t="shared" si="10"/>
        <v>14.725999999999999</v>
      </c>
      <c r="Q30" s="43">
        <f t="shared" si="11"/>
        <v>0</v>
      </c>
    </row>
    <row r="31" spans="1:17" s="151" customFormat="1" ht="13.5" thickBot="1">
      <c r="A31" s="1005"/>
      <c r="B31" s="221"/>
      <c r="C31" s="593" t="s">
        <v>4032</v>
      </c>
      <c r="D31" s="282" t="s">
        <v>4034</v>
      </c>
      <c r="E31" s="283">
        <v>995</v>
      </c>
      <c r="F31" s="44">
        <f t="shared" si="9"/>
        <v>796</v>
      </c>
      <c r="G31" s="3">
        <f t="shared" si="0"/>
        <v>0</v>
      </c>
      <c r="H31" s="21">
        <f t="shared" si="1"/>
        <v>24.97052</v>
      </c>
      <c r="I31" s="2">
        <f t="shared" si="2"/>
        <v>0</v>
      </c>
      <c r="J31" s="21">
        <f t="shared" si="3"/>
        <v>21.810400000000001</v>
      </c>
      <c r="K31" s="22">
        <f t="shared" si="4"/>
        <v>0</v>
      </c>
      <c r="L31" s="21">
        <f t="shared" si="5"/>
        <v>18.148800000000001</v>
      </c>
      <c r="M31" s="21">
        <f t="shared" si="6"/>
        <v>0</v>
      </c>
      <c r="N31" s="21">
        <f t="shared" si="7"/>
        <v>16.238400000000002</v>
      </c>
      <c r="O31" s="21">
        <f t="shared" si="8"/>
        <v>0</v>
      </c>
      <c r="P31" s="43">
        <f t="shared" si="10"/>
        <v>14.725999999999999</v>
      </c>
      <c r="Q31" s="43">
        <f t="shared" si="11"/>
        <v>0</v>
      </c>
    </row>
    <row r="32" spans="1:17" s="151" customFormat="1" ht="13.5" thickBot="1">
      <c r="A32" s="1006"/>
      <c r="B32" s="221"/>
      <c r="C32" s="593" t="s">
        <v>4033</v>
      </c>
      <c r="D32" s="282" t="s">
        <v>4035</v>
      </c>
      <c r="E32" s="283">
        <v>995</v>
      </c>
      <c r="F32" s="44">
        <f t="shared" si="9"/>
        <v>796</v>
      </c>
      <c r="G32" s="3">
        <f t="shared" si="0"/>
        <v>0</v>
      </c>
      <c r="H32" s="21">
        <f t="shared" si="1"/>
        <v>24.97052</v>
      </c>
      <c r="I32" s="2">
        <f t="shared" si="2"/>
        <v>0</v>
      </c>
      <c r="J32" s="21">
        <f t="shared" si="3"/>
        <v>21.810400000000001</v>
      </c>
      <c r="K32" s="22">
        <f t="shared" si="4"/>
        <v>0</v>
      </c>
      <c r="L32" s="21">
        <f t="shared" si="5"/>
        <v>18.148800000000001</v>
      </c>
      <c r="M32" s="21">
        <f t="shared" si="6"/>
        <v>0</v>
      </c>
      <c r="N32" s="21">
        <f t="shared" si="7"/>
        <v>16.238400000000002</v>
      </c>
      <c r="O32" s="21">
        <f t="shared" si="8"/>
        <v>0</v>
      </c>
      <c r="P32" s="43">
        <f t="shared" si="10"/>
        <v>14.725999999999999</v>
      </c>
      <c r="Q32" s="43">
        <f t="shared" si="11"/>
        <v>0</v>
      </c>
    </row>
    <row r="33" spans="1:17" s="151" customFormat="1" ht="15">
      <c r="A33" s="156"/>
      <c r="B33" s="106"/>
      <c r="C33" s="106"/>
      <c r="D33" s="997" t="s">
        <v>183</v>
      </c>
      <c r="E33" s="998"/>
      <c r="F33" s="1274"/>
      <c r="G33" s="9">
        <f>SUM(G20:G32)+G17</f>
        <v>0</v>
      </c>
      <c r="H33" s="10" t="s">
        <v>185</v>
      </c>
      <c r="I33" s="9">
        <f>SUM(I20:I32)+I17</f>
        <v>0</v>
      </c>
      <c r="J33" s="10" t="s">
        <v>186</v>
      </c>
      <c r="K33" s="9">
        <f>SUM(K20:K32)+K17</f>
        <v>0</v>
      </c>
      <c r="L33" s="10" t="s">
        <v>187</v>
      </c>
      <c r="M33" s="9">
        <f>SUM(M20:M32)+M17</f>
        <v>0</v>
      </c>
      <c r="N33" s="10" t="s">
        <v>94</v>
      </c>
      <c r="O33" s="9">
        <f>SUM(O20:O32)+O17</f>
        <v>0</v>
      </c>
      <c r="P33" s="10" t="s">
        <v>826</v>
      </c>
      <c r="Q33" s="9">
        <f>SUM(Q20:Q32)+Q17</f>
        <v>0</v>
      </c>
    </row>
    <row r="34" spans="1:17" s="151" customFormat="1">
      <c r="A34" s="162"/>
      <c r="B34" s="104"/>
      <c r="C34" s="104"/>
      <c r="D34" s="162"/>
      <c r="E34" s="162"/>
      <c r="F34" s="24"/>
      <c r="G34" s="24"/>
      <c r="H34" s="26"/>
      <c r="I34" s="26"/>
      <c r="J34" s="26"/>
      <c r="K34" s="26"/>
      <c r="L34" s="26"/>
      <c r="M34" s="26"/>
      <c r="N34" s="26"/>
      <c r="O34" s="26"/>
      <c r="P34" s="26"/>
      <c r="Q34" s="26"/>
    </row>
    <row r="35" spans="1:17" s="151" customFormat="1" ht="15.75">
      <c r="A35" s="104"/>
      <c r="B35" s="271"/>
      <c r="C35" s="271"/>
      <c r="D35" s="272"/>
      <c r="E35" s="272"/>
      <c r="F35" s="25"/>
      <c r="G35" s="7"/>
      <c r="H35" s="8"/>
      <c r="I35" s="8"/>
      <c r="J35" s="8"/>
      <c r="K35" s="8"/>
      <c r="L35" s="8"/>
      <c r="M35" s="8"/>
      <c r="N35" s="8"/>
      <c r="O35" s="8"/>
      <c r="P35" s="8"/>
      <c r="Q35" s="8"/>
    </row>
    <row r="36" spans="1:17" s="156" customFormat="1">
      <c r="A36" s="104"/>
      <c r="B36" s="104"/>
      <c r="C36" s="104"/>
      <c r="D36" s="104"/>
      <c r="E36" s="104"/>
      <c r="F36" s="25"/>
      <c r="G36" s="7"/>
      <c r="H36" s="8"/>
      <c r="I36" s="8"/>
      <c r="J36" s="8"/>
      <c r="K36" s="8"/>
      <c r="L36" s="8"/>
      <c r="M36" s="8"/>
      <c r="N36" s="8"/>
      <c r="O36" s="8"/>
      <c r="P36" s="8"/>
      <c r="Q36" s="8"/>
    </row>
    <row r="37" spans="1:17" s="156" customFormat="1">
      <c r="A37" s="104"/>
      <c r="B37" s="104"/>
      <c r="C37" s="104"/>
      <c r="D37" s="104"/>
      <c r="E37" s="104"/>
      <c r="F37" s="7"/>
      <c r="G37" s="7"/>
      <c r="H37" s="8"/>
      <c r="I37" s="8"/>
      <c r="J37" s="8"/>
      <c r="K37" s="8"/>
      <c r="L37" s="8"/>
      <c r="M37" s="8"/>
      <c r="N37" s="8"/>
      <c r="O37" s="8"/>
      <c r="P37" s="8"/>
      <c r="Q37" s="8"/>
    </row>
    <row r="38" spans="1:17" s="274" customFormat="1" hidden="1">
      <c r="A38" s="104"/>
      <c r="B38" s="104"/>
      <c r="C38" s="104"/>
      <c r="D38" s="104"/>
      <c r="E38" s="104"/>
      <c r="F38" s="7"/>
      <c r="G38" s="7"/>
      <c r="H38" s="8"/>
      <c r="I38" s="8"/>
      <c r="J38" s="8"/>
      <c r="K38" s="8"/>
      <c r="L38" s="8"/>
      <c r="M38" s="8"/>
      <c r="N38" s="8"/>
      <c r="O38" s="8"/>
      <c r="P38" s="8"/>
      <c r="Q38" s="8"/>
    </row>
    <row r="39" spans="1:17" s="156" customFormat="1">
      <c r="A39" s="104"/>
      <c r="B39" s="104"/>
      <c r="C39" s="104"/>
      <c r="D39" s="104"/>
      <c r="E39" s="104"/>
      <c r="F39" s="165"/>
      <c r="G39" s="7"/>
      <c r="H39" s="104"/>
      <c r="I39" s="8"/>
      <c r="J39" s="104"/>
      <c r="K39" s="8"/>
      <c r="L39" s="665">
        <f>F39*0.0256</f>
        <v>0</v>
      </c>
      <c r="M39" s="8"/>
      <c r="N39" s="104"/>
      <c r="O39" s="8"/>
      <c r="P39" s="104"/>
      <c r="Q39" s="8"/>
    </row>
    <row r="40" spans="1:17" s="162" customFormat="1">
      <c r="A40" s="104"/>
      <c r="B40" s="104"/>
      <c r="C40" s="104"/>
      <c r="D40" s="104"/>
      <c r="E40" s="104"/>
      <c r="F40" s="165"/>
      <c r="G40" s="165"/>
      <c r="H40" s="104"/>
      <c r="I40" s="104"/>
      <c r="J40" s="104"/>
      <c r="K40" s="104"/>
      <c r="L40" s="104"/>
      <c r="M40" s="104"/>
      <c r="N40" s="104"/>
      <c r="O40" s="104"/>
      <c r="P40" s="104"/>
      <c r="Q40" s="104"/>
    </row>
    <row r="53" spans="2:3">
      <c r="B53" s="106"/>
      <c r="C53" s="106"/>
    </row>
  </sheetData>
  <mergeCells count="20">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tabColor indexed="62"/>
  </sheetPr>
  <dimension ref="A1:IV114"/>
  <sheetViews>
    <sheetView topLeftCell="A17" zoomScale="80" zoomScaleNormal="80" workbookViewId="0">
      <selection activeCell="F39" sqref="F39"/>
    </sheetView>
  </sheetViews>
  <sheetFormatPr defaultColWidth="8.85546875" defaultRowHeight="12.75"/>
  <cols>
    <col min="1" max="1" width="14.140625" style="104" customWidth="1"/>
    <col min="2" max="2" width="10.5703125" style="104" customWidth="1"/>
    <col min="3" max="3" width="18" style="104" customWidth="1"/>
    <col min="4" max="4" width="44.42578125" style="104" customWidth="1"/>
    <col min="5" max="5" width="15.7109375" style="104" customWidth="1"/>
    <col min="6" max="6" width="13.85546875" style="455" customWidth="1"/>
    <col min="7" max="7" width="15.7109375" style="104" customWidth="1"/>
    <col min="8" max="8" width="22.85546875" style="104" customWidth="1"/>
    <col min="9" max="10" width="23" style="104" customWidth="1"/>
    <col min="11" max="11" width="22.28515625" style="104" customWidth="1"/>
    <col min="12" max="12" width="25.28515625" style="104" customWidth="1"/>
    <col min="13" max="13" width="23" style="104" customWidth="1"/>
    <col min="14" max="14" width="23.5703125" style="104" customWidth="1"/>
    <col min="15" max="15" width="21" style="104" customWidth="1"/>
    <col min="16" max="16" width="12.42578125" style="104" customWidth="1"/>
    <col min="17" max="16384" width="8.85546875" style="104"/>
  </cols>
  <sheetData>
    <row r="1" spans="1:256" ht="13.5" thickBot="1">
      <c r="C1" s="105"/>
      <c r="D1" s="106"/>
      <c r="E1" s="106"/>
      <c r="F1" s="107"/>
      <c r="G1" s="107"/>
      <c r="H1" s="107"/>
      <c r="I1" s="107"/>
      <c r="J1" s="107"/>
      <c r="K1" s="107"/>
      <c r="L1" s="107"/>
    </row>
    <row r="2" spans="1:256">
      <c r="A2" s="108"/>
      <c r="B2" s="108"/>
      <c r="C2" s="109"/>
      <c r="D2" s="110"/>
      <c r="E2" s="110"/>
      <c r="F2" s="111"/>
      <c r="G2" s="112"/>
      <c r="H2" s="111"/>
      <c r="I2" s="112"/>
      <c r="J2" s="112"/>
      <c r="K2" s="112"/>
      <c r="L2" s="112"/>
      <c r="M2" s="108"/>
      <c r="N2" s="108"/>
      <c r="O2" s="108"/>
    </row>
    <row r="3" spans="1:256">
      <c r="C3" s="105"/>
      <c r="D3" s="106"/>
      <c r="E3" s="106"/>
      <c r="F3" s="107"/>
      <c r="G3" s="113"/>
      <c r="H3" s="107"/>
      <c r="I3" s="113"/>
      <c r="J3" s="113"/>
      <c r="K3" s="113"/>
      <c r="L3" s="113"/>
    </row>
    <row r="4" spans="1:256" ht="30">
      <c r="A4" s="981" t="s">
        <v>400</v>
      </c>
      <c r="B4" s="979"/>
      <c r="C4" s="979"/>
      <c r="D4" s="979"/>
      <c r="E4" s="979"/>
      <c r="F4" s="979"/>
      <c r="G4" s="979"/>
      <c r="H4" s="979"/>
      <c r="I4" s="979"/>
      <c r="J4" s="979"/>
      <c r="K4" s="979"/>
      <c r="L4" s="979"/>
      <c r="M4" s="979"/>
      <c r="N4" s="979"/>
      <c r="O4" s="979"/>
    </row>
    <row r="5" spans="1:256">
      <c r="A5" s="982" t="s">
        <v>401</v>
      </c>
      <c r="B5" s="1070"/>
      <c r="C5" s="1070"/>
      <c r="D5" s="1070"/>
      <c r="E5" s="1070"/>
      <c r="F5" s="1070"/>
      <c r="G5" s="1070"/>
      <c r="H5" s="1070"/>
      <c r="I5" s="1070"/>
      <c r="J5" s="1070"/>
      <c r="K5" s="1070"/>
      <c r="L5" s="1070"/>
      <c r="M5" s="1070"/>
      <c r="N5" s="1070"/>
      <c r="O5" s="1070"/>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4"/>
      <c r="IP5" s="114"/>
      <c r="IQ5" s="114"/>
      <c r="IR5" s="114"/>
      <c r="IS5" s="114"/>
      <c r="IT5" s="114"/>
      <c r="IU5" s="114"/>
      <c r="IV5" s="114"/>
    </row>
    <row r="6" spans="1:256" ht="13.5" thickBot="1">
      <c r="A6" s="138"/>
      <c r="B6" s="138"/>
      <c r="C6" s="138"/>
      <c r="D6" s="138"/>
      <c r="E6" s="138"/>
      <c r="F6" s="138"/>
      <c r="G6" s="138"/>
      <c r="H6" s="138"/>
      <c r="I6" s="138"/>
      <c r="J6" s="138"/>
      <c r="K6" s="138"/>
      <c r="L6" s="138"/>
      <c r="M6" s="138"/>
      <c r="N6" s="138"/>
      <c r="O6" s="138"/>
    </row>
    <row r="8" spans="1:256" ht="14.25">
      <c r="A8" s="113"/>
      <c r="B8" s="113"/>
      <c r="C8" s="120"/>
      <c r="D8" s="121"/>
      <c r="E8" s="121"/>
      <c r="F8" s="121"/>
      <c r="G8" s="121"/>
      <c r="H8" s="121"/>
      <c r="I8" s="121"/>
      <c r="J8" s="121"/>
      <c r="K8" s="121"/>
      <c r="L8" s="121"/>
      <c r="M8" s="121"/>
      <c r="N8" s="121"/>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c r="GB8" s="113"/>
      <c r="GC8" s="113"/>
      <c r="GD8" s="113"/>
      <c r="GE8" s="113"/>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3"/>
      <c r="HL8" s="113"/>
      <c r="HM8" s="113"/>
      <c r="HN8" s="113"/>
      <c r="HO8" s="113"/>
      <c r="HP8" s="113"/>
      <c r="HQ8" s="113"/>
      <c r="HR8" s="113"/>
      <c r="HS8" s="113"/>
      <c r="HT8" s="113"/>
      <c r="HU8" s="113"/>
      <c r="HV8" s="113"/>
      <c r="HW8" s="113"/>
      <c r="HX8" s="113"/>
      <c r="HY8" s="113"/>
      <c r="HZ8" s="113"/>
      <c r="IA8" s="113"/>
      <c r="IB8" s="113"/>
      <c r="IC8" s="113"/>
      <c r="ID8" s="113"/>
      <c r="IE8" s="113"/>
      <c r="IF8" s="113"/>
      <c r="IG8" s="113"/>
      <c r="IH8" s="113"/>
      <c r="II8" s="113"/>
      <c r="IJ8" s="113"/>
      <c r="IK8" s="113"/>
      <c r="IL8" s="113"/>
      <c r="IM8" s="113"/>
      <c r="IN8" s="113"/>
      <c r="IO8" s="113"/>
      <c r="IP8" s="113"/>
      <c r="IQ8" s="113"/>
      <c r="IR8" s="113"/>
      <c r="IS8" s="113"/>
      <c r="IT8" s="113"/>
      <c r="IU8" s="113"/>
      <c r="IV8" s="113"/>
    </row>
    <row r="9" spans="1:256" ht="14.25">
      <c r="A9" s="113"/>
      <c r="B9" s="113"/>
      <c r="C9" s="113"/>
      <c r="D9" s="113"/>
      <c r="E9" s="113"/>
      <c r="F9" s="616"/>
      <c r="G9" s="616"/>
      <c r="H9" s="980" t="s">
        <v>3</v>
      </c>
      <c r="I9" s="980"/>
      <c r="J9" s="980"/>
      <c r="K9" s="173"/>
      <c r="L9" s="17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c r="IS9" s="113"/>
      <c r="IT9" s="113"/>
      <c r="IU9" s="113"/>
      <c r="IV9" s="113"/>
    </row>
    <row r="10" spans="1:256" ht="14.25">
      <c r="A10" s="113"/>
      <c r="B10" s="113"/>
      <c r="C10" s="113"/>
      <c r="D10" s="113"/>
      <c r="E10" s="113"/>
      <c r="F10" s="113"/>
      <c r="G10" s="113"/>
      <c r="H10" s="122" t="s">
        <v>4</v>
      </c>
      <c r="I10" s="113" t="s">
        <v>133</v>
      </c>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row>
    <row r="11" spans="1:256">
      <c r="A11" s="113"/>
      <c r="B11" s="113"/>
      <c r="C11" s="113"/>
      <c r="D11" s="113"/>
      <c r="E11" s="113"/>
      <c r="F11" s="113"/>
      <c r="G11" s="124"/>
      <c r="H11" s="123" t="s">
        <v>5</v>
      </c>
      <c r="I11" s="124" t="s">
        <v>392</v>
      </c>
      <c r="J11" s="124"/>
      <c r="K11" s="113"/>
      <c r="L11" s="124"/>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row>
    <row r="12" spans="1:256">
      <c r="A12" s="113"/>
      <c r="B12" s="113"/>
      <c r="C12" s="113"/>
      <c r="D12" s="113"/>
      <c r="E12" s="113"/>
      <c r="F12" s="616"/>
      <c r="G12" s="124"/>
      <c r="H12" s="123" t="s">
        <v>8</v>
      </c>
      <c r="I12" s="129">
        <v>100000</v>
      </c>
      <c r="J12" s="124"/>
      <c r="K12" s="113"/>
      <c r="L12" s="124"/>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row>
    <row r="13" spans="1:256">
      <c r="A13" s="113"/>
      <c r="B13" s="113"/>
      <c r="C13" s="113"/>
      <c r="D13" s="113"/>
      <c r="E13" s="113"/>
      <c r="F13" s="616"/>
      <c r="G13" s="113"/>
      <c r="H13" s="123" t="s">
        <v>9</v>
      </c>
      <c r="I13" s="113" t="s">
        <v>35</v>
      </c>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c r="ES13" s="113"/>
      <c r="ET13" s="113"/>
      <c r="EU13" s="113"/>
      <c r="EV13" s="113"/>
      <c r="EW13" s="113"/>
      <c r="EX13" s="113"/>
      <c r="EY13" s="113"/>
      <c r="EZ13" s="113"/>
      <c r="FA13" s="113"/>
      <c r="FB13" s="113"/>
      <c r="FC13" s="113"/>
      <c r="FD13" s="113"/>
      <c r="FE13" s="113"/>
      <c r="FF13" s="113"/>
      <c r="FG13" s="113"/>
      <c r="FH13" s="113"/>
      <c r="FI13" s="113"/>
      <c r="FJ13" s="113"/>
      <c r="FK13" s="113"/>
      <c r="FL13" s="113"/>
      <c r="FM13" s="113"/>
      <c r="FN13" s="113"/>
      <c r="FO13" s="113"/>
      <c r="FP13" s="113"/>
      <c r="FQ13" s="113"/>
      <c r="FR13" s="113"/>
      <c r="FS13" s="113"/>
      <c r="FT13" s="113"/>
      <c r="FU13" s="113"/>
      <c r="FV13" s="113"/>
      <c r="FW13" s="113"/>
      <c r="FX13" s="113"/>
      <c r="FY13" s="113"/>
      <c r="FZ13" s="113"/>
      <c r="GA13" s="113"/>
      <c r="GB13" s="113"/>
      <c r="GC13" s="113"/>
      <c r="GD13" s="113"/>
      <c r="GE13" s="113"/>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c r="IK13" s="113"/>
      <c r="IL13" s="113"/>
      <c r="IM13" s="113"/>
      <c r="IN13" s="113"/>
      <c r="IO13" s="113"/>
      <c r="IP13" s="113"/>
      <c r="IQ13" s="113"/>
      <c r="IR13" s="113"/>
      <c r="IS13" s="113"/>
      <c r="IT13" s="113"/>
      <c r="IU13" s="113"/>
      <c r="IV13" s="113"/>
    </row>
    <row r="14" spans="1:256">
      <c r="A14" s="113"/>
      <c r="B14" s="113"/>
      <c r="C14" s="113"/>
      <c r="D14" s="113"/>
      <c r="E14" s="113"/>
      <c r="F14" s="616"/>
      <c r="G14" s="113"/>
      <c r="H14" s="123" t="s">
        <v>10</v>
      </c>
      <c r="I14" s="113" t="s">
        <v>255</v>
      </c>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c r="ES14" s="113"/>
      <c r="ET14" s="113"/>
      <c r="EU14" s="113"/>
      <c r="EV14" s="113"/>
      <c r="EW14" s="113"/>
      <c r="EX14" s="113"/>
      <c r="EY14" s="113"/>
      <c r="EZ14" s="113"/>
      <c r="FA14" s="113"/>
      <c r="FB14" s="113"/>
      <c r="FC14" s="113"/>
      <c r="FD14" s="113"/>
      <c r="FE14" s="113"/>
      <c r="FF14" s="113"/>
      <c r="FG14" s="113"/>
      <c r="FH14" s="113"/>
      <c r="FI14" s="113"/>
      <c r="FJ14" s="113"/>
      <c r="FK14" s="113"/>
      <c r="FL14" s="113"/>
      <c r="FM14" s="113"/>
      <c r="FN14" s="113"/>
      <c r="FO14" s="113"/>
      <c r="FP14" s="113"/>
      <c r="FQ14" s="113"/>
      <c r="FR14" s="113"/>
      <c r="FS14" s="113"/>
      <c r="FT14" s="113"/>
      <c r="FU14" s="113"/>
      <c r="FV14" s="113"/>
      <c r="FW14" s="113"/>
      <c r="FX14" s="113"/>
      <c r="FY14" s="113"/>
      <c r="FZ14" s="113"/>
      <c r="GA14" s="113"/>
      <c r="GB14" s="113"/>
      <c r="GC14" s="113"/>
      <c r="GD14" s="113"/>
      <c r="GE14" s="113"/>
      <c r="GF14" s="113"/>
      <c r="GG14" s="113"/>
      <c r="GH14" s="113"/>
      <c r="GI14" s="113"/>
      <c r="GJ14" s="113"/>
      <c r="GK14" s="113"/>
      <c r="GL14" s="113"/>
      <c r="GM14" s="113"/>
      <c r="GN14" s="113"/>
      <c r="GO14" s="113"/>
      <c r="GP14" s="113"/>
      <c r="GQ14" s="1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3"/>
      <c r="HR14" s="113"/>
      <c r="HS14" s="113"/>
      <c r="HT14" s="113"/>
      <c r="HU14" s="113"/>
      <c r="HV14" s="113"/>
      <c r="HW14" s="113"/>
      <c r="HX14" s="113"/>
      <c r="HY14" s="113"/>
      <c r="HZ14" s="113"/>
      <c r="IA14" s="113"/>
      <c r="IB14" s="113"/>
      <c r="IC14" s="113"/>
      <c r="ID14" s="113"/>
      <c r="IE14" s="113"/>
      <c r="IF14" s="113"/>
      <c r="IG14" s="113"/>
      <c r="IH14" s="113"/>
      <c r="II14" s="113"/>
      <c r="IJ14" s="113"/>
      <c r="IK14" s="113"/>
      <c r="IL14" s="113"/>
      <c r="IM14" s="113"/>
      <c r="IN14" s="113"/>
      <c r="IO14" s="113"/>
      <c r="IP14" s="113"/>
      <c r="IQ14" s="113"/>
      <c r="IR14" s="113"/>
      <c r="IS14" s="113"/>
      <c r="IT14" s="113"/>
      <c r="IU14" s="113"/>
      <c r="IV14" s="113"/>
    </row>
    <row r="15" spans="1:256">
      <c r="A15" s="113"/>
      <c r="B15" s="113"/>
      <c r="C15" s="252"/>
      <c r="D15" s="113"/>
      <c r="E15" s="113"/>
      <c r="F15" s="253"/>
      <c r="G15" s="113"/>
      <c r="H15" s="123" t="s">
        <v>11</v>
      </c>
      <c r="I15" s="113" t="s">
        <v>393</v>
      </c>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3"/>
      <c r="FH15" s="113"/>
      <c r="FI15" s="113"/>
      <c r="FJ15" s="113"/>
      <c r="FK15" s="113"/>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c r="IU15" s="113"/>
      <c r="IV15" s="113"/>
    </row>
    <row r="16" spans="1:256">
      <c r="A16" s="113"/>
      <c r="B16" s="113"/>
      <c r="C16" s="113"/>
      <c r="D16" s="113"/>
      <c r="E16" s="113"/>
      <c r="F16" s="616"/>
      <c r="G16" s="113"/>
      <c r="H16" s="123" t="s">
        <v>12</v>
      </c>
      <c r="I16" s="113" t="s">
        <v>256</v>
      </c>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c r="IV16" s="113"/>
    </row>
    <row r="17" spans="1:256">
      <c r="A17" s="113"/>
      <c r="B17" s="113"/>
      <c r="C17" s="113"/>
      <c r="D17" s="113"/>
      <c r="E17" s="113"/>
      <c r="F17" s="113"/>
      <c r="G17" s="113"/>
      <c r="H17" s="123" t="s">
        <v>13</v>
      </c>
      <c r="I17" s="113" t="s">
        <v>14</v>
      </c>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113"/>
      <c r="FX17" s="113"/>
      <c r="FY17" s="113"/>
      <c r="FZ17" s="113"/>
      <c r="GA17" s="113"/>
      <c r="GB17" s="113"/>
      <c r="GC17" s="113"/>
      <c r="GD17" s="113"/>
      <c r="GE17" s="113"/>
      <c r="GF17" s="113"/>
      <c r="GG17" s="113"/>
      <c r="GH17" s="113"/>
      <c r="GI17" s="113"/>
      <c r="GJ17" s="113"/>
      <c r="GK17" s="113"/>
      <c r="GL17" s="113"/>
      <c r="GM17" s="113"/>
      <c r="GN17" s="113"/>
      <c r="GO17" s="113"/>
      <c r="GP17" s="113"/>
      <c r="GQ17" s="113"/>
      <c r="GR17" s="113"/>
      <c r="GS17" s="113"/>
      <c r="GT17" s="113"/>
      <c r="GU17" s="113"/>
      <c r="GV17" s="113"/>
      <c r="GW17" s="113"/>
      <c r="GX17" s="113"/>
      <c r="GY17" s="113"/>
      <c r="GZ17" s="113"/>
      <c r="HA17" s="113"/>
      <c r="HB17" s="113"/>
      <c r="HC17" s="113"/>
      <c r="HD17" s="113"/>
      <c r="HE17" s="113"/>
      <c r="HF17" s="113"/>
      <c r="HG17" s="113"/>
      <c r="HH17" s="113"/>
      <c r="HI17" s="113"/>
      <c r="HJ17" s="113"/>
      <c r="HK17" s="113"/>
      <c r="HL17" s="113"/>
      <c r="HM17" s="113"/>
      <c r="HN17" s="113"/>
      <c r="HO17" s="113"/>
      <c r="HP17" s="113"/>
      <c r="HQ17" s="113"/>
      <c r="HR17" s="113"/>
      <c r="HS17" s="113"/>
      <c r="HT17" s="113"/>
      <c r="HU17" s="113"/>
      <c r="HV17" s="113"/>
      <c r="HW17" s="113"/>
      <c r="HX17" s="113"/>
      <c r="HY17" s="113"/>
      <c r="HZ17" s="113"/>
      <c r="IA17" s="113"/>
      <c r="IB17" s="113"/>
      <c r="IC17" s="113"/>
      <c r="ID17" s="113"/>
      <c r="IE17" s="113"/>
      <c r="IF17" s="113"/>
      <c r="IG17" s="113"/>
      <c r="IH17" s="113"/>
      <c r="II17" s="113"/>
      <c r="IJ17" s="113"/>
      <c r="IK17" s="113"/>
      <c r="IL17" s="113"/>
      <c r="IM17" s="113"/>
      <c r="IN17" s="113"/>
      <c r="IO17" s="113"/>
      <c r="IP17" s="113"/>
      <c r="IQ17" s="113"/>
      <c r="IR17" s="113"/>
      <c r="IS17" s="113"/>
      <c r="IT17" s="113"/>
      <c r="IU17" s="113"/>
      <c r="IV17" s="113"/>
    </row>
    <row r="18" spans="1:256">
      <c r="A18" s="113"/>
      <c r="B18" s="113"/>
      <c r="C18" s="113"/>
      <c r="D18" s="113"/>
      <c r="E18" s="113"/>
      <c r="F18" s="616"/>
      <c r="G18" s="113"/>
      <c r="H18" s="113"/>
      <c r="I18" s="113" t="s">
        <v>36</v>
      </c>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113"/>
      <c r="FX18" s="113"/>
      <c r="FY18" s="113"/>
      <c r="FZ18" s="113"/>
      <c r="GA18" s="113"/>
      <c r="GB18" s="113"/>
      <c r="GC18" s="113"/>
      <c r="GD18" s="113"/>
      <c r="GE18" s="113"/>
      <c r="GF18" s="113"/>
      <c r="GG18" s="113"/>
      <c r="GH18" s="113"/>
      <c r="GI18" s="113"/>
      <c r="GJ18" s="113"/>
      <c r="GK18" s="113"/>
      <c r="GL18" s="113"/>
      <c r="GM18" s="113"/>
      <c r="GN18" s="113"/>
      <c r="GO18" s="113"/>
      <c r="GP18" s="113"/>
      <c r="GQ18" s="113"/>
      <c r="GR18" s="113"/>
      <c r="GS18" s="113"/>
      <c r="GT18" s="113"/>
      <c r="GU18" s="113"/>
      <c r="GV18" s="113"/>
      <c r="GW18" s="113"/>
      <c r="GX18" s="113"/>
      <c r="GY18" s="113"/>
      <c r="GZ18" s="113"/>
      <c r="HA18" s="113"/>
      <c r="HB18" s="113"/>
      <c r="HC18" s="113"/>
      <c r="HD18" s="113"/>
      <c r="HE18" s="113"/>
      <c r="HF18" s="113"/>
      <c r="HG18" s="113"/>
      <c r="HH18" s="113"/>
      <c r="HI18" s="113"/>
      <c r="HJ18" s="113"/>
      <c r="HK18" s="113"/>
      <c r="HL18" s="113"/>
      <c r="HM18" s="113"/>
      <c r="HN18" s="113"/>
      <c r="HO18" s="113"/>
      <c r="HP18" s="113"/>
      <c r="HQ18" s="113"/>
      <c r="HR18" s="113"/>
      <c r="HS18" s="113"/>
      <c r="HT18" s="113"/>
      <c r="HU18" s="113"/>
      <c r="HV18" s="113"/>
      <c r="HW18" s="113"/>
      <c r="HX18" s="113"/>
      <c r="HY18" s="113"/>
      <c r="HZ18" s="113"/>
      <c r="IA18" s="113"/>
      <c r="IB18" s="113"/>
      <c r="IC18" s="113"/>
      <c r="ID18" s="113"/>
      <c r="IE18" s="113"/>
      <c r="IF18" s="113"/>
      <c r="IG18" s="113"/>
      <c r="IH18" s="113"/>
      <c r="II18" s="113"/>
      <c r="IJ18" s="113"/>
      <c r="IK18" s="113"/>
      <c r="IL18" s="113"/>
      <c r="IM18" s="113"/>
      <c r="IN18" s="113"/>
      <c r="IO18" s="113"/>
      <c r="IP18" s="113"/>
      <c r="IQ18" s="113"/>
      <c r="IR18" s="113"/>
      <c r="IS18" s="113"/>
      <c r="IT18" s="113"/>
      <c r="IU18" s="113"/>
      <c r="IV18" s="113"/>
    </row>
    <row r="19" spans="1:256">
      <c r="A19" s="113"/>
      <c r="B19" s="113"/>
      <c r="C19" s="113"/>
      <c r="D19" s="113"/>
      <c r="E19" s="113"/>
      <c r="F19" s="616"/>
      <c r="G19" s="113"/>
      <c r="H19" s="113"/>
      <c r="I19" s="113" t="s">
        <v>37</v>
      </c>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c r="EW19" s="113"/>
      <c r="EX19" s="113"/>
      <c r="EY19" s="113"/>
      <c r="EZ19" s="113"/>
      <c r="FA19" s="113"/>
      <c r="FB19" s="113"/>
      <c r="FC19" s="113"/>
      <c r="FD19" s="113"/>
      <c r="FE19" s="113"/>
      <c r="FF19" s="113"/>
      <c r="FG19" s="113"/>
      <c r="FH19" s="113"/>
      <c r="FI19" s="113"/>
      <c r="FJ19" s="113"/>
      <c r="FK19" s="113"/>
      <c r="FL19" s="113"/>
      <c r="FM19" s="113"/>
      <c r="FN19" s="113"/>
      <c r="FO19" s="113"/>
      <c r="FP19" s="113"/>
      <c r="FQ19" s="113"/>
      <c r="FR19" s="113"/>
      <c r="FS19" s="113"/>
      <c r="FT19" s="113"/>
      <c r="FU19" s="113"/>
      <c r="FV19" s="113"/>
      <c r="FW19" s="113"/>
      <c r="FX19" s="113"/>
      <c r="FY19" s="113"/>
      <c r="FZ19" s="113"/>
      <c r="GA19" s="113"/>
      <c r="GB19" s="113"/>
      <c r="GC19" s="113"/>
      <c r="GD19" s="113"/>
      <c r="GE19" s="113"/>
      <c r="GF19" s="113"/>
      <c r="GG19" s="113"/>
      <c r="GH19" s="113"/>
      <c r="GI19" s="113"/>
      <c r="GJ19" s="113"/>
      <c r="GK19" s="113"/>
      <c r="GL19" s="113"/>
      <c r="GM19" s="113"/>
      <c r="GN19" s="113"/>
      <c r="GO19" s="113"/>
      <c r="GP19" s="113"/>
      <c r="GQ19" s="113"/>
      <c r="GR19" s="113"/>
      <c r="GS19" s="113"/>
      <c r="GT19" s="113"/>
      <c r="GU19" s="113"/>
      <c r="GV19" s="113"/>
      <c r="GW19" s="113"/>
      <c r="GX19" s="113"/>
      <c r="GY19" s="113"/>
      <c r="GZ19" s="113"/>
      <c r="HA19" s="113"/>
      <c r="HB19" s="113"/>
      <c r="HC19" s="113"/>
      <c r="HD19" s="113"/>
      <c r="HE19" s="113"/>
      <c r="HF19" s="113"/>
      <c r="HG19" s="113"/>
      <c r="HH19" s="113"/>
      <c r="HI19" s="113"/>
      <c r="HJ19" s="113"/>
      <c r="HK19" s="113"/>
      <c r="HL19" s="113"/>
      <c r="HM19" s="113"/>
      <c r="HN19" s="113"/>
      <c r="HO19" s="113"/>
      <c r="HP19" s="113"/>
      <c r="HQ19" s="113"/>
      <c r="HR19" s="113"/>
      <c r="HS19" s="113"/>
      <c r="HT19" s="113"/>
      <c r="HU19" s="113"/>
      <c r="HV19" s="113"/>
      <c r="HW19" s="113"/>
      <c r="HX19" s="113"/>
      <c r="HY19" s="113"/>
      <c r="HZ19" s="113"/>
      <c r="IA19" s="113"/>
      <c r="IB19" s="113"/>
      <c r="IC19" s="113"/>
      <c r="ID19" s="113"/>
      <c r="IE19" s="113"/>
      <c r="IF19" s="113"/>
      <c r="IG19" s="113"/>
      <c r="IH19" s="113"/>
      <c r="II19" s="113"/>
      <c r="IJ19" s="113"/>
      <c r="IK19" s="113"/>
      <c r="IL19" s="113"/>
      <c r="IM19" s="113"/>
      <c r="IN19" s="113"/>
      <c r="IO19" s="113"/>
      <c r="IP19" s="113"/>
      <c r="IQ19" s="113"/>
      <c r="IR19" s="113"/>
      <c r="IS19" s="113"/>
      <c r="IT19" s="113"/>
      <c r="IU19" s="113"/>
      <c r="IV19" s="113"/>
    </row>
    <row r="20" spans="1:256">
      <c r="A20" s="113"/>
      <c r="B20" s="113"/>
      <c r="C20" s="113"/>
      <c r="D20" s="113"/>
      <c r="E20" s="113"/>
      <c r="F20" s="616"/>
      <c r="G20" s="113"/>
      <c r="H20" s="123" t="s">
        <v>15</v>
      </c>
      <c r="I20" s="113" t="s">
        <v>394</v>
      </c>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c r="ES20" s="113"/>
      <c r="ET20" s="113"/>
      <c r="EU20" s="113"/>
      <c r="EV20" s="113"/>
      <c r="EW20" s="113"/>
      <c r="EX20" s="113"/>
      <c r="EY20" s="113"/>
      <c r="EZ20" s="113"/>
      <c r="FA20" s="113"/>
      <c r="FB20" s="113"/>
      <c r="FC20" s="113"/>
      <c r="FD20" s="113"/>
      <c r="FE20" s="113"/>
      <c r="FF20" s="113"/>
      <c r="FG20" s="113"/>
      <c r="FH20" s="113"/>
      <c r="FI20" s="113"/>
      <c r="FJ20" s="113"/>
      <c r="FK20" s="113"/>
      <c r="FL20" s="113"/>
      <c r="FM20" s="113"/>
      <c r="FN20" s="113"/>
      <c r="FO20" s="113"/>
      <c r="FP20" s="113"/>
      <c r="FQ20" s="113"/>
      <c r="FR20" s="113"/>
      <c r="FS20" s="113"/>
      <c r="FT20" s="113"/>
      <c r="FU20" s="113"/>
      <c r="FV20" s="113"/>
      <c r="FW20" s="113"/>
      <c r="FX20" s="113"/>
      <c r="FY20" s="113"/>
      <c r="FZ20" s="113"/>
      <c r="GA20" s="113"/>
      <c r="GB20" s="113"/>
      <c r="GC20" s="113"/>
      <c r="GD20" s="113"/>
      <c r="GE20" s="113"/>
      <c r="GF20" s="113"/>
      <c r="GG20" s="113"/>
      <c r="GH20" s="113"/>
      <c r="GI20" s="113"/>
      <c r="GJ20" s="113"/>
      <c r="GK20" s="113"/>
      <c r="GL20" s="113"/>
      <c r="GM20" s="113"/>
      <c r="GN20" s="113"/>
      <c r="GO20" s="113"/>
      <c r="GP20" s="113"/>
      <c r="GQ20" s="113"/>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13"/>
      <c r="IG20" s="113"/>
      <c r="IH20" s="113"/>
      <c r="II20" s="113"/>
      <c r="IJ20" s="113"/>
      <c r="IK20" s="113"/>
      <c r="IL20" s="113"/>
      <c r="IM20" s="113"/>
      <c r="IN20" s="113"/>
      <c r="IO20" s="113"/>
      <c r="IP20" s="113"/>
      <c r="IQ20" s="113"/>
      <c r="IR20" s="113"/>
      <c r="IS20" s="113"/>
      <c r="IT20" s="113"/>
      <c r="IU20" s="113"/>
      <c r="IV20" s="113"/>
    </row>
    <row r="21" spans="1:256">
      <c r="A21" s="113"/>
      <c r="B21" s="113"/>
      <c r="C21" s="113"/>
      <c r="D21" s="113"/>
      <c r="E21" s="113"/>
      <c r="F21" s="616"/>
      <c r="G21" s="113"/>
      <c r="H21" s="123" t="s">
        <v>16</v>
      </c>
      <c r="I21" s="113" t="s">
        <v>39</v>
      </c>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113"/>
      <c r="FJ21" s="113"/>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113"/>
      <c r="GK21" s="113"/>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113"/>
      <c r="HL21" s="113"/>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113"/>
      <c r="IM21" s="113"/>
      <c r="IN21" s="113"/>
      <c r="IO21" s="113"/>
      <c r="IP21" s="113"/>
      <c r="IQ21" s="113"/>
      <c r="IR21" s="113"/>
      <c r="IS21" s="113"/>
      <c r="IT21" s="113"/>
      <c r="IU21" s="113"/>
      <c r="IV21" s="113"/>
    </row>
    <row r="22" spans="1:256">
      <c r="A22" s="113"/>
      <c r="B22" s="113"/>
      <c r="C22" s="113"/>
      <c r="D22" s="113"/>
      <c r="E22" s="113"/>
      <c r="F22" s="616"/>
      <c r="G22" s="124"/>
      <c r="H22" s="123" t="s">
        <v>18</v>
      </c>
      <c r="I22" s="124" t="s">
        <v>395</v>
      </c>
      <c r="J22" s="124"/>
      <c r="K22" s="113"/>
      <c r="L22" s="124"/>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c r="ES22" s="113"/>
      <c r="ET22" s="113"/>
      <c r="EU22" s="113"/>
      <c r="EV22" s="113"/>
      <c r="EW22" s="113"/>
      <c r="EX22" s="113"/>
      <c r="EY22" s="113"/>
      <c r="EZ22" s="113"/>
      <c r="FA22" s="113"/>
      <c r="FB22" s="113"/>
      <c r="FC22" s="113"/>
      <c r="FD22" s="113"/>
      <c r="FE22" s="113"/>
      <c r="FF22" s="113"/>
      <c r="FG22" s="113"/>
      <c r="FH22" s="113"/>
      <c r="FI22" s="113"/>
      <c r="FJ22" s="113"/>
      <c r="FK22" s="113"/>
      <c r="FL22" s="113"/>
      <c r="FM22" s="113"/>
      <c r="FN22" s="113"/>
      <c r="FO22" s="113"/>
      <c r="FP22" s="113"/>
      <c r="FQ22" s="113"/>
      <c r="FR22" s="113"/>
      <c r="FS22" s="113"/>
      <c r="FT22" s="113"/>
      <c r="FU22" s="113"/>
      <c r="FV22" s="113"/>
      <c r="FW22" s="113"/>
      <c r="FX22" s="113"/>
      <c r="FY22" s="113"/>
      <c r="FZ22" s="113"/>
      <c r="GA22" s="113"/>
      <c r="GB22" s="113"/>
      <c r="GC22" s="113"/>
      <c r="GD22" s="113"/>
      <c r="GE22" s="113"/>
      <c r="GF22" s="113"/>
      <c r="GG22" s="113"/>
      <c r="GH22" s="113"/>
      <c r="GI22" s="113"/>
      <c r="GJ22" s="113"/>
      <c r="GK22" s="113"/>
      <c r="GL22" s="113"/>
      <c r="GM22" s="113"/>
      <c r="GN22" s="113"/>
      <c r="GO22" s="113"/>
      <c r="GP22" s="113"/>
      <c r="GQ22" s="113"/>
      <c r="GR22" s="113"/>
      <c r="GS22" s="113"/>
      <c r="GT22" s="113"/>
      <c r="GU22" s="113"/>
      <c r="GV22" s="113"/>
      <c r="GW22" s="113"/>
      <c r="GX22" s="113"/>
      <c r="GY22" s="113"/>
      <c r="GZ22" s="113"/>
      <c r="HA22" s="113"/>
      <c r="HB22" s="113"/>
      <c r="HC22" s="113"/>
      <c r="HD22" s="113"/>
      <c r="HE22" s="113"/>
      <c r="HF22" s="113"/>
      <c r="HG22" s="113"/>
      <c r="HH22" s="113"/>
      <c r="HI22" s="113"/>
      <c r="HJ22" s="113"/>
      <c r="HK22" s="113"/>
      <c r="HL22" s="113"/>
      <c r="HM22" s="113"/>
      <c r="HN22" s="113"/>
      <c r="HO22" s="113"/>
      <c r="HP22" s="113"/>
      <c r="HQ22" s="113"/>
      <c r="HR22" s="113"/>
      <c r="HS22" s="113"/>
      <c r="HT22" s="113"/>
      <c r="HU22" s="113"/>
      <c r="HV22" s="113"/>
      <c r="HW22" s="113"/>
      <c r="HX22" s="113"/>
      <c r="HY22" s="113"/>
      <c r="HZ22" s="113"/>
      <c r="IA22" s="113"/>
      <c r="IB22" s="113"/>
      <c r="IC22" s="113"/>
      <c r="ID22" s="113"/>
      <c r="IE22" s="113"/>
      <c r="IF22" s="113"/>
      <c r="IG22" s="113"/>
      <c r="IH22" s="113"/>
      <c r="II22" s="113"/>
      <c r="IJ22" s="113"/>
      <c r="IK22" s="113"/>
      <c r="IL22" s="113"/>
      <c r="IM22" s="113"/>
      <c r="IN22" s="113"/>
      <c r="IO22" s="113"/>
      <c r="IP22" s="113"/>
      <c r="IQ22" s="113"/>
      <c r="IR22" s="113"/>
      <c r="IS22" s="113"/>
      <c r="IT22" s="113"/>
      <c r="IU22" s="113"/>
      <c r="IV22" s="113"/>
    </row>
    <row r="23" spans="1:256" ht="14.25">
      <c r="A23" s="113"/>
      <c r="B23" s="113"/>
      <c r="C23" s="113"/>
      <c r="D23" s="1071"/>
      <c r="E23" s="136"/>
      <c r="F23" s="135"/>
      <c r="G23" s="113"/>
      <c r="H23" s="123" t="s">
        <v>19</v>
      </c>
      <c r="I23" s="113" t="s">
        <v>396</v>
      </c>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c r="ES23" s="113"/>
      <c r="ET23" s="113"/>
      <c r="EU23" s="113"/>
      <c r="EV23" s="113"/>
      <c r="EW23" s="113"/>
      <c r="EX23" s="113"/>
      <c r="EY23" s="113"/>
      <c r="EZ23" s="113"/>
      <c r="FA23" s="113"/>
      <c r="FB23" s="113"/>
      <c r="FC23" s="113"/>
      <c r="FD23" s="113"/>
      <c r="FE23" s="113"/>
      <c r="FF23" s="113"/>
      <c r="FG23" s="113"/>
      <c r="FH23" s="113"/>
      <c r="FI23" s="113"/>
      <c r="FJ23" s="113"/>
      <c r="FK23" s="113"/>
      <c r="FL23" s="113"/>
      <c r="FM23" s="113"/>
      <c r="FN23" s="113"/>
      <c r="FO23" s="113"/>
      <c r="FP23" s="113"/>
      <c r="FQ23" s="113"/>
      <c r="FR23" s="113"/>
      <c r="FS23" s="113"/>
      <c r="FT23" s="113"/>
      <c r="FU23" s="113"/>
      <c r="FV23" s="113"/>
      <c r="FW23" s="113"/>
      <c r="FX23" s="113"/>
      <c r="FY23" s="113"/>
      <c r="FZ23" s="113"/>
      <c r="GA23" s="113"/>
      <c r="GB23" s="113"/>
      <c r="GC23" s="113"/>
      <c r="GD23" s="113"/>
      <c r="GE23" s="113"/>
      <c r="GF23" s="113"/>
      <c r="GG23" s="113"/>
      <c r="GH23" s="113"/>
      <c r="GI23" s="113"/>
      <c r="GJ23" s="113"/>
      <c r="GK23" s="113"/>
      <c r="GL23" s="113"/>
      <c r="GM23" s="113"/>
      <c r="GN23" s="113"/>
      <c r="GO23" s="113"/>
      <c r="GP23" s="113"/>
      <c r="GQ23" s="113"/>
      <c r="GR23" s="113"/>
      <c r="GS23" s="113"/>
      <c r="GT23" s="113"/>
      <c r="GU23" s="113"/>
      <c r="GV23" s="113"/>
      <c r="GW23" s="113"/>
      <c r="GX23" s="113"/>
      <c r="GY23" s="113"/>
      <c r="GZ23" s="113"/>
      <c r="HA23" s="113"/>
      <c r="HB23" s="113"/>
      <c r="HC23" s="113"/>
      <c r="HD23" s="113"/>
      <c r="HE23" s="113"/>
      <c r="HF23" s="113"/>
      <c r="HG23" s="113"/>
      <c r="HH23" s="113"/>
      <c r="HI23" s="113"/>
      <c r="HJ23" s="113"/>
      <c r="HK23" s="113"/>
      <c r="HL23" s="113"/>
      <c r="HM23" s="113"/>
      <c r="HN23" s="113"/>
      <c r="HO23" s="113"/>
      <c r="HP23" s="113"/>
      <c r="HQ23" s="113"/>
      <c r="HR23" s="113"/>
      <c r="HS23" s="113"/>
      <c r="HT23" s="113"/>
      <c r="HU23" s="113"/>
      <c r="HV23" s="113"/>
      <c r="HW23" s="113"/>
      <c r="HX23" s="113"/>
      <c r="HY23" s="113"/>
      <c r="HZ23" s="113"/>
      <c r="IA23" s="113"/>
      <c r="IB23" s="113"/>
      <c r="IC23" s="113"/>
      <c r="ID23" s="113"/>
      <c r="IE23" s="113"/>
      <c r="IF23" s="113"/>
      <c r="IG23" s="113"/>
      <c r="IH23" s="113"/>
      <c r="II23" s="113"/>
      <c r="IJ23" s="113"/>
      <c r="IK23" s="113"/>
      <c r="IL23" s="113"/>
      <c r="IM23" s="113"/>
      <c r="IN23" s="113"/>
      <c r="IO23" s="113"/>
      <c r="IP23" s="113"/>
      <c r="IQ23" s="113"/>
      <c r="IR23" s="113"/>
      <c r="IS23" s="113"/>
      <c r="IT23" s="113"/>
      <c r="IU23" s="113"/>
      <c r="IV23" s="113"/>
    </row>
    <row r="24" spans="1:256" ht="14.25">
      <c r="A24" s="113"/>
      <c r="B24" s="113"/>
      <c r="C24" s="113"/>
      <c r="D24" s="1071"/>
      <c r="E24" s="136"/>
      <c r="F24" s="135"/>
      <c r="G24" s="113"/>
      <c r="H24" s="123" t="s">
        <v>20</v>
      </c>
      <c r="I24" s="113" t="s">
        <v>397</v>
      </c>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c r="CR24" s="113"/>
      <c r="CS24" s="113"/>
      <c r="CT24" s="113"/>
      <c r="CU24" s="113"/>
      <c r="CV24" s="113"/>
      <c r="CW24" s="113"/>
      <c r="CX24" s="113"/>
      <c r="CY24" s="113"/>
      <c r="CZ24" s="113"/>
      <c r="DA24" s="113"/>
      <c r="DB24" s="113"/>
      <c r="DC24" s="113"/>
      <c r="DD24" s="113"/>
      <c r="DE24" s="113"/>
      <c r="DF24" s="113"/>
      <c r="DG24" s="113"/>
      <c r="DH24" s="113"/>
      <c r="DI24" s="113"/>
      <c r="DJ24" s="113"/>
      <c r="DK24" s="113"/>
      <c r="DL24" s="113"/>
      <c r="DM24" s="113"/>
      <c r="DN24" s="113"/>
      <c r="DO24" s="113"/>
      <c r="DP24" s="113"/>
      <c r="DQ24" s="113"/>
      <c r="DR24" s="113"/>
      <c r="DS24" s="113"/>
      <c r="DT24" s="113"/>
      <c r="DU24" s="113"/>
      <c r="DV24" s="113"/>
      <c r="DW24" s="113"/>
      <c r="DX24" s="113"/>
      <c r="DY24" s="113"/>
      <c r="DZ24" s="113"/>
      <c r="EA24" s="113"/>
      <c r="EB24" s="113"/>
      <c r="EC24" s="113"/>
      <c r="ED24" s="113"/>
      <c r="EE24" s="113"/>
      <c r="EF24" s="113"/>
      <c r="EG24" s="113"/>
      <c r="EH24" s="113"/>
      <c r="EI24" s="113"/>
      <c r="EJ24" s="113"/>
      <c r="EK24" s="113"/>
      <c r="EL24" s="113"/>
      <c r="EM24" s="113"/>
      <c r="EN24" s="113"/>
      <c r="EO24" s="113"/>
      <c r="EP24" s="113"/>
      <c r="EQ24" s="113"/>
      <c r="ER24" s="113"/>
      <c r="ES24" s="113"/>
      <c r="ET24" s="113"/>
      <c r="EU24" s="113"/>
      <c r="EV24" s="113"/>
      <c r="EW24" s="113"/>
      <c r="EX24" s="113"/>
      <c r="EY24" s="113"/>
      <c r="EZ24" s="113"/>
      <c r="FA24" s="113"/>
      <c r="FB24" s="113"/>
      <c r="FC24" s="113"/>
      <c r="FD24" s="113"/>
      <c r="FE24" s="113"/>
      <c r="FF24" s="113"/>
      <c r="FG24" s="113"/>
      <c r="FH24" s="113"/>
      <c r="FI24" s="113"/>
      <c r="FJ24" s="113"/>
      <c r="FK24" s="113"/>
      <c r="FL24" s="113"/>
      <c r="FM24" s="113"/>
      <c r="FN24" s="113"/>
      <c r="FO24" s="113"/>
      <c r="FP24" s="113"/>
      <c r="FQ24" s="113"/>
      <c r="FR24" s="113"/>
      <c r="FS24" s="113"/>
      <c r="FT24" s="113"/>
      <c r="FU24" s="113"/>
      <c r="FV24" s="113"/>
      <c r="FW24" s="113"/>
      <c r="FX24" s="113"/>
      <c r="FY24" s="113"/>
      <c r="FZ24" s="113"/>
      <c r="GA24" s="113"/>
      <c r="GB24" s="113"/>
      <c r="GC24" s="113"/>
      <c r="GD24" s="113"/>
      <c r="GE24" s="113"/>
      <c r="GF24" s="113"/>
      <c r="GG24" s="113"/>
      <c r="GH24" s="113"/>
      <c r="GI24" s="113"/>
      <c r="GJ24" s="113"/>
      <c r="GK24" s="113"/>
      <c r="GL24" s="113"/>
      <c r="GM24" s="113"/>
      <c r="GN24" s="113"/>
      <c r="GO24" s="113"/>
      <c r="GP24" s="113"/>
      <c r="GQ24" s="113"/>
      <c r="GR24" s="113"/>
      <c r="GS24" s="113"/>
      <c r="GT24" s="113"/>
      <c r="GU24" s="113"/>
      <c r="GV24" s="113"/>
      <c r="GW24" s="113"/>
      <c r="GX24" s="113"/>
      <c r="GY24" s="113"/>
      <c r="GZ24" s="113"/>
      <c r="HA24" s="113"/>
      <c r="HB24" s="113"/>
      <c r="HC24" s="113"/>
      <c r="HD24" s="113"/>
      <c r="HE24" s="113"/>
      <c r="HF24" s="113"/>
      <c r="HG24" s="113"/>
      <c r="HH24" s="113"/>
      <c r="HI24" s="113"/>
      <c r="HJ24" s="113"/>
      <c r="HK24" s="113"/>
      <c r="HL24" s="113"/>
      <c r="HM24" s="113"/>
      <c r="HN24" s="113"/>
      <c r="HO24" s="113"/>
      <c r="HP24" s="113"/>
      <c r="HQ24" s="113"/>
      <c r="HR24" s="113"/>
      <c r="HS24" s="113"/>
      <c r="HT24" s="113"/>
      <c r="HU24" s="113"/>
      <c r="HV24" s="113"/>
      <c r="HW24" s="113"/>
      <c r="HX24" s="113"/>
      <c r="HY24" s="113"/>
      <c r="HZ24" s="113"/>
      <c r="IA24" s="113"/>
      <c r="IB24" s="113"/>
      <c r="IC24" s="113"/>
      <c r="ID24" s="113"/>
      <c r="IE24" s="113"/>
      <c r="IF24" s="113"/>
      <c r="IG24" s="113"/>
      <c r="IH24" s="113"/>
      <c r="II24" s="113"/>
      <c r="IJ24" s="113"/>
      <c r="IK24" s="113"/>
      <c r="IL24" s="113"/>
      <c r="IM24" s="113"/>
      <c r="IN24" s="113"/>
      <c r="IO24" s="113"/>
      <c r="IP24" s="113"/>
      <c r="IQ24" s="113"/>
      <c r="IR24" s="113"/>
      <c r="IS24" s="113"/>
      <c r="IT24" s="113"/>
      <c r="IU24" s="113"/>
      <c r="IV24" s="113"/>
    </row>
    <row r="25" spans="1:256" ht="14.25">
      <c r="A25" s="113"/>
      <c r="B25" s="113"/>
      <c r="C25" s="113"/>
      <c r="D25" s="136"/>
      <c r="E25" s="136"/>
      <c r="F25" s="135"/>
      <c r="G25" s="113"/>
      <c r="H25" s="123" t="s">
        <v>21</v>
      </c>
      <c r="I25" s="113" t="s">
        <v>398</v>
      </c>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c r="DB25" s="113"/>
      <c r="DC25" s="113"/>
      <c r="DD25" s="113"/>
      <c r="DE25" s="113"/>
      <c r="DF25" s="113"/>
      <c r="DG25" s="113"/>
      <c r="DH25" s="113"/>
      <c r="DI25" s="113"/>
      <c r="DJ25" s="113"/>
      <c r="DK25" s="113"/>
      <c r="DL25" s="113"/>
      <c r="DM25" s="113"/>
      <c r="DN25" s="113"/>
      <c r="DO25" s="113"/>
      <c r="DP25" s="113"/>
      <c r="DQ25" s="113"/>
      <c r="DR25" s="113"/>
      <c r="DS25" s="113"/>
      <c r="DT25" s="113"/>
      <c r="DU25" s="113"/>
      <c r="DV25" s="113"/>
      <c r="DW25" s="113"/>
      <c r="DX25" s="113"/>
      <c r="DY25" s="113"/>
      <c r="DZ25" s="113"/>
      <c r="EA25" s="113"/>
      <c r="EB25" s="113"/>
      <c r="EC25" s="113"/>
      <c r="ED25" s="113"/>
      <c r="EE25" s="113"/>
      <c r="EF25" s="113"/>
      <c r="EG25" s="113"/>
      <c r="EH25" s="113"/>
      <c r="EI25" s="113"/>
      <c r="EJ25" s="113"/>
      <c r="EK25" s="113"/>
      <c r="EL25" s="113"/>
      <c r="EM25" s="113"/>
      <c r="EN25" s="113"/>
      <c r="EO25" s="113"/>
      <c r="EP25" s="113"/>
      <c r="EQ25" s="113"/>
      <c r="ER25" s="113"/>
      <c r="ES25" s="113"/>
      <c r="ET25" s="113"/>
      <c r="EU25" s="113"/>
      <c r="EV25" s="113"/>
      <c r="EW25" s="113"/>
      <c r="EX25" s="113"/>
      <c r="EY25" s="113"/>
      <c r="EZ25" s="113"/>
      <c r="FA25" s="113"/>
      <c r="FB25" s="113"/>
      <c r="FC25" s="113"/>
      <c r="FD25" s="113"/>
      <c r="FE25" s="113"/>
      <c r="FF25" s="113"/>
      <c r="FG25" s="113"/>
      <c r="FH25" s="113"/>
      <c r="FI25" s="113"/>
      <c r="FJ25" s="113"/>
      <c r="FK25" s="113"/>
      <c r="FL25" s="113"/>
      <c r="FM25" s="113"/>
      <c r="FN25" s="113"/>
      <c r="FO25" s="113"/>
      <c r="FP25" s="113"/>
      <c r="FQ25" s="113"/>
      <c r="FR25" s="113"/>
      <c r="FS25" s="113"/>
      <c r="FT25" s="113"/>
      <c r="FU25" s="113"/>
      <c r="FV25" s="113"/>
      <c r="FW25" s="113"/>
      <c r="FX25" s="113"/>
      <c r="FY25" s="113"/>
      <c r="FZ25" s="113"/>
      <c r="GA25" s="113"/>
      <c r="GB25" s="113"/>
      <c r="GC25" s="113"/>
      <c r="GD25" s="113"/>
      <c r="GE25" s="113"/>
      <c r="GF25" s="113"/>
      <c r="GG25" s="113"/>
      <c r="GH25" s="113"/>
      <c r="GI25" s="113"/>
      <c r="GJ25" s="113"/>
      <c r="GK25" s="113"/>
      <c r="GL25" s="113"/>
      <c r="GM25" s="113"/>
      <c r="GN25" s="113"/>
      <c r="GO25" s="113"/>
      <c r="GP25" s="113"/>
      <c r="GQ25" s="113"/>
      <c r="GR25" s="113"/>
      <c r="GS25" s="113"/>
      <c r="GT25" s="113"/>
      <c r="GU25" s="113"/>
      <c r="GV25" s="113"/>
      <c r="GW25" s="113"/>
      <c r="GX25" s="113"/>
      <c r="GY25" s="113"/>
      <c r="GZ25" s="113"/>
      <c r="HA25" s="113"/>
      <c r="HB25" s="113"/>
      <c r="HC25" s="113"/>
      <c r="HD25" s="113"/>
      <c r="HE25" s="113"/>
      <c r="HF25" s="113"/>
      <c r="HG25" s="113"/>
      <c r="HH25" s="113"/>
      <c r="HI25" s="113"/>
      <c r="HJ25" s="113"/>
      <c r="HK25" s="113"/>
      <c r="HL25" s="113"/>
      <c r="HM25" s="113"/>
      <c r="HN25" s="113"/>
      <c r="HO25" s="113"/>
      <c r="HP25" s="113"/>
      <c r="HQ25" s="113"/>
      <c r="HR25" s="113"/>
      <c r="HS25" s="113"/>
      <c r="HT25" s="113"/>
      <c r="HU25" s="113"/>
      <c r="HV25" s="113"/>
      <c r="HW25" s="113"/>
      <c r="HX25" s="113"/>
      <c r="HY25" s="113"/>
      <c r="HZ25" s="113"/>
      <c r="IA25" s="113"/>
      <c r="IB25" s="113"/>
      <c r="IC25" s="113"/>
      <c r="ID25" s="113"/>
      <c r="IE25" s="113"/>
      <c r="IF25" s="113"/>
      <c r="IG25" s="113"/>
      <c r="IH25" s="113"/>
      <c r="II25" s="113"/>
      <c r="IJ25" s="113"/>
      <c r="IK25" s="113"/>
      <c r="IL25" s="113"/>
      <c r="IM25" s="113"/>
      <c r="IN25" s="113"/>
      <c r="IO25" s="113"/>
      <c r="IP25" s="113"/>
      <c r="IQ25" s="113"/>
      <c r="IR25" s="113"/>
      <c r="IS25" s="113"/>
      <c r="IT25" s="113"/>
      <c r="IU25" s="113"/>
      <c r="IV25" s="113"/>
    </row>
    <row r="26" spans="1:256" ht="14.25">
      <c r="A26" s="113"/>
      <c r="B26" s="113"/>
      <c r="C26" s="113"/>
      <c r="D26" s="136"/>
      <c r="E26" s="136"/>
      <c r="F26" s="135"/>
      <c r="G26" s="113"/>
      <c r="H26" s="123" t="s">
        <v>22</v>
      </c>
      <c r="I26" s="113" t="s">
        <v>399</v>
      </c>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c r="DB26" s="113"/>
      <c r="DC26" s="113"/>
      <c r="DD26" s="113"/>
      <c r="DE26" s="113"/>
      <c r="DF26" s="113"/>
      <c r="DG26" s="113"/>
      <c r="DH26" s="113"/>
      <c r="DI26" s="113"/>
      <c r="DJ26" s="113"/>
      <c r="DK26" s="113"/>
      <c r="DL26" s="113"/>
      <c r="DM26" s="113"/>
      <c r="DN26" s="113"/>
      <c r="DO26" s="113"/>
      <c r="DP26" s="113"/>
      <c r="DQ26" s="113"/>
      <c r="DR26" s="113"/>
      <c r="DS26" s="113"/>
      <c r="DT26" s="113"/>
      <c r="DU26" s="113"/>
      <c r="DV26" s="113"/>
      <c r="DW26" s="113"/>
      <c r="DX26" s="113"/>
      <c r="DY26" s="113"/>
      <c r="DZ26" s="113"/>
      <c r="EA26" s="113"/>
      <c r="EB26" s="113"/>
      <c r="EC26" s="113"/>
      <c r="ED26" s="113"/>
      <c r="EE26" s="113"/>
      <c r="EF26" s="113"/>
      <c r="EG26" s="113"/>
      <c r="EH26" s="113"/>
      <c r="EI26" s="113"/>
      <c r="EJ26" s="113"/>
      <c r="EK26" s="113"/>
      <c r="EL26" s="113"/>
      <c r="EM26" s="113"/>
      <c r="EN26" s="113"/>
      <c r="EO26" s="113"/>
      <c r="EP26" s="113"/>
      <c r="EQ26" s="113"/>
      <c r="ER26" s="113"/>
      <c r="ES26" s="113"/>
      <c r="ET26" s="113"/>
      <c r="EU26" s="113"/>
      <c r="EV26" s="113"/>
      <c r="EW26" s="113"/>
      <c r="EX26" s="113"/>
      <c r="EY26" s="113"/>
      <c r="EZ26" s="113"/>
      <c r="FA26" s="113"/>
      <c r="FB26" s="113"/>
      <c r="FC26" s="113"/>
      <c r="FD26" s="113"/>
      <c r="FE26" s="113"/>
      <c r="FF26" s="113"/>
      <c r="FG26" s="113"/>
      <c r="FH26" s="113"/>
      <c r="FI26" s="113"/>
      <c r="FJ26" s="113"/>
      <c r="FK26" s="113"/>
      <c r="FL26" s="113"/>
      <c r="FM26" s="113"/>
      <c r="FN26" s="113"/>
      <c r="FO26" s="113"/>
      <c r="FP26" s="113"/>
      <c r="FQ26" s="113"/>
      <c r="FR26" s="113"/>
      <c r="FS26" s="113"/>
      <c r="FT26" s="113"/>
      <c r="FU26" s="113"/>
      <c r="FV26" s="113"/>
      <c r="FW26" s="113"/>
      <c r="FX26" s="113"/>
      <c r="FY26" s="113"/>
      <c r="FZ26" s="113"/>
      <c r="GA26" s="113"/>
      <c r="GB26" s="113"/>
      <c r="GC26" s="113"/>
      <c r="GD26" s="113"/>
      <c r="GE26" s="113"/>
      <c r="GF26" s="113"/>
      <c r="GG26" s="113"/>
      <c r="GH26" s="113"/>
      <c r="GI26" s="113"/>
      <c r="GJ26" s="113"/>
      <c r="GK26" s="113"/>
      <c r="GL26" s="113"/>
      <c r="GM26" s="113"/>
      <c r="GN26" s="113"/>
      <c r="GO26" s="113"/>
      <c r="GP26" s="113"/>
      <c r="GQ26" s="113"/>
      <c r="GR26" s="113"/>
      <c r="GS26" s="113"/>
      <c r="GT26" s="113"/>
      <c r="GU26" s="113"/>
      <c r="GV26" s="113"/>
      <c r="GW26" s="113"/>
      <c r="GX26" s="113"/>
      <c r="GY26" s="113"/>
      <c r="GZ26" s="113"/>
      <c r="HA26" s="113"/>
      <c r="HB26" s="113"/>
      <c r="HC26" s="113"/>
      <c r="HD26" s="113"/>
      <c r="HE26" s="113"/>
      <c r="HF26" s="113"/>
      <c r="HG26" s="113"/>
      <c r="HH26" s="113"/>
      <c r="HI26" s="113"/>
      <c r="HJ26" s="113"/>
      <c r="HK26" s="113"/>
      <c r="HL26" s="113"/>
      <c r="HM26" s="113"/>
      <c r="HN26" s="113"/>
      <c r="HO26" s="113"/>
      <c r="HP26" s="113"/>
      <c r="HQ26" s="113"/>
      <c r="HR26" s="113"/>
      <c r="HS26" s="113"/>
      <c r="HT26" s="113"/>
      <c r="HU26" s="113"/>
      <c r="HV26" s="113"/>
      <c r="HW26" s="113"/>
      <c r="HX26" s="113"/>
      <c r="HY26" s="113"/>
      <c r="HZ26" s="113"/>
      <c r="IA26" s="113"/>
      <c r="IB26" s="113"/>
      <c r="IC26" s="113"/>
      <c r="ID26" s="113"/>
      <c r="IE26" s="113"/>
      <c r="IF26" s="113"/>
      <c r="IG26" s="113"/>
      <c r="IH26" s="113"/>
      <c r="II26" s="113"/>
      <c r="IJ26" s="113"/>
      <c r="IK26" s="113"/>
      <c r="IL26" s="113"/>
      <c r="IM26" s="113"/>
      <c r="IN26" s="113"/>
      <c r="IO26" s="113"/>
      <c r="IP26" s="113"/>
      <c r="IQ26" s="113"/>
      <c r="IR26" s="113"/>
      <c r="IS26" s="113"/>
      <c r="IT26" s="113"/>
      <c r="IU26" s="113"/>
      <c r="IV26" s="113"/>
    </row>
    <row r="27" spans="1:256" ht="15" thickBot="1">
      <c r="A27" s="1072" t="s">
        <v>23</v>
      </c>
      <c r="B27" s="996"/>
      <c r="C27" s="996"/>
      <c r="D27" s="996"/>
      <c r="E27" s="996"/>
      <c r="F27" s="996"/>
      <c r="G27" s="996"/>
      <c r="H27" s="996"/>
      <c r="I27" s="996"/>
      <c r="J27" s="996"/>
      <c r="K27" s="996"/>
      <c r="L27" s="996"/>
      <c r="M27" s="996"/>
      <c r="N27" s="996"/>
      <c r="O27" s="996"/>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c r="CR27" s="113"/>
      <c r="CS27" s="113"/>
      <c r="CT27" s="113"/>
      <c r="CU27" s="113"/>
      <c r="CV27" s="113"/>
      <c r="CW27" s="113"/>
      <c r="CX27" s="113"/>
      <c r="CY27" s="113"/>
      <c r="CZ27" s="113"/>
      <c r="DA27" s="113"/>
      <c r="DB27" s="113"/>
      <c r="DC27" s="113"/>
      <c r="DD27" s="113"/>
      <c r="DE27" s="113"/>
      <c r="DF27" s="113"/>
      <c r="DG27" s="113"/>
      <c r="DH27" s="113"/>
      <c r="DI27" s="113"/>
      <c r="DJ27" s="113"/>
      <c r="DK27" s="113"/>
      <c r="DL27" s="113"/>
      <c r="DM27" s="113"/>
      <c r="DN27" s="113"/>
      <c r="DO27" s="113"/>
      <c r="DP27" s="113"/>
      <c r="DQ27" s="113"/>
      <c r="DR27" s="113"/>
      <c r="DS27" s="113"/>
      <c r="DT27" s="113"/>
      <c r="DU27" s="113"/>
      <c r="DV27" s="113"/>
      <c r="DW27" s="113"/>
      <c r="DX27" s="113"/>
      <c r="DY27" s="113"/>
      <c r="DZ27" s="113"/>
      <c r="EA27" s="113"/>
      <c r="EB27" s="113"/>
      <c r="EC27" s="113"/>
      <c r="ED27" s="113"/>
      <c r="EE27" s="113"/>
      <c r="EF27" s="113"/>
      <c r="EG27" s="113"/>
      <c r="EH27" s="113"/>
      <c r="EI27" s="113"/>
      <c r="EJ27" s="113"/>
      <c r="EK27" s="113"/>
      <c r="EL27" s="113"/>
      <c r="EM27" s="113"/>
      <c r="EN27" s="113"/>
      <c r="EO27" s="113"/>
      <c r="EP27" s="113"/>
      <c r="EQ27" s="113"/>
      <c r="ER27" s="113"/>
      <c r="ES27" s="113"/>
      <c r="ET27" s="113"/>
      <c r="EU27" s="113"/>
      <c r="EV27" s="113"/>
      <c r="EW27" s="113"/>
      <c r="EX27" s="113"/>
      <c r="EY27" s="113"/>
      <c r="EZ27" s="113"/>
      <c r="FA27" s="113"/>
      <c r="FB27" s="113"/>
      <c r="FC27" s="113"/>
      <c r="FD27" s="113"/>
      <c r="FE27" s="113"/>
      <c r="FF27" s="113"/>
      <c r="FG27" s="113"/>
      <c r="FH27" s="113"/>
      <c r="FI27" s="113"/>
      <c r="FJ27" s="113"/>
      <c r="FK27" s="113"/>
      <c r="FL27" s="113"/>
      <c r="FM27" s="113"/>
      <c r="FN27" s="113"/>
      <c r="FO27" s="113"/>
      <c r="FP27" s="113"/>
      <c r="FQ27" s="113"/>
      <c r="FR27" s="113"/>
      <c r="FS27" s="113"/>
      <c r="FT27" s="113"/>
      <c r="FU27" s="113"/>
      <c r="FV27" s="113"/>
      <c r="FW27" s="113"/>
      <c r="FX27" s="113"/>
      <c r="FY27" s="113"/>
      <c r="FZ27" s="113"/>
      <c r="GA27" s="113"/>
      <c r="GB27" s="113"/>
      <c r="GC27" s="113"/>
      <c r="GD27" s="113"/>
      <c r="GE27" s="113"/>
      <c r="GF27" s="113"/>
      <c r="GG27" s="113"/>
      <c r="GH27" s="113"/>
      <c r="GI27" s="113"/>
      <c r="GJ27" s="113"/>
      <c r="GK27" s="113"/>
      <c r="GL27" s="113"/>
      <c r="GM27" s="113"/>
      <c r="GN27" s="113"/>
      <c r="GO27" s="113"/>
      <c r="GP27" s="113"/>
      <c r="GQ27" s="113"/>
      <c r="GR27" s="113"/>
      <c r="GS27" s="113"/>
      <c r="GT27" s="113"/>
      <c r="GU27" s="113"/>
      <c r="GV27" s="113"/>
      <c r="GW27" s="113"/>
      <c r="GX27" s="113"/>
      <c r="GY27" s="113"/>
      <c r="GZ27" s="113"/>
      <c r="HA27" s="113"/>
      <c r="HB27" s="113"/>
      <c r="HC27" s="113"/>
      <c r="HD27" s="113"/>
      <c r="HE27" s="113"/>
      <c r="HF27" s="113"/>
      <c r="HG27" s="113"/>
      <c r="HH27" s="113"/>
      <c r="HI27" s="113"/>
      <c r="HJ27" s="113"/>
      <c r="HK27" s="113"/>
      <c r="HL27" s="113"/>
      <c r="HM27" s="113"/>
      <c r="HN27" s="113"/>
      <c r="HO27" s="113"/>
      <c r="HP27" s="113"/>
      <c r="HQ27" s="113"/>
      <c r="HR27" s="113"/>
      <c r="HS27" s="113"/>
      <c r="HT27" s="113"/>
      <c r="HU27" s="113"/>
      <c r="HV27" s="113"/>
      <c r="HW27" s="113"/>
      <c r="HX27" s="113"/>
      <c r="HY27" s="113"/>
      <c r="HZ27" s="113"/>
      <c r="IA27" s="113"/>
      <c r="IB27" s="113"/>
      <c r="IC27" s="113"/>
      <c r="ID27" s="113"/>
      <c r="IE27" s="113"/>
      <c r="IF27" s="113"/>
      <c r="IG27" s="113"/>
      <c r="IH27" s="113"/>
      <c r="II27" s="113"/>
      <c r="IJ27" s="113"/>
      <c r="IK27" s="113"/>
      <c r="IL27" s="113"/>
      <c r="IM27" s="113"/>
      <c r="IN27" s="113"/>
      <c r="IO27" s="113"/>
      <c r="IP27" s="113"/>
      <c r="IQ27" s="113"/>
      <c r="IR27" s="113"/>
      <c r="IS27" s="113"/>
      <c r="IT27" s="113"/>
      <c r="IU27" s="113"/>
      <c r="IV27" s="113"/>
    </row>
    <row r="28" spans="1:256" ht="14.25">
      <c r="A28" s="1065" t="s">
        <v>40</v>
      </c>
      <c r="B28" s="1066"/>
      <c r="C28" s="1066"/>
      <c r="D28" s="1067"/>
      <c r="E28" s="1068" t="s">
        <v>41</v>
      </c>
      <c r="F28" s="999"/>
      <c r="G28" s="999"/>
      <c r="H28" s="999"/>
      <c r="I28" s="999"/>
      <c r="J28" s="1069"/>
      <c r="K28" s="1065" t="s">
        <v>42</v>
      </c>
      <c r="L28" s="999"/>
      <c r="M28" s="999"/>
      <c r="N28" s="999"/>
      <c r="O28" s="1069"/>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c r="DB28" s="113"/>
      <c r="DC28" s="113"/>
      <c r="DD28" s="113"/>
      <c r="DE28" s="113"/>
      <c r="DF28" s="113"/>
      <c r="DG28" s="113"/>
      <c r="DH28" s="113"/>
      <c r="DI28" s="113"/>
      <c r="DJ28" s="113"/>
      <c r="DK28" s="113"/>
      <c r="DL28" s="113"/>
      <c r="DM28" s="113"/>
      <c r="DN28" s="113"/>
      <c r="DO28" s="113"/>
      <c r="DP28" s="113"/>
      <c r="DQ28" s="113"/>
      <c r="DR28" s="113"/>
      <c r="DS28" s="113"/>
      <c r="DT28" s="113"/>
      <c r="DU28" s="113"/>
      <c r="DV28" s="113"/>
      <c r="DW28" s="113"/>
      <c r="DX28" s="113"/>
      <c r="DY28" s="113"/>
      <c r="DZ28" s="113"/>
      <c r="EA28" s="113"/>
      <c r="EB28" s="113"/>
      <c r="EC28" s="113"/>
      <c r="ED28" s="113"/>
      <c r="EE28" s="113"/>
      <c r="EF28" s="113"/>
      <c r="EG28" s="113"/>
      <c r="EH28" s="113"/>
      <c r="EI28" s="113"/>
      <c r="EJ28" s="113"/>
      <c r="EK28" s="113"/>
      <c r="EL28" s="113"/>
      <c r="EM28" s="113"/>
      <c r="EN28" s="113"/>
      <c r="EO28" s="113"/>
      <c r="EP28" s="113"/>
      <c r="EQ28" s="113"/>
      <c r="ER28" s="113"/>
      <c r="ES28" s="113"/>
      <c r="ET28" s="113"/>
      <c r="EU28" s="113"/>
      <c r="EV28" s="113"/>
      <c r="EW28" s="113"/>
      <c r="EX28" s="113"/>
      <c r="EY28" s="113"/>
      <c r="EZ28" s="113"/>
      <c r="FA28" s="113"/>
      <c r="FB28" s="113"/>
      <c r="FC28" s="113"/>
      <c r="FD28" s="113"/>
      <c r="FE28" s="113"/>
      <c r="FF28" s="113"/>
      <c r="FG28" s="113"/>
      <c r="FH28" s="113"/>
      <c r="FI28" s="113"/>
      <c r="FJ28" s="113"/>
      <c r="FK28" s="113"/>
      <c r="FL28" s="113"/>
      <c r="FM28" s="113"/>
      <c r="FN28" s="113"/>
      <c r="FO28" s="113"/>
      <c r="FP28" s="113"/>
      <c r="FQ28" s="113"/>
      <c r="FR28" s="113"/>
      <c r="FS28" s="113"/>
      <c r="FT28" s="113"/>
      <c r="FU28" s="113"/>
      <c r="FV28" s="113"/>
      <c r="FW28" s="113"/>
      <c r="FX28" s="113"/>
      <c r="FY28" s="113"/>
      <c r="FZ28" s="113"/>
      <c r="GA28" s="113"/>
      <c r="GB28" s="113"/>
      <c r="GC28" s="113"/>
      <c r="GD28" s="113"/>
      <c r="GE28" s="113"/>
      <c r="GF28" s="113"/>
      <c r="GG28" s="113"/>
      <c r="GH28" s="113"/>
      <c r="GI28" s="113"/>
      <c r="GJ28" s="113"/>
      <c r="GK28" s="113"/>
      <c r="GL28" s="113"/>
      <c r="GM28" s="113"/>
      <c r="GN28" s="113"/>
      <c r="GO28" s="113"/>
      <c r="GP28" s="113"/>
      <c r="GQ28" s="113"/>
      <c r="GR28" s="113"/>
      <c r="GS28" s="113"/>
      <c r="GT28" s="113"/>
      <c r="GU28" s="113"/>
      <c r="GV28" s="113"/>
      <c r="GW28" s="113"/>
      <c r="GX28" s="113"/>
      <c r="GY28" s="113"/>
      <c r="GZ28" s="113"/>
      <c r="HA28" s="113"/>
      <c r="HB28" s="113"/>
      <c r="HC28" s="113"/>
      <c r="HD28" s="113"/>
      <c r="HE28" s="113"/>
      <c r="HF28" s="113"/>
      <c r="HG28" s="113"/>
      <c r="HH28" s="113"/>
      <c r="HI28" s="113"/>
      <c r="HJ28" s="113"/>
      <c r="HK28" s="113"/>
      <c r="HL28" s="113"/>
      <c r="HM28" s="113"/>
      <c r="HN28" s="113"/>
      <c r="HO28" s="113"/>
      <c r="HP28" s="113"/>
      <c r="HQ28" s="113"/>
      <c r="HR28" s="113"/>
      <c r="HS28" s="113"/>
      <c r="HT28" s="113"/>
      <c r="HU28" s="113"/>
      <c r="HV28" s="113"/>
      <c r="HW28" s="113"/>
      <c r="HX28" s="113"/>
      <c r="HY28" s="113"/>
      <c r="HZ28" s="113"/>
      <c r="IA28" s="113"/>
      <c r="IB28" s="113"/>
      <c r="IC28" s="113"/>
      <c r="ID28" s="113"/>
      <c r="IE28" s="113"/>
      <c r="IF28" s="113"/>
      <c r="IG28" s="113"/>
      <c r="IH28" s="113"/>
      <c r="II28" s="113"/>
      <c r="IJ28" s="113"/>
      <c r="IK28" s="113"/>
      <c r="IL28" s="113"/>
      <c r="IM28" s="113"/>
      <c r="IN28" s="113"/>
      <c r="IO28" s="113"/>
      <c r="IP28" s="113"/>
      <c r="IQ28" s="113"/>
      <c r="IR28" s="113"/>
      <c r="IS28" s="113"/>
      <c r="IT28" s="113"/>
      <c r="IU28" s="113"/>
      <c r="IV28" s="113"/>
    </row>
    <row r="29" spans="1:256">
      <c r="A29" s="994" t="s">
        <v>160</v>
      </c>
      <c r="B29" s="1073"/>
      <c r="C29" s="1073"/>
      <c r="D29" s="322" t="s">
        <v>161</v>
      </c>
      <c r="E29" s="994" t="s">
        <v>160</v>
      </c>
      <c r="F29" s="979"/>
      <c r="G29" s="979"/>
      <c r="H29" s="979"/>
      <c r="I29" s="1078" t="s">
        <v>162</v>
      </c>
      <c r="J29" s="1075"/>
      <c r="K29" s="994" t="s">
        <v>160</v>
      </c>
      <c r="L29" s="979"/>
      <c r="M29" s="979"/>
      <c r="N29" s="1079" t="s">
        <v>162</v>
      </c>
      <c r="O29" s="1080"/>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c r="CY29" s="113"/>
      <c r="CZ29" s="113"/>
      <c r="DA29" s="113"/>
      <c r="DB29" s="113"/>
      <c r="DC29" s="113"/>
      <c r="DD29" s="113"/>
      <c r="DE29" s="113"/>
      <c r="DF29" s="113"/>
      <c r="DG29" s="113"/>
      <c r="DH29" s="113"/>
      <c r="DI29" s="113"/>
      <c r="DJ29" s="113"/>
      <c r="DK29" s="113"/>
      <c r="DL29" s="113"/>
      <c r="DM29" s="113"/>
      <c r="DN29" s="113"/>
      <c r="DO29" s="113"/>
      <c r="DP29" s="113"/>
      <c r="DQ29" s="113"/>
      <c r="DR29" s="113"/>
      <c r="DS29" s="113"/>
      <c r="DT29" s="113"/>
      <c r="DU29" s="113"/>
      <c r="DV29" s="113"/>
      <c r="DW29" s="113"/>
      <c r="DX29" s="113"/>
      <c r="DY29" s="113"/>
      <c r="DZ29" s="113"/>
      <c r="EA29" s="113"/>
      <c r="EB29" s="113"/>
      <c r="EC29" s="113"/>
      <c r="ED29" s="113"/>
      <c r="EE29" s="113"/>
      <c r="EF29" s="113"/>
      <c r="EG29" s="113"/>
      <c r="EH29" s="113"/>
      <c r="EI29" s="113"/>
      <c r="EJ29" s="113"/>
      <c r="EK29" s="113"/>
      <c r="EL29" s="113"/>
      <c r="EM29" s="113"/>
      <c r="EN29" s="113"/>
      <c r="EO29" s="113"/>
      <c r="EP29" s="113"/>
      <c r="EQ29" s="113"/>
      <c r="ER29" s="113"/>
      <c r="ES29" s="113"/>
      <c r="ET29" s="113"/>
      <c r="EU29" s="113"/>
      <c r="EV29" s="113"/>
      <c r="EW29" s="113"/>
      <c r="EX29" s="113"/>
      <c r="EY29" s="113"/>
      <c r="EZ29" s="113"/>
      <c r="FA29" s="113"/>
      <c r="FB29" s="113"/>
      <c r="FC29" s="113"/>
      <c r="FD29" s="113"/>
      <c r="FE29" s="113"/>
      <c r="FF29" s="113"/>
      <c r="FG29" s="113"/>
      <c r="FH29" s="113"/>
      <c r="FI29" s="113"/>
      <c r="FJ29" s="113"/>
      <c r="FK29" s="113"/>
      <c r="FL29" s="113"/>
      <c r="FM29" s="113"/>
      <c r="FN29" s="113"/>
      <c r="FO29" s="113"/>
      <c r="FP29" s="113"/>
      <c r="FQ29" s="113"/>
      <c r="FR29" s="113"/>
      <c r="FS29" s="113"/>
      <c r="FT29" s="113"/>
      <c r="FU29" s="113"/>
      <c r="FV29" s="113"/>
      <c r="FW29" s="113"/>
      <c r="FX29" s="113"/>
      <c r="FY29" s="113"/>
      <c r="FZ29" s="113"/>
      <c r="GA29" s="113"/>
      <c r="GB29" s="113"/>
      <c r="GC29" s="113"/>
      <c r="GD29" s="113"/>
      <c r="GE29" s="113"/>
      <c r="GF29" s="113"/>
      <c r="GG29" s="113"/>
      <c r="GH29" s="113"/>
      <c r="GI29" s="113"/>
      <c r="GJ29" s="113"/>
      <c r="GK29" s="113"/>
      <c r="GL29" s="113"/>
      <c r="GM29" s="113"/>
      <c r="GN29" s="113"/>
      <c r="GO29" s="113"/>
      <c r="GP29" s="113"/>
      <c r="GQ29" s="113"/>
      <c r="GR29" s="113"/>
      <c r="GS29" s="113"/>
      <c r="GT29" s="113"/>
      <c r="GU29" s="113"/>
      <c r="GV29" s="113"/>
      <c r="GW29" s="113"/>
      <c r="GX29" s="113"/>
      <c r="GY29" s="113"/>
      <c r="GZ29" s="113"/>
      <c r="HA29" s="113"/>
      <c r="HB29" s="113"/>
      <c r="HC29" s="113"/>
      <c r="HD29" s="113"/>
      <c r="HE29" s="113"/>
      <c r="HF29" s="113"/>
      <c r="HG29" s="113"/>
      <c r="HH29" s="113"/>
      <c r="HI29" s="113"/>
      <c r="HJ29" s="113"/>
      <c r="HK29" s="113"/>
      <c r="HL29" s="113"/>
      <c r="HM29" s="113"/>
      <c r="HN29" s="113"/>
      <c r="HO29" s="113"/>
      <c r="HP29" s="113"/>
      <c r="HQ29" s="113"/>
      <c r="HR29" s="113"/>
      <c r="HS29" s="113"/>
      <c r="HT29" s="113"/>
      <c r="HU29" s="113"/>
      <c r="HV29" s="113"/>
      <c r="HW29" s="113"/>
      <c r="HX29" s="113"/>
      <c r="HY29" s="113"/>
      <c r="HZ29" s="113"/>
      <c r="IA29" s="113"/>
      <c r="IB29" s="113"/>
      <c r="IC29" s="113"/>
      <c r="ID29" s="113"/>
      <c r="IE29" s="113"/>
      <c r="IF29" s="113"/>
      <c r="IG29" s="113"/>
      <c r="IH29" s="113"/>
      <c r="II29" s="113"/>
      <c r="IJ29" s="113"/>
      <c r="IK29" s="113"/>
      <c r="IL29" s="113"/>
      <c r="IM29" s="113"/>
      <c r="IN29" s="113"/>
      <c r="IO29" s="113"/>
      <c r="IP29" s="113"/>
      <c r="IQ29" s="113"/>
      <c r="IR29" s="113"/>
      <c r="IS29" s="113"/>
      <c r="IT29" s="113"/>
      <c r="IU29" s="113"/>
      <c r="IV29" s="113"/>
    </row>
    <row r="30" spans="1:256">
      <c r="A30" s="994" t="s">
        <v>43</v>
      </c>
      <c r="B30" s="1073"/>
      <c r="C30" s="1073"/>
      <c r="D30" s="323">
        <v>0</v>
      </c>
      <c r="E30" s="994" t="s">
        <v>43</v>
      </c>
      <c r="F30" s="979"/>
      <c r="G30" s="979"/>
      <c r="H30" s="979"/>
      <c r="I30" s="1074">
        <v>428</v>
      </c>
      <c r="J30" s="1075"/>
      <c r="K30" s="994" t="s">
        <v>43</v>
      </c>
      <c r="L30" s="979"/>
      <c r="M30" s="979"/>
      <c r="N30" s="1076">
        <v>642</v>
      </c>
      <c r="O30" s="1077"/>
      <c r="P30" s="131"/>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c r="DZ30" s="113"/>
      <c r="EA30" s="113"/>
      <c r="EB30" s="113"/>
      <c r="EC30" s="113"/>
      <c r="ED30" s="113"/>
      <c r="EE30" s="113"/>
      <c r="EF30" s="113"/>
      <c r="EG30" s="113"/>
      <c r="EH30" s="113"/>
      <c r="EI30" s="113"/>
      <c r="EJ30" s="113"/>
      <c r="EK30" s="113"/>
      <c r="EL30" s="113"/>
      <c r="EM30" s="113"/>
      <c r="EN30" s="113"/>
      <c r="EO30" s="113"/>
      <c r="EP30" s="113"/>
      <c r="EQ30" s="113"/>
      <c r="ER30" s="113"/>
      <c r="ES30" s="113"/>
      <c r="ET30" s="113"/>
      <c r="EU30" s="113"/>
      <c r="EV30" s="113"/>
      <c r="EW30" s="113"/>
      <c r="EX30" s="113"/>
      <c r="EY30" s="113"/>
      <c r="EZ30" s="113"/>
      <c r="FA30" s="113"/>
      <c r="FB30" s="113"/>
      <c r="FC30" s="113"/>
      <c r="FD30" s="113"/>
      <c r="FE30" s="113"/>
      <c r="FF30" s="113"/>
      <c r="FG30" s="113"/>
      <c r="FH30" s="113"/>
      <c r="FI30" s="113"/>
      <c r="FJ30" s="113"/>
      <c r="FK30" s="113"/>
      <c r="FL30" s="113"/>
      <c r="FM30" s="113"/>
      <c r="FN30" s="113"/>
      <c r="FO30" s="113"/>
      <c r="FP30" s="113"/>
      <c r="FQ30" s="113"/>
      <c r="FR30" s="113"/>
      <c r="FS30" s="113"/>
      <c r="FT30" s="113"/>
      <c r="FU30" s="113"/>
      <c r="FV30" s="113"/>
      <c r="FW30" s="113"/>
      <c r="FX30" s="113"/>
      <c r="FY30" s="113"/>
      <c r="FZ30" s="113"/>
      <c r="GA30" s="113"/>
      <c r="GB30" s="113"/>
      <c r="GC30" s="113"/>
      <c r="GD30" s="113"/>
      <c r="GE30" s="113"/>
      <c r="GF30" s="113"/>
      <c r="GG30" s="113"/>
      <c r="GH30" s="113"/>
      <c r="GI30" s="113"/>
      <c r="GJ30" s="113"/>
      <c r="GK30" s="113"/>
      <c r="GL30" s="113"/>
      <c r="GM30" s="113"/>
      <c r="GN30" s="113"/>
      <c r="GO30" s="113"/>
      <c r="GP30" s="113"/>
      <c r="GQ30" s="113"/>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13"/>
      <c r="IG30" s="113"/>
      <c r="IH30" s="113"/>
      <c r="II30" s="113"/>
      <c r="IJ30" s="113"/>
      <c r="IK30" s="113"/>
      <c r="IL30" s="113"/>
      <c r="IM30" s="113"/>
      <c r="IN30" s="113"/>
      <c r="IO30" s="113"/>
      <c r="IP30" s="113"/>
      <c r="IQ30" s="113"/>
      <c r="IR30" s="113"/>
      <c r="IS30" s="113"/>
      <c r="IT30" s="113"/>
      <c r="IU30" s="113"/>
      <c r="IV30" s="113"/>
    </row>
    <row r="31" spans="1:256">
      <c r="A31" s="994" t="s">
        <v>164</v>
      </c>
      <c r="B31" s="1073"/>
      <c r="C31" s="1073"/>
      <c r="D31" s="322" t="s">
        <v>165</v>
      </c>
      <c r="E31" s="994" t="s">
        <v>164</v>
      </c>
      <c r="F31" s="979"/>
      <c r="G31" s="979"/>
      <c r="H31" s="979"/>
      <c r="I31" s="1078" t="s">
        <v>44</v>
      </c>
      <c r="J31" s="1075"/>
      <c r="K31" s="994" t="s">
        <v>164</v>
      </c>
      <c r="L31" s="979"/>
      <c r="M31" s="979"/>
      <c r="N31" s="1079" t="s">
        <v>45</v>
      </c>
      <c r="O31" s="1080"/>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c r="EW31" s="113"/>
      <c r="EX31" s="113"/>
      <c r="EY31" s="113"/>
      <c r="EZ31" s="113"/>
      <c r="FA31" s="113"/>
      <c r="FB31" s="113"/>
      <c r="FC31" s="113"/>
      <c r="FD31" s="113"/>
      <c r="FE31" s="113"/>
      <c r="FF31" s="113"/>
      <c r="FG31" s="113"/>
      <c r="FH31" s="113"/>
      <c r="FI31" s="113"/>
      <c r="FJ31" s="113"/>
      <c r="FK31" s="113"/>
      <c r="FL31" s="113"/>
      <c r="FM31" s="113"/>
      <c r="FN31" s="113"/>
      <c r="FO31" s="113"/>
      <c r="FP31" s="113"/>
      <c r="FQ31" s="113"/>
      <c r="FR31" s="113"/>
      <c r="FS31" s="113"/>
      <c r="FT31" s="113"/>
      <c r="FU31" s="113"/>
      <c r="FV31" s="113"/>
      <c r="FW31" s="113"/>
      <c r="FX31" s="113"/>
      <c r="FY31" s="113"/>
      <c r="FZ31" s="113"/>
      <c r="GA31" s="113"/>
      <c r="GB31" s="113"/>
      <c r="GC31" s="113"/>
      <c r="GD31" s="113"/>
      <c r="GE31" s="113"/>
      <c r="GF31" s="113"/>
      <c r="GG31" s="113"/>
      <c r="GH31" s="113"/>
      <c r="GI31" s="113"/>
      <c r="GJ31" s="113"/>
      <c r="GK31" s="113"/>
      <c r="GL31" s="113"/>
      <c r="GM31" s="113"/>
      <c r="GN31" s="113"/>
      <c r="GO31" s="113"/>
      <c r="GP31" s="113"/>
      <c r="GQ31" s="113"/>
      <c r="GR31" s="113"/>
      <c r="GS31" s="113"/>
      <c r="GT31" s="113"/>
      <c r="GU31" s="113"/>
      <c r="GV31" s="113"/>
      <c r="GW31" s="113"/>
      <c r="GX31" s="113"/>
      <c r="GY31" s="113"/>
      <c r="GZ31" s="113"/>
      <c r="HA31" s="113"/>
      <c r="HB31" s="113"/>
      <c r="HC31" s="113"/>
      <c r="HD31" s="113"/>
      <c r="HE31" s="113"/>
      <c r="HF31" s="113"/>
      <c r="HG31" s="113"/>
      <c r="HH31" s="113"/>
      <c r="HI31" s="113"/>
      <c r="HJ31" s="113"/>
      <c r="HK31" s="113"/>
      <c r="HL31" s="113"/>
      <c r="HM31" s="113"/>
      <c r="HN31" s="113"/>
      <c r="HO31" s="113"/>
      <c r="HP31" s="113"/>
      <c r="HQ31" s="113"/>
      <c r="HR31" s="113"/>
      <c r="HS31" s="113"/>
      <c r="HT31" s="113"/>
      <c r="HU31" s="113"/>
      <c r="HV31" s="113"/>
      <c r="HW31" s="113"/>
      <c r="HX31" s="113"/>
      <c r="HY31" s="113"/>
      <c r="HZ31" s="113"/>
      <c r="IA31" s="113"/>
      <c r="IB31" s="113"/>
      <c r="IC31" s="113"/>
      <c r="ID31" s="113"/>
      <c r="IE31" s="113"/>
      <c r="IF31" s="113"/>
      <c r="IG31" s="113"/>
      <c r="IH31" s="113"/>
      <c r="II31" s="113"/>
      <c r="IJ31" s="113"/>
      <c r="IK31" s="113"/>
      <c r="IL31" s="113"/>
      <c r="IM31" s="113"/>
      <c r="IN31" s="113"/>
      <c r="IO31" s="113"/>
      <c r="IP31" s="113"/>
      <c r="IQ31" s="113"/>
      <c r="IR31" s="113"/>
      <c r="IS31" s="113"/>
      <c r="IT31" s="113"/>
      <c r="IU31" s="113"/>
      <c r="IV31" s="113"/>
    </row>
    <row r="32" spans="1:256" ht="13.5" thickBot="1">
      <c r="A32" s="1012" t="s">
        <v>46</v>
      </c>
      <c r="B32" s="1081"/>
      <c r="C32" s="1081"/>
      <c r="D32" s="324" t="s">
        <v>3549</v>
      </c>
      <c r="E32" s="1012" t="s">
        <v>47</v>
      </c>
      <c r="F32" s="996"/>
      <c r="G32" s="996"/>
      <c r="H32" s="996"/>
      <c r="I32" s="1082" t="s">
        <v>241</v>
      </c>
      <c r="J32" s="1083"/>
      <c r="K32" s="1012" t="s">
        <v>166</v>
      </c>
      <c r="L32" s="996"/>
      <c r="M32" s="996"/>
      <c r="N32" s="1084" t="s">
        <v>241</v>
      </c>
      <c r="O32" s="1085"/>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c r="DB32" s="113"/>
      <c r="DC32" s="113"/>
      <c r="DD32" s="113"/>
      <c r="DE32" s="113"/>
      <c r="DF32" s="113"/>
      <c r="DG32" s="113"/>
      <c r="DH32" s="113"/>
      <c r="DI32" s="113"/>
      <c r="DJ32" s="113"/>
      <c r="DK32" s="113"/>
      <c r="DL32" s="113"/>
      <c r="DM32" s="113"/>
      <c r="DN32" s="113"/>
      <c r="DO32" s="113"/>
      <c r="DP32" s="113"/>
      <c r="DQ32" s="113"/>
      <c r="DR32" s="113"/>
      <c r="DS32" s="113"/>
      <c r="DT32" s="113"/>
      <c r="DU32" s="113"/>
      <c r="DV32" s="113"/>
      <c r="DW32" s="113"/>
      <c r="DX32" s="113"/>
      <c r="DY32" s="113"/>
      <c r="DZ32" s="113"/>
      <c r="EA32" s="113"/>
      <c r="EB32" s="113"/>
      <c r="EC32" s="113"/>
      <c r="ED32" s="113"/>
      <c r="EE32" s="113"/>
      <c r="EF32" s="113"/>
      <c r="EG32" s="113"/>
      <c r="EH32" s="113"/>
      <c r="EI32" s="113"/>
      <c r="EJ32" s="113"/>
      <c r="EK32" s="113"/>
      <c r="EL32" s="113"/>
      <c r="EM32" s="113"/>
      <c r="EN32" s="113"/>
      <c r="EO32" s="113"/>
      <c r="EP32" s="113"/>
      <c r="EQ32" s="113"/>
      <c r="ER32" s="113"/>
      <c r="ES32" s="113"/>
      <c r="ET32" s="113"/>
      <c r="EU32" s="113"/>
      <c r="EV32" s="113"/>
      <c r="EW32" s="113"/>
      <c r="EX32" s="113"/>
      <c r="EY32" s="113"/>
      <c r="EZ32" s="113"/>
      <c r="FA32" s="113"/>
      <c r="FB32" s="113"/>
      <c r="FC32" s="113"/>
      <c r="FD32" s="113"/>
      <c r="FE32" s="113"/>
      <c r="FF32" s="113"/>
      <c r="FG32" s="113"/>
      <c r="FH32" s="113"/>
      <c r="FI32" s="113"/>
      <c r="FJ32" s="113"/>
      <c r="FK32" s="113"/>
      <c r="FL32" s="113"/>
      <c r="FM32" s="113"/>
      <c r="FN32" s="113"/>
      <c r="FO32" s="113"/>
      <c r="FP32" s="113"/>
      <c r="FQ32" s="113"/>
      <c r="FR32" s="113"/>
      <c r="FS32" s="113"/>
      <c r="FT32" s="113"/>
      <c r="FU32" s="113"/>
      <c r="FV32" s="113"/>
      <c r="FW32" s="113"/>
      <c r="FX32" s="113"/>
      <c r="FY32" s="113"/>
      <c r="FZ32" s="113"/>
      <c r="GA32" s="113"/>
      <c r="GB32" s="113"/>
      <c r="GC32" s="113"/>
      <c r="GD32" s="113"/>
      <c r="GE32" s="113"/>
      <c r="GF32" s="113"/>
      <c r="GG32" s="113"/>
      <c r="GH32" s="113"/>
      <c r="GI32" s="113"/>
      <c r="GJ32" s="113"/>
      <c r="GK32" s="113"/>
      <c r="GL32" s="113"/>
      <c r="GM32" s="113"/>
      <c r="GN32" s="113"/>
      <c r="GO32" s="113"/>
      <c r="GP32" s="113"/>
      <c r="GQ32" s="113"/>
      <c r="GR32" s="113"/>
      <c r="GS32" s="113"/>
      <c r="GT32" s="113"/>
      <c r="GU32" s="113"/>
      <c r="GV32" s="113"/>
      <c r="GW32" s="113"/>
      <c r="GX32" s="113"/>
      <c r="GY32" s="113"/>
      <c r="GZ32" s="113"/>
      <c r="HA32" s="113"/>
      <c r="HB32" s="113"/>
      <c r="HC32" s="113"/>
      <c r="HD32" s="113"/>
      <c r="HE32" s="113"/>
      <c r="HF32" s="113"/>
      <c r="HG32" s="113"/>
      <c r="HH32" s="113"/>
      <c r="HI32" s="113"/>
      <c r="HJ32" s="113"/>
      <c r="HK32" s="113"/>
      <c r="HL32" s="113"/>
      <c r="HM32" s="113"/>
      <c r="HN32" s="113"/>
      <c r="HO32" s="113"/>
      <c r="HP32" s="113"/>
      <c r="HQ32" s="113"/>
      <c r="HR32" s="113"/>
      <c r="HS32" s="113"/>
      <c r="HT32" s="113"/>
      <c r="HU32" s="113"/>
      <c r="HV32" s="113"/>
      <c r="HW32" s="113"/>
      <c r="HX32" s="113"/>
      <c r="HY32" s="113"/>
      <c r="HZ32" s="113"/>
      <c r="IA32" s="113"/>
      <c r="IB32" s="113"/>
      <c r="IC32" s="113"/>
      <c r="ID32" s="113"/>
      <c r="IE32" s="113"/>
      <c r="IF32" s="113"/>
      <c r="IG32" s="113"/>
      <c r="IH32" s="113"/>
      <c r="II32" s="113"/>
      <c r="IJ32" s="113"/>
      <c r="IK32" s="113"/>
      <c r="IL32" s="113"/>
      <c r="IM32" s="113"/>
      <c r="IN32" s="113"/>
      <c r="IO32" s="113"/>
      <c r="IP32" s="113"/>
      <c r="IQ32" s="113"/>
      <c r="IR32" s="113"/>
      <c r="IS32" s="113"/>
      <c r="IT32" s="113"/>
      <c r="IU32" s="113"/>
      <c r="IV32" s="113"/>
    </row>
    <row r="33" spans="1:256" ht="14.25">
      <c r="A33" s="113"/>
      <c r="B33" s="113"/>
      <c r="C33" s="113"/>
      <c r="D33" s="136"/>
      <c r="E33" s="136"/>
      <c r="F33" s="135"/>
      <c r="G33" s="113"/>
      <c r="H33" s="12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c r="DB33" s="113"/>
      <c r="DC33" s="113"/>
      <c r="DD33" s="113"/>
      <c r="DE33" s="113"/>
      <c r="DF33" s="113"/>
      <c r="DG33" s="113"/>
      <c r="DH33" s="113"/>
      <c r="DI33" s="113"/>
      <c r="DJ33" s="113"/>
      <c r="DK33" s="113"/>
      <c r="DL33" s="113"/>
      <c r="DM33" s="113"/>
      <c r="DN33" s="113"/>
      <c r="DO33" s="113"/>
      <c r="DP33" s="113"/>
      <c r="DQ33" s="113"/>
      <c r="DR33" s="113"/>
      <c r="DS33" s="113"/>
      <c r="DT33" s="113"/>
      <c r="DU33" s="113"/>
      <c r="DV33" s="113"/>
      <c r="DW33" s="113"/>
      <c r="DX33" s="113"/>
      <c r="DY33" s="113"/>
      <c r="DZ33" s="113"/>
      <c r="EA33" s="113"/>
      <c r="EB33" s="113"/>
      <c r="EC33" s="113"/>
      <c r="ED33" s="113"/>
      <c r="EE33" s="113"/>
      <c r="EF33" s="113"/>
      <c r="EG33" s="113"/>
      <c r="EH33" s="113"/>
      <c r="EI33" s="113"/>
      <c r="EJ33" s="113"/>
      <c r="EK33" s="113"/>
      <c r="EL33" s="113"/>
      <c r="EM33" s="113"/>
      <c r="EN33" s="113"/>
      <c r="EO33" s="113"/>
      <c r="EP33" s="113"/>
      <c r="EQ33" s="113"/>
      <c r="ER33" s="113"/>
      <c r="ES33" s="113"/>
      <c r="ET33" s="113"/>
      <c r="EU33" s="113"/>
      <c r="EV33" s="113"/>
      <c r="EW33" s="113"/>
      <c r="EX33" s="113"/>
      <c r="EY33" s="113"/>
      <c r="EZ33" s="113"/>
      <c r="FA33" s="113"/>
      <c r="FB33" s="113"/>
      <c r="FC33" s="113"/>
      <c r="FD33" s="113"/>
      <c r="FE33" s="113"/>
      <c r="FF33" s="113"/>
      <c r="FG33" s="113"/>
      <c r="FH33" s="113"/>
      <c r="FI33" s="113"/>
      <c r="FJ33" s="113"/>
      <c r="FK33" s="113"/>
      <c r="FL33" s="113"/>
      <c r="FM33" s="113"/>
      <c r="FN33" s="113"/>
      <c r="FO33" s="113"/>
      <c r="FP33" s="113"/>
      <c r="FQ33" s="113"/>
      <c r="FR33" s="113"/>
      <c r="FS33" s="113"/>
      <c r="FT33" s="113"/>
      <c r="FU33" s="113"/>
      <c r="FV33" s="113"/>
      <c r="FW33" s="113"/>
      <c r="FX33" s="113"/>
      <c r="FY33" s="113"/>
      <c r="FZ33" s="113"/>
      <c r="GA33" s="113"/>
      <c r="GB33" s="113"/>
      <c r="GC33" s="113"/>
      <c r="GD33" s="113"/>
      <c r="GE33" s="113"/>
      <c r="GF33" s="113"/>
      <c r="GG33" s="113"/>
      <c r="GH33" s="113"/>
      <c r="GI33" s="113"/>
      <c r="GJ33" s="113"/>
      <c r="GK33" s="113"/>
      <c r="GL33" s="113"/>
      <c r="GM33" s="113"/>
      <c r="GN33" s="113"/>
      <c r="GO33" s="113"/>
      <c r="GP33" s="113"/>
      <c r="GQ33" s="113"/>
      <c r="GR33" s="113"/>
      <c r="GS33" s="113"/>
      <c r="GT33" s="113"/>
      <c r="GU33" s="113"/>
      <c r="GV33" s="113"/>
      <c r="GW33" s="113"/>
      <c r="GX33" s="113"/>
      <c r="GY33" s="113"/>
      <c r="GZ33" s="113"/>
      <c r="HA33" s="113"/>
      <c r="HB33" s="113"/>
      <c r="HC33" s="113"/>
      <c r="HD33" s="113"/>
      <c r="HE33" s="113"/>
      <c r="HF33" s="113"/>
      <c r="HG33" s="113"/>
      <c r="HH33" s="113"/>
      <c r="HI33" s="113"/>
      <c r="HJ33" s="113"/>
      <c r="HK33" s="113"/>
      <c r="HL33" s="113"/>
      <c r="HM33" s="113"/>
      <c r="HN33" s="113"/>
      <c r="HO33" s="113"/>
      <c r="HP33" s="113"/>
      <c r="HQ33" s="113"/>
      <c r="HR33" s="113"/>
      <c r="HS33" s="113"/>
      <c r="HT33" s="113"/>
      <c r="HU33" s="113"/>
      <c r="HV33" s="113"/>
      <c r="HW33" s="113"/>
      <c r="HX33" s="113"/>
      <c r="HY33" s="113"/>
      <c r="HZ33" s="113"/>
      <c r="IA33" s="113"/>
      <c r="IB33" s="113"/>
      <c r="IC33" s="113"/>
      <c r="ID33" s="113"/>
      <c r="IE33" s="113"/>
      <c r="IF33" s="113"/>
      <c r="IG33" s="113"/>
      <c r="IH33" s="113"/>
      <c r="II33" s="113"/>
      <c r="IJ33" s="113"/>
      <c r="IK33" s="113"/>
      <c r="IL33" s="113"/>
      <c r="IM33" s="113"/>
      <c r="IN33" s="113"/>
      <c r="IO33" s="113"/>
      <c r="IP33" s="113"/>
      <c r="IQ33" s="113"/>
      <c r="IR33" s="113"/>
      <c r="IS33" s="113"/>
      <c r="IT33" s="113"/>
      <c r="IU33" s="113"/>
      <c r="IV33" s="113"/>
    </row>
    <row r="34" spans="1:256" ht="14.25">
      <c r="A34" s="113"/>
      <c r="B34" s="113"/>
      <c r="C34" s="140"/>
      <c r="D34" s="136"/>
      <c r="E34" s="136"/>
      <c r="F34" s="135"/>
      <c r="G34" s="135"/>
      <c r="H34" s="135"/>
      <c r="I34" s="1086"/>
      <c r="J34" s="1086"/>
      <c r="K34" s="1086"/>
      <c r="L34" s="617"/>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c r="DZ34" s="113"/>
      <c r="EA34" s="113"/>
      <c r="EB34" s="113"/>
      <c r="EC34" s="113"/>
      <c r="ED34" s="113"/>
      <c r="EE34" s="113"/>
      <c r="EF34" s="113"/>
      <c r="EG34" s="113"/>
      <c r="EH34" s="113"/>
      <c r="EI34" s="113"/>
      <c r="EJ34" s="113"/>
      <c r="EK34" s="113"/>
      <c r="EL34" s="113"/>
      <c r="EM34" s="113"/>
      <c r="EN34" s="113"/>
      <c r="EO34" s="113"/>
      <c r="EP34" s="113"/>
      <c r="EQ34" s="113"/>
      <c r="ER34" s="113"/>
      <c r="ES34" s="113"/>
      <c r="ET34" s="113"/>
      <c r="EU34" s="113"/>
      <c r="EV34" s="113"/>
      <c r="EW34" s="113"/>
      <c r="EX34" s="113"/>
      <c r="EY34" s="113"/>
      <c r="EZ34" s="113"/>
      <c r="FA34" s="113"/>
      <c r="FB34" s="113"/>
      <c r="FC34" s="113"/>
      <c r="FD34" s="113"/>
      <c r="FE34" s="113"/>
      <c r="FF34" s="113"/>
      <c r="FG34" s="113"/>
      <c r="FH34" s="113"/>
      <c r="FI34" s="113"/>
      <c r="FJ34" s="113"/>
      <c r="FK34" s="113"/>
      <c r="FL34" s="113"/>
      <c r="FM34" s="113"/>
      <c r="FN34" s="113"/>
      <c r="FO34" s="113"/>
      <c r="FP34" s="113"/>
      <c r="FQ34" s="113"/>
      <c r="FR34" s="113"/>
      <c r="FS34" s="113"/>
      <c r="FT34" s="113"/>
      <c r="FU34" s="113"/>
      <c r="FV34" s="113"/>
      <c r="FW34" s="113"/>
      <c r="FX34" s="113"/>
      <c r="FY34" s="113"/>
      <c r="FZ34" s="113"/>
      <c r="GA34" s="113"/>
      <c r="GB34" s="113"/>
      <c r="GC34" s="113"/>
      <c r="GD34" s="113"/>
      <c r="GE34" s="113"/>
      <c r="GF34" s="113"/>
      <c r="GG34" s="113"/>
      <c r="GH34" s="113"/>
      <c r="GI34" s="113"/>
      <c r="GJ34" s="113"/>
      <c r="GK34" s="113"/>
      <c r="GL34" s="113"/>
      <c r="GM34" s="113"/>
      <c r="GN34" s="113"/>
      <c r="GO34" s="113"/>
      <c r="GP34" s="113"/>
      <c r="GQ34" s="113"/>
      <c r="GR34" s="113"/>
      <c r="GS34" s="113"/>
      <c r="GT34" s="113"/>
      <c r="GU34" s="113"/>
      <c r="GV34" s="113"/>
      <c r="GW34" s="113"/>
      <c r="GX34" s="113"/>
      <c r="GY34" s="113"/>
      <c r="GZ34" s="113"/>
      <c r="HA34" s="113"/>
      <c r="HB34" s="113"/>
      <c r="HC34" s="113"/>
      <c r="HD34" s="113"/>
      <c r="HE34" s="113"/>
      <c r="HF34" s="113"/>
      <c r="HG34" s="113"/>
      <c r="HH34" s="113"/>
      <c r="HI34" s="113"/>
      <c r="HJ34" s="113"/>
      <c r="HK34" s="113"/>
      <c r="HL34" s="113"/>
      <c r="HM34" s="113"/>
      <c r="HN34" s="113"/>
      <c r="HO34" s="113"/>
      <c r="HP34" s="113"/>
      <c r="HQ34" s="113"/>
      <c r="HR34" s="113"/>
      <c r="HS34" s="113"/>
      <c r="HT34" s="113"/>
      <c r="HU34" s="113"/>
      <c r="HV34" s="113"/>
      <c r="HW34" s="113"/>
      <c r="HX34" s="113"/>
      <c r="HY34" s="113"/>
      <c r="HZ34" s="113"/>
      <c r="IA34" s="113"/>
      <c r="IB34" s="113"/>
      <c r="IC34" s="113"/>
      <c r="ID34" s="113"/>
      <c r="IE34" s="113"/>
      <c r="IF34" s="113"/>
      <c r="IG34" s="113"/>
      <c r="IH34" s="113"/>
      <c r="II34" s="113"/>
      <c r="IJ34" s="113"/>
      <c r="IK34" s="113"/>
      <c r="IL34" s="113"/>
      <c r="IM34" s="113"/>
      <c r="IN34" s="113"/>
      <c r="IO34" s="113"/>
      <c r="IP34" s="113"/>
      <c r="IQ34" s="113"/>
      <c r="IR34" s="113"/>
      <c r="IS34" s="113"/>
      <c r="IT34" s="113"/>
      <c r="IU34" s="113"/>
      <c r="IV34" s="113"/>
    </row>
    <row r="35" spans="1:256" ht="14.25">
      <c r="A35" s="1087"/>
      <c r="B35" s="979"/>
      <c r="C35" s="979"/>
      <c r="D35" s="979"/>
      <c r="E35" s="136"/>
      <c r="F35" s="135"/>
      <c r="G35" s="135"/>
      <c r="H35" s="135"/>
      <c r="I35" s="1086"/>
      <c r="J35" s="1086"/>
      <c r="K35" s="1086"/>
      <c r="L35" s="617"/>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c r="EA35" s="113"/>
      <c r="EB35" s="113"/>
      <c r="EC35" s="113"/>
      <c r="ED35" s="113"/>
      <c r="EE35" s="113"/>
      <c r="EF35" s="113"/>
      <c r="EG35" s="113"/>
      <c r="EH35" s="113"/>
      <c r="EI35" s="113"/>
      <c r="EJ35" s="113"/>
      <c r="EK35" s="113"/>
      <c r="EL35" s="113"/>
      <c r="EM35" s="113"/>
      <c r="EN35" s="113"/>
      <c r="EO35" s="113"/>
      <c r="EP35" s="113"/>
      <c r="EQ35" s="113"/>
      <c r="ER35" s="113"/>
      <c r="ES35" s="113"/>
      <c r="ET35" s="113"/>
      <c r="EU35" s="113"/>
      <c r="EV35" s="113"/>
      <c r="EW35" s="113"/>
      <c r="EX35" s="113"/>
      <c r="EY35" s="113"/>
      <c r="EZ35" s="113"/>
      <c r="FA35" s="113"/>
      <c r="FB35" s="113"/>
      <c r="FC35" s="113"/>
      <c r="FD35" s="113"/>
      <c r="FE35" s="113"/>
      <c r="FF35" s="113"/>
      <c r="FG35" s="113"/>
      <c r="FH35" s="113"/>
      <c r="FI35" s="113"/>
      <c r="FJ35" s="113"/>
      <c r="FK35" s="113"/>
      <c r="FL35" s="113"/>
      <c r="FM35" s="113"/>
      <c r="FN35" s="113"/>
      <c r="FO35" s="113"/>
      <c r="FP35" s="113"/>
      <c r="FQ35" s="113"/>
      <c r="FR35" s="113"/>
      <c r="FS35" s="113"/>
      <c r="FT35" s="113"/>
      <c r="FU35" s="113"/>
      <c r="FV35" s="113"/>
      <c r="FW35" s="113"/>
      <c r="FX35" s="113"/>
      <c r="FY35" s="113"/>
      <c r="FZ35" s="113"/>
      <c r="GA35" s="113"/>
      <c r="GB35" s="113"/>
      <c r="GC35" s="113"/>
      <c r="GD35" s="113"/>
      <c r="GE35" s="113"/>
      <c r="GF35" s="113"/>
      <c r="GG35" s="113"/>
      <c r="GH35" s="113"/>
      <c r="GI35" s="113"/>
      <c r="GJ35" s="113"/>
      <c r="GK35" s="113"/>
      <c r="GL35" s="113"/>
      <c r="GM35" s="113"/>
      <c r="GN35" s="113"/>
      <c r="GO35" s="113"/>
      <c r="GP35" s="113"/>
      <c r="GQ35" s="113"/>
      <c r="GR35" s="113"/>
      <c r="GS35" s="113"/>
      <c r="GT35" s="113"/>
      <c r="GU35" s="113"/>
      <c r="GV35" s="113"/>
      <c r="GW35" s="113"/>
      <c r="GX35" s="113"/>
      <c r="GY35" s="113"/>
      <c r="GZ35" s="113"/>
      <c r="HA35" s="113"/>
      <c r="HB35" s="113"/>
      <c r="HC35" s="113"/>
      <c r="HD35" s="113"/>
      <c r="HE35" s="113"/>
      <c r="HF35" s="113"/>
      <c r="HG35" s="113"/>
      <c r="HH35" s="113"/>
      <c r="HI35" s="113"/>
      <c r="HJ35" s="113"/>
      <c r="HK35" s="113"/>
      <c r="HL35" s="113"/>
      <c r="HM35" s="113"/>
      <c r="HN35" s="113"/>
      <c r="HO35" s="113"/>
      <c r="HP35" s="113"/>
      <c r="HQ35" s="113"/>
      <c r="HR35" s="113"/>
      <c r="HS35" s="113"/>
      <c r="HT35" s="113"/>
      <c r="HU35" s="113"/>
      <c r="HV35" s="113"/>
      <c r="HW35" s="113"/>
      <c r="HX35" s="113"/>
      <c r="HY35" s="113"/>
      <c r="HZ35" s="113"/>
      <c r="IA35" s="113"/>
      <c r="IB35" s="113"/>
      <c r="IC35" s="113"/>
      <c r="ID35" s="113"/>
      <c r="IE35" s="113"/>
      <c r="IF35" s="113"/>
      <c r="IG35" s="113"/>
      <c r="IH35" s="113"/>
      <c r="II35" s="113"/>
      <c r="IJ35" s="113"/>
      <c r="IK35" s="113"/>
      <c r="IL35" s="113"/>
      <c r="IM35" s="113"/>
      <c r="IN35" s="113"/>
      <c r="IO35" s="113"/>
      <c r="IP35" s="113"/>
      <c r="IQ35" s="113"/>
      <c r="IR35" s="113"/>
      <c r="IS35" s="113"/>
      <c r="IT35" s="113"/>
      <c r="IU35" s="113"/>
      <c r="IV35" s="113"/>
    </row>
    <row r="36" spans="1:256" ht="14.25">
      <c r="A36" s="1073"/>
      <c r="B36" s="979"/>
      <c r="C36" s="979"/>
      <c r="D36" s="113"/>
      <c r="E36" s="136"/>
      <c r="F36" s="135"/>
      <c r="G36" s="135"/>
      <c r="H36" s="135"/>
      <c r="I36" s="1086"/>
      <c r="J36" s="1086"/>
      <c r="K36" s="1086"/>
      <c r="L36" s="617"/>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c r="DZ36" s="113"/>
      <c r="EA36" s="113"/>
      <c r="EB36" s="113"/>
      <c r="EC36" s="113"/>
      <c r="ED36" s="113"/>
      <c r="EE36" s="113"/>
      <c r="EF36" s="113"/>
      <c r="EG36" s="113"/>
      <c r="EH36" s="113"/>
      <c r="EI36" s="113"/>
      <c r="EJ36" s="113"/>
      <c r="EK36" s="113"/>
      <c r="EL36" s="113"/>
      <c r="EM36" s="113"/>
      <c r="EN36" s="113"/>
      <c r="EO36" s="113"/>
      <c r="EP36" s="113"/>
      <c r="EQ36" s="113"/>
      <c r="ER36" s="113"/>
      <c r="ES36" s="113"/>
      <c r="ET36" s="113"/>
      <c r="EU36" s="113"/>
      <c r="EV36" s="113"/>
      <c r="EW36" s="113"/>
      <c r="EX36" s="113"/>
      <c r="EY36" s="113"/>
      <c r="EZ36" s="113"/>
      <c r="FA36" s="113"/>
      <c r="FB36" s="113"/>
      <c r="FC36" s="113"/>
      <c r="FD36" s="113"/>
      <c r="FE36" s="113"/>
      <c r="FF36" s="113"/>
      <c r="FG36" s="113"/>
      <c r="FH36" s="113"/>
      <c r="FI36" s="113"/>
      <c r="FJ36" s="113"/>
      <c r="FK36" s="113"/>
      <c r="FL36" s="113"/>
      <c r="FM36" s="113"/>
      <c r="FN36" s="113"/>
      <c r="FO36" s="113"/>
      <c r="FP36" s="113"/>
      <c r="FQ36" s="113"/>
      <c r="FR36" s="113"/>
      <c r="FS36" s="113"/>
      <c r="FT36" s="113"/>
      <c r="FU36" s="113"/>
      <c r="FV36" s="113"/>
      <c r="FW36" s="113"/>
      <c r="FX36" s="113"/>
      <c r="FY36" s="113"/>
      <c r="FZ36" s="113"/>
      <c r="GA36" s="113"/>
      <c r="GB36" s="113"/>
      <c r="GC36" s="113"/>
      <c r="GD36" s="113"/>
      <c r="GE36" s="113"/>
      <c r="GF36" s="113"/>
      <c r="GG36" s="113"/>
      <c r="GH36" s="113"/>
      <c r="GI36" s="113"/>
      <c r="GJ36" s="113"/>
      <c r="GK36" s="113"/>
      <c r="GL36" s="113"/>
      <c r="GM36" s="113"/>
      <c r="GN36" s="113"/>
      <c r="GO36" s="113"/>
      <c r="GP36" s="113"/>
      <c r="GQ36" s="113"/>
      <c r="GR36" s="113"/>
      <c r="GS36" s="113"/>
      <c r="GT36" s="113"/>
      <c r="GU36" s="113"/>
      <c r="GV36" s="113"/>
      <c r="GW36" s="113"/>
      <c r="GX36" s="113"/>
      <c r="GY36" s="113"/>
      <c r="GZ36" s="113"/>
      <c r="HA36" s="113"/>
      <c r="HB36" s="113"/>
      <c r="HC36" s="113"/>
      <c r="HD36" s="113"/>
      <c r="HE36" s="113"/>
      <c r="HF36" s="113"/>
      <c r="HG36" s="113"/>
      <c r="HH36" s="113"/>
      <c r="HI36" s="113"/>
      <c r="HJ36" s="113"/>
      <c r="HK36" s="113"/>
      <c r="HL36" s="113"/>
      <c r="HM36" s="113"/>
      <c r="HN36" s="113"/>
      <c r="HO36" s="113"/>
      <c r="HP36" s="113"/>
      <c r="HQ36" s="113"/>
      <c r="HR36" s="113"/>
      <c r="HS36" s="113"/>
      <c r="HT36" s="113"/>
      <c r="HU36" s="113"/>
      <c r="HV36" s="113"/>
      <c r="HW36" s="113"/>
      <c r="HX36" s="113"/>
      <c r="HY36" s="113"/>
      <c r="HZ36" s="113"/>
      <c r="IA36" s="113"/>
      <c r="IB36" s="113"/>
      <c r="IC36" s="113"/>
      <c r="ID36" s="113"/>
      <c r="IE36" s="113"/>
      <c r="IF36" s="113"/>
      <c r="IG36" s="113"/>
      <c r="IH36" s="113"/>
      <c r="II36" s="113"/>
      <c r="IJ36" s="113"/>
      <c r="IK36" s="113"/>
      <c r="IL36" s="113"/>
      <c r="IM36" s="113"/>
      <c r="IN36" s="113"/>
      <c r="IO36" s="113"/>
      <c r="IP36" s="113"/>
      <c r="IQ36" s="113"/>
      <c r="IR36" s="113"/>
      <c r="IS36" s="113"/>
      <c r="IT36" s="113"/>
      <c r="IU36" s="113"/>
      <c r="IV36" s="113"/>
    </row>
    <row r="37" spans="1:256" ht="15" thickBot="1">
      <c r="A37" s="1073"/>
      <c r="B37" s="979"/>
      <c r="C37" s="979"/>
      <c r="D37" s="113"/>
      <c r="E37" s="136"/>
      <c r="F37" s="135"/>
      <c r="G37" s="150"/>
      <c r="H37" s="113"/>
      <c r="I37" s="150"/>
      <c r="J37" s="150"/>
      <c r="K37" s="150"/>
      <c r="L37" s="150"/>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c r="DZ37" s="113"/>
      <c r="EA37" s="113"/>
      <c r="EB37" s="113"/>
      <c r="EC37" s="113"/>
      <c r="ED37" s="113"/>
      <c r="EE37" s="113"/>
      <c r="EF37" s="113"/>
      <c r="EG37" s="113"/>
      <c r="EH37" s="113"/>
      <c r="EI37" s="113"/>
      <c r="EJ37" s="113"/>
      <c r="EK37" s="113"/>
      <c r="EL37" s="113"/>
      <c r="EM37" s="113"/>
      <c r="EN37" s="113"/>
      <c r="EO37" s="113"/>
      <c r="EP37" s="113"/>
      <c r="EQ37" s="113"/>
      <c r="ER37" s="113"/>
      <c r="ES37" s="113"/>
      <c r="ET37" s="113"/>
      <c r="EU37" s="113"/>
      <c r="EV37" s="113"/>
      <c r="EW37" s="113"/>
      <c r="EX37" s="113"/>
      <c r="EY37" s="113"/>
      <c r="EZ37" s="113"/>
      <c r="FA37" s="113"/>
      <c r="FB37" s="113"/>
      <c r="FC37" s="113"/>
      <c r="FD37" s="113"/>
      <c r="FE37" s="113"/>
      <c r="FF37" s="113"/>
      <c r="FG37" s="113"/>
      <c r="FH37" s="113"/>
      <c r="FI37" s="113"/>
      <c r="FJ37" s="113"/>
      <c r="FK37" s="113"/>
      <c r="FL37" s="113"/>
      <c r="FM37" s="113"/>
      <c r="FN37" s="113"/>
      <c r="FO37" s="113"/>
      <c r="FP37" s="113"/>
      <c r="FQ37" s="113"/>
      <c r="FR37" s="113"/>
      <c r="FS37" s="113"/>
      <c r="FT37" s="113"/>
      <c r="FU37" s="113"/>
      <c r="FV37" s="113"/>
      <c r="FW37" s="113"/>
      <c r="FX37" s="113"/>
      <c r="FY37" s="113"/>
      <c r="FZ37" s="113"/>
      <c r="GA37" s="113"/>
      <c r="GB37" s="113"/>
      <c r="GC37" s="113"/>
      <c r="GD37" s="113"/>
      <c r="GE37" s="113"/>
      <c r="GF37" s="113"/>
      <c r="GG37" s="113"/>
      <c r="GH37" s="113"/>
      <c r="GI37" s="113"/>
      <c r="GJ37" s="113"/>
      <c r="GK37" s="113"/>
      <c r="GL37" s="113"/>
      <c r="GM37" s="113"/>
      <c r="GN37" s="113"/>
      <c r="GO37" s="113"/>
      <c r="GP37" s="113"/>
      <c r="GQ37" s="113"/>
      <c r="GR37" s="113"/>
      <c r="GS37" s="113"/>
      <c r="GT37" s="113"/>
      <c r="GU37" s="113"/>
      <c r="GV37" s="113"/>
      <c r="GW37" s="113"/>
      <c r="GX37" s="113"/>
      <c r="GY37" s="113"/>
      <c r="GZ37" s="113"/>
      <c r="HA37" s="113"/>
      <c r="HB37" s="113"/>
      <c r="HC37" s="113"/>
      <c r="HD37" s="113"/>
      <c r="HE37" s="113"/>
      <c r="HF37" s="113"/>
      <c r="HG37" s="113"/>
      <c r="HH37" s="113"/>
      <c r="HI37" s="113"/>
      <c r="HJ37" s="113"/>
      <c r="HK37" s="113"/>
      <c r="HL37" s="113"/>
      <c r="HM37" s="113"/>
      <c r="HN37" s="113"/>
      <c r="HO37" s="113"/>
      <c r="HP37" s="113"/>
      <c r="HQ37" s="113"/>
      <c r="HR37" s="113"/>
      <c r="HS37" s="113"/>
      <c r="HT37" s="113"/>
      <c r="HU37" s="113"/>
      <c r="HV37" s="113"/>
      <c r="HW37" s="113"/>
      <c r="HX37" s="113"/>
      <c r="HY37" s="113"/>
      <c r="HZ37" s="113"/>
      <c r="IA37" s="113"/>
      <c r="IB37" s="113"/>
      <c r="IC37" s="113"/>
      <c r="ID37" s="113"/>
      <c r="IE37" s="113"/>
      <c r="IF37" s="113"/>
      <c r="IG37" s="113"/>
      <c r="IH37" s="113"/>
      <c r="II37" s="113"/>
      <c r="IJ37" s="113"/>
      <c r="IK37" s="113"/>
      <c r="IL37" s="113"/>
      <c r="IM37" s="113"/>
      <c r="IN37" s="113"/>
      <c r="IO37" s="113"/>
      <c r="IP37" s="113"/>
      <c r="IQ37" s="113"/>
      <c r="IR37" s="113"/>
      <c r="IS37" s="113"/>
      <c r="IT37" s="113"/>
      <c r="IU37" s="113"/>
      <c r="IV37" s="113"/>
    </row>
    <row r="38" spans="1:256" ht="13.5" thickBot="1">
      <c r="A38" s="1081"/>
      <c r="B38" s="996"/>
      <c r="C38" s="996"/>
      <c r="D38" s="505"/>
      <c r="E38" s="113"/>
      <c r="F38" s="1088" t="s">
        <v>167</v>
      </c>
      <c r="G38" s="1089"/>
      <c r="H38" s="1008"/>
      <c r="I38" s="1009" t="s">
        <v>168</v>
      </c>
      <c r="J38" s="1002"/>
      <c r="K38" s="1002"/>
      <c r="L38" s="1002"/>
      <c r="M38" s="1002"/>
      <c r="N38" s="1002"/>
      <c r="O38" s="100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c r="CR38" s="113"/>
      <c r="CS38" s="113"/>
      <c r="CT38" s="113"/>
      <c r="CU38" s="113"/>
      <c r="CV38" s="113"/>
      <c r="CW38" s="113"/>
      <c r="CX38" s="113"/>
      <c r="CY38" s="113"/>
      <c r="CZ38" s="113"/>
      <c r="DA38" s="113"/>
      <c r="DB38" s="113"/>
      <c r="DC38" s="113"/>
      <c r="DD38" s="113"/>
      <c r="DE38" s="113"/>
      <c r="DF38" s="113"/>
      <c r="DG38" s="113"/>
      <c r="DH38" s="113"/>
      <c r="DI38" s="113"/>
      <c r="DJ38" s="113"/>
      <c r="DK38" s="113"/>
      <c r="DL38" s="113"/>
      <c r="DM38" s="113"/>
      <c r="DN38" s="113"/>
      <c r="DO38" s="113"/>
      <c r="DP38" s="113"/>
      <c r="DQ38" s="113"/>
      <c r="DR38" s="113"/>
      <c r="DS38" s="113"/>
      <c r="DT38" s="113"/>
      <c r="DU38" s="113"/>
      <c r="DV38" s="113"/>
      <c r="DW38" s="113"/>
      <c r="DX38" s="113"/>
      <c r="DY38" s="113"/>
      <c r="DZ38" s="113"/>
      <c r="EA38" s="113"/>
      <c r="EB38" s="113"/>
      <c r="EC38" s="113"/>
      <c r="ED38" s="113"/>
      <c r="EE38" s="113"/>
      <c r="EF38" s="113"/>
      <c r="EG38" s="113"/>
      <c r="EH38" s="113"/>
      <c r="EI38" s="113"/>
      <c r="EJ38" s="113"/>
      <c r="EK38" s="113"/>
      <c r="EL38" s="113"/>
      <c r="EM38" s="113"/>
      <c r="EN38" s="113"/>
      <c r="EO38" s="113"/>
      <c r="EP38" s="113"/>
      <c r="EQ38" s="113"/>
      <c r="ER38" s="113"/>
      <c r="ES38" s="113"/>
      <c r="ET38" s="113"/>
      <c r="EU38" s="113"/>
      <c r="EV38" s="113"/>
      <c r="EW38" s="113"/>
      <c r="EX38" s="113"/>
      <c r="EY38" s="113"/>
      <c r="EZ38" s="113"/>
      <c r="FA38" s="113"/>
      <c r="FB38" s="113"/>
      <c r="FC38" s="113"/>
      <c r="FD38" s="113"/>
      <c r="FE38" s="113"/>
      <c r="FF38" s="113"/>
      <c r="FG38" s="113"/>
      <c r="FH38" s="113"/>
      <c r="FI38" s="113"/>
      <c r="FJ38" s="113"/>
      <c r="FK38" s="113"/>
      <c r="FL38" s="113"/>
      <c r="FM38" s="113"/>
      <c r="FN38" s="113"/>
      <c r="FO38" s="113"/>
      <c r="FP38" s="113"/>
      <c r="FQ38" s="113"/>
      <c r="FR38" s="113"/>
      <c r="FS38" s="113"/>
      <c r="FT38" s="113"/>
      <c r="FU38" s="113"/>
      <c r="FV38" s="113"/>
      <c r="FW38" s="113"/>
      <c r="FX38" s="113"/>
      <c r="FY38" s="113"/>
      <c r="FZ38" s="113"/>
      <c r="GA38" s="113"/>
      <c r="GB38" s="113"/>
      <c r="GC38" s="113"/>
      <c r="GD38" s="113"/>
      <c r="GE38" s="113"/>
      <c r="GF38" s="113"/>
      <c r="GG38" s="113"/>
      <c r="GH38" s="113"/>
      <c r="GI38" s="113"/>
      <c r="GJ38" s="113"/>
      <c r="GK38" s="113"/>
      <c r="GL38" s="113"/>
      <c r="GM38" s="113"/>
      <c r="GN38" s="113"/>
      <c r="GO38" s="113"/>
      <c r="GP38" s="113"/>
      <c r="GQ38" s="113"/>
      <c r="GR38" s="113"/>
      <c r="GS38" s="113"/>
      <c r="GT38" s="113"/>
      <c r="GU38" s="113"/>
      <c r="GV38" s="113"/>
      <c r="GW38" s="113"/>
      <c r="GX38" s="113"/>
      <c r="GY38" s="113"/>
      <c r="GZ38" s="113"/>
      <c r="HA38" s="113"/>
      <c r="HB38" s="113"/>
      <c r="HC38" s="113"/>
      <c r="HD38" s="113"/>
      <c r="HE38" s="113"/>
      <c r="HF38" s="113"/>
      <c r="HG38" s="113"/>
      <c r="HH38" s="113"/>
      <c r="HI38" s="113"/>
      <c r="HJ38" s="113"/>
      <c r="HK38" s="113"/>
      <c r="HL38" s="113"/>
      <c r="HM38" s="113"/>
      <c r="HN38" s="113"/>
      <c r="HO38" s="113"/>
      <c r="HP38" s="113"/>
      <c r="HQ38" s="113"/>
      <c r="HR38" s="113"/>
      <c r="HS38" s="113"/>
      <c r="HT38" s="113"/>
      <c r="HU38" s="113"/>
      <c r="HV38" s="113"/>
      <c r="HW38" s="113"/>
      <c r="HX38" s="113"/>
      <c r="HY38" s="113"/>
      <c r="HZ38" s="113"/>
      <c r="IA38" s="113"/>
      <c r="IB38" s="113"/>
      <c r="IC38" s="113"/>
      <c r="ID38" s="113"/>
      <c r="IE38" s="113"/>
      <c r="IF38" s="113"/>
      <c r="IG38" s="113"/>
      <c r="IH38" s="113"/>
      <c r="II38" s="113"/>
      <c r="IJ38" s="113"/>
      <c r="IK38" s="113"/>
      <c r="IL38" s="113"/>
      <c r="IM38" s="113"/>
      <c r="IN38" s="113"/>
      <c r="IO38" s="113"/>
      <c r="IP38" s="113"/>
      <c r="IQ38" s="113"/>
      <c r="IR38" s="113"/>
      <c r="IS38" s="113"/>
      <c r="IT38" s="113"/>
      <c r="IU38" s="113"/>
      <c r="IV38" s="113"/>
    </row>
    <row r="39" spans="1:256" ht="42.75" thickBot="1">
      <c r="A39" s="82" t="s">
        <v>122</v>
      </c>
      <c r="B39" s="82" t="s">
        <v>169</v>
      </c>
      <c r="C39" s="506" t="s">
        <v>170</v>
      </c>
      <c r="D39" s="83" t="s">
        <v>171</v>
      </c>
      <c r="E39" s="83" t="s">
        <v>172</v>
      </c>
      <c r="F39" s="83" t="s">
        <v>173</v>
      </c>
      <c r="G39" s="82" t="s">
        <v>174</v>
      </c>
      <c r="H39" s="83" t="s">
        <v>175</v>
      </c>
      <c r="I39" s="82" t="s">
        <v>174</v>
      </c>
      <c r="J39" s="83" t="s">
        <v>176</v>
      </c>
      <c r="K39" s="82" t="s">
        <v>174</v>
      </c>
      <c r="L39" s="83" t="s">
        <v>177</v>
      </c>
      <c r="M39" s="82" t="s">
        <v>174</v>
      </c>
      <c r="N39" s="83" t="s">
        <v>178</v>
      </c>
      <c r="O39" s="82" t="s">
        <v>174</v>
      </c>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c r="DP39" s="151"/>
      <c r="DQ39" s="151"/>
      <c r="DR39" s="151"/>
      <c r="DS39" s="151"/>
      <c r="DT39" s="151"/>
      <c r="DU39" s="151"/>
      <c r="DV39" s="151"/>
      <c r="DW39" s="151"/>
      <c r="DX39" s="151"/>
      <c r="DY39" s="151"/>
      <c r="DZ39" s="151"/>
      <c r="EA39" s="151"/>
      <c r="EB39" s="151"/>
      <c r="EC39" s="151"/>
      <c r="ED39" s="151"/>
      <c r="EE39" s="151"/>
      <c r="EF39" s="151"/>
      <c r="EG39" s="151"/>
      <c r="EH39" s="151"/>
      <c r="EI39" s="151"/>
      <c r="EJ39" s="151"/>
      <c r="EK39" s="151"/>
      <c r="EL39" s="151"/>
      <c r="EM39" s="151"/>
      <c r="EN39" s="151"/>
      <c r="EO39" s="151"/>
      <c r="EP39" s="151"/>
      <c r="EQ39" s="151"/>
      <c r="ER39" s="151"/>
      <c r="ES39" s="151"/>
      <c r="ET39" s="151"/>
      <c r="EU39" s="151"/>
      <c r="EV39" s="151"/>
      <c r="EW39" s="151"/>
      <c r="EX39" s="151"/>
      <c r="EY39" s="151"/>
      <c r="EZ39" s="151"/>
      <c r="FA39" s="151"/>
      <c r="FB39" s="151"/>
      <c r="FC39" s="151"/>
      <c r="FD39" s="151"/>
      <c r="FE39" s="151"/>
      <c r="FF39" s="151"/>
      <c r="FG39" s="151"/>
      <c r="FH39" s="151"/>
      <c r="FI39" s="151"/>
      <c r="FJ39" s="151"/>
      <c r="FK39" s="151"/>
      <c r="FL39" s="151"/>
      <c r="FM39" s="151"/>
      <c r="FN39" s="151"/>
      <c r="FO39" s="151"/>
      <c r="FP39" s="151"/>
      <c r="FQ39" s="151"/>
      <c r="FR39" s="151"/>
      <c r="FS39" s="151"/>
      <c r="FT39" s="151"/>
      <c r="FU39" s="151"/>
      <c r="FV39" s="151"/>
      <c r="FW39" s="151"/>
      <c r="FX39" s="151"/>
      <c r="FY39" s="151"/>
      <c r="FZ39" s="151"/>
      <c r="GA39" s="151"/>
      <c r="GB39" s="151"/>
      <c r="GC39" s="151"/>
      <c r="GD39" s="151"/>
      <c r="GE39" s="151"/>
      <c r="GF39" s="151"/>
      <c r="GG39" s="151"/>
      <c r="GH39" s="151"/>
      <c r="GI39" s="151"/>
      <c r="GJ39" s="151"/>
      <c r="GK39" s="151"/>
      <c r="GL39" s="151"/>
      <c r="GM39" s="151"/>
      <c r="GN39" s="151"/>
      <c r="GO39" s="151"/>
      <c r="GP39" s="151"/>
      <c r="GQ39" s="151"/>
      <c r="GR39" s="151"/>
      <c r="GS39" s="151"/>
      <c r="GT39" s="151"/>
      <c r="GU39" s="151"/>
      <c r="GV39" s="151"/>
      <c r="GW39" s="151"/>
      <c r="GX39" s="151"/>
      <c r="GY39" s="151"/>
      <c r="GZ39" s="151"/>
      <c r="HA39" s="151"/>
      <c r="HB39" s="151"/>
      <c r="HC39" s="151"/>
      <c r="HD39" s="151"/>
      <c r="HE39" s="151"/>
      <c r="HF39" s="151"/>
      <c r="HG39" s="151"/>
      <c r="HH39" s="151"/>
      <c r="HI39" s="151"/>
      <c r="HJ39" s="151"/>
      <c r="HK39" s="151"/>
      <c r="HL39" s="151"/>
      <c r="HM39" s="151"/>
      <c r="HN39" s="151"/>
      <c r="HO39" s="151"/>
      <c r="HP39" s="151"/>
      <c r="HQ39" s="151"/>
      <c r="HR39" s="151"/>
      <c r="HS39" s="151"/>
      <c r="HT39" s="151"/>
      <c r="HU39" s="151"/>
      <c r="HV39" s="151"/>
      <c r="HW39" s="151"/>
      <c r="HX39" s="151"/>
      <c r="HY39" s="151"/>
      <c r="HZ39" s="151"/>
      <c r="IA39" s="151"/>
      <c r="IB39" s="151"/>
      <c r="IC39" s="151"/>
      <c r="ID39" s="151"/>
      <c r="IE39" s="151"/>
      <c r="IF39" s="151"/>
      <c r="IG39" s="151"/>
      <c r="IH39" s="151"/>
      <c r="II39" s="151"/>
      <c r="IJ39" s="151"/>
      <c r="IK39" s="151"/>
      <c r="IL39" s="151"/>
      <c r="IM39" s="151"/>
      <c r="IN39" s="151"/>
      <c r="IO39" s="151"/>
      <c r="IP39" s="151"/>
      <c r="IQ39" s="151"/>
      <c r="IR39" s="151"/>
      <c r="IS39" s="151"/>
      <c r="IT39" s="151"/>
      <c r="IU39" s="151"/>
      <c r="IV39" s="151"/>
    </row>
    <row r="40" spans="1:256" ht="13.5" thickBot="1">
      <c r="A40" s="1092">
        <v>10</v>
      </c>
      <c r="B40" s="1092"/>
      <c r="C40" s="507" t="s">
        <v>402</v>
      </c>
      <c r="D40" s="87" t="s">
        <v>403</v>
      </c>
      <c r="E40" s="88">
        <v>6653</v>
      </c>
      <c r="F40" s="51">
        <f>SUM(E40,E41,E42,E43)*(1-65%)</f>
        <v>2821</v>
      </c>
      <c r="G40" s="1062">
        <f>F40*B40</f>
        <v>0</v>
      </c>
      <c r="H40" s="51">
        <f>F40*0.0832</f>
        <v>234.7072</v>
      </c>
      <c r="I40" s="1062">
        <f>H40*B40</f>
        <v>0</v>
      </c>
      <c r="J40" s="51">
        <f>F40*0.0313</f>
        <v>88.297300000000007</v>
      </c>
      <c r="K40" s="1062">
        <f>J40*B40</f>
        <v>0</v>
      </c>
      <c r="L40" s="51">
        <f>F40*0.0256</f>
        <v>72.217600000000004</v>
      </c>
      <c r="M40" s="1062">
        <f>L40*B40</f>
        <v>0</v>
      </c>
      <c r="N40" s="51">
        <f>F40*0.0213</f>
        <v>60.087299999999999</v>
      </c>
      <c r="O40" s="1062">
        <f>N40*B40</f>
        <v>0</v>
      </c>
      <c r="P40" s="154"/>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c r="CH40" s="155"/>
      <c r="CI40" s="155"/>
      <c r="CJ40" s="155"/>
      <c r="CK40" s="155"/>
      <c r="CL40" s="155"/>
      <c r="CM40" s="155"/>
      <c r="CN40" s="155"/>
      <c r="CO40" s="155"/>
      <c r="CP40" s="155"/>
      <c r="CQ40" s="155"/>
      <c r="CR40" s="155"/>
      <c r="CS40" s="155"/>
      <c r="CT40" s="155"/>
      <c r="CU40" s="155"/>
      <c r="CV40" s="155"/>
      <c r="CW40" s="155"/>
      <c r="CX40" s="155"/>
      <c r="CY40" s="155"/>
      <c r="CZ40" s="155"/>
      <c r="DA40" s="155"/>
      <c r="DB40" s="155"/>
      <c r="DC40" s="155"/>
      <c r="DD40" s="155"/>
      <c r="DE40" s="155"/>
      <c r="DF40" s="155"/>
      <c r="DG40" s="155"/>
      <c r="DH40" s="155"/>
      <c r="DI40" s="155"/>
      <c r="DJ40" s="155"/>
      <c r="DK40" s="155"/>
      <c r="DL40" s="155"/>
      <c r="DM40" s="155"/>
      <c r="DN40" s="155"/>
      <c r="DO40" s="155"/>
      <c r="DP40" s="155"/>
      <c r="DQ40" s="155"/>
      <c r="DR40" s="155"/>
      <c r="DS40" s="155"/>
      <c r="DT40" s="155"/>
      <c r="DU40" s="155"/>
      <c r="DV40" s="155"/>
      <c r="DW40" s="155"/>
      <c r="DX40" s="155"/>
      <c r="DY40" s="155"/>
      <c r="DZ40" s="155"/>
      <c r="EA40" s="155"/>
      <c r="EB40" s="155"/>
      <c r="EC40" s="155"/>
      <c r="ED40" s="155"/>
      <c r="EE40" s="155"/>
      <c r="EF40" s="155"/>
      <c r="EG40" s="155"/>
      <c r="EH40" s="155"/>
      <c r="EI40" s="155"/>
      <c r="EJ40" s="155"/>
      <c r="EK40" s="155"/>
      <c r="EL40" s="155"/>
      <c r="EM40" s="155"/>
      <c r="EN40" s="155"/>
      <c r="EO40" s="155"/>
      <c r="EP40" s="155"/>
      <c r="EQ40" s="155"/>
      <c r="ER40" s="155"/>
      <c r="ES40" s="155"/>
      <c r="ET40" s="155"/>
      <c r="EU40" s="155"/>
      <c r="EV40" s="155"/>
      <c r="EW40" s="155"/>
      <c r="EX40" s="155"/>
      <c r="EY40" s="155"/>
      <c r="EZ40" s="155"/>
      <c r="FA40" s="155"/>
      <c r="FB40" s="155"/>
      <c r="FC40" s="155"/>
      <c r="FD40" s="155"/>
      <c r="FE40" s="155"/>
      <c r="FF40" s="155"/>
      <c r="FG40" s="155"/>
      <c r="FH40" s="155"/>
      <c r="FI40" s="155"/>
      <c r="FJ40" s="155"/>
      <c r="FK40" s="155"/>
      <c r="FL40" s="155"/>
      <c r="FM40" s="155"/>
      <c r="FN40" s="155"/>
      <c r="FO40" s="155"/>
      <c r="FP40" s="155"/>
      <c r="FQ40" s="155"/>
      <c r="FR40" s="155"/>
      <c r="FS40" s="155"/>
      <c r="FT40" s="155"/>
      <c r="FU40" s="155"/>
      <c r="FV40" s="155"/>
      <c r="FW40" s="155"/>
      <c r="FX40" s="155"/>
      <c r="FY40" s="155"/>
      <c r="FZ40" s="155"/>
      <c r="GA40" s="155"/>
      <c r="GB40" s="155"/>
      <c r="GC40" s="155"/>
      <c r="GD40" s="155"/>
      <c r="GE40" s="155"/>
      <c r="GF40" s="155"/>
      <c r="GG40" s="155"/>
      <c r="GH40" s="155"/>
      <c r="GI40" s="155"/>
      <c r="GJ40" s="155"/>
      <c r="GK40" s="155"/>
      <c r="GL40" s="155"/>
      <c r="GM40" s="155"/>
      <c r="GN40" s="155"/>
      <c r="GO40" s="155"/>
      <c r="GP40" s="155"/>
      <c r="GQ40" s="155"/>
      <c r="GR40" s="155"/>
      <c r="GS40" s="155"/>
      <c r="GT40" s="155"/>
      <c r="GU40" s="155"/>
      <c r="GV40" s="155"/>
      <c r="GW40" s="155"/>
      <c r="GX40" s="155"/>
      <c r="GY40" s="155"/>
      <c r="GZ40" s="155"/>
      <c r="HA40" s="155"/>
      <c r="HB40" s="155"/>
      <c r="HC40" s="155"/>
      <c r="HD40" s="155"/>
      <c r="HE40" s="155"/>
      <c r="HF40" s="155"/>
      <c r="HG40" s="155"/>
      <c r="HH40" s="155"/>
      <c r="HI40" s="155"/>
      <c r="HJ40" s="155"/>
      <c r="HK40" s="155"/>
      <c r="HL40" s="155"/>
      <c r="HM40" s="155"/>
      <c r="HN40" s="155"/>
      <c r="HO40" s="155"/>
      <c r="HP40" s="155"/>
      <c r="HQ40" s="155"/>
      <c r="HR40" s="155"/>
      <c r="HS40" s="155"/>
      <c r="HT40" s="155"/>
      <c r="HU40" s="155"/>
      <c r="HV40" s="155"/>
      <c r="HW40" s="155"/>
      <c r="HX40" s="155"/>
      <c r="HY40" s="155"/>
      <c r="HZ40" s="155"/>
      <c r="IA40" s="155"/>
      <c r="IB40" s="155"/>
      <c r="IC40" s="155"/>
      <c r="ID40" s="155"/>
      <c r="IE40" s="155"/>
      <c r="IF40" s="155"/>
      <c r="IG40" s="155"/>
      <c r="IH40" s="155"/>
      <c r="II40" s="155"/>
      <c r="IJ40" s="155"/>
      <c r="IK40" s="155"/>
      <c r="IL40" s="155"/>
      <c r="IM40" s="155"/>
      <c r="IN40" s="155"/>
      <c r="IO40" s="155"/>
      <c r="IP40" s="155"/>
      <c r="IQ40" s="155"/>
      <c r="IR40" s="155"/>
      <c r="IS40" s="155"/>
      <c r="IT40" s="155"/>
      <c r="IU40" s="155"/>
      <c r="IV40" s="155"/>
    </row>
    <row r="41" spans="1:256" ht="13.5" thickBot="1">
      <c r="A41" s="1093"/>
      <c r="B41" s="1093"/>
      <c r="C41" s="508" t="s">
        <v>404</v>
      </c>
      <c r="D41" s="491" t="s">
        <v>405</v>
      </c>
      <c r="E41" s="92">
        <v>1077</v>
      </c>
      <c r="F41" s="52" t="s">
        <v>162</v>
      </c>
      <c r="G41" s="1090"/>
      <c r="H41" s="53" t="s">
        <v>162</v>
      </c>
      <c r="I41" s="1090"/>
      <c r="J41" s="53" t="s">
        <v>162</v>
      </c>
      <c r="K41" s="1090"/>
      <c r="L41" s="53" t="s">
        <v>162</v>
      </c>
      <c r="M41" s="1090"/>
      <c r="N41" s="53" t="s">
        <v>162</v>
      </c>
      <c r="O41" s="1090"/>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1"/>
      <c r="EY41" s="151"/>
      <c r="EZ41" s="151"/>
      <c r="FA41" s="151"/>
      <c r="FB41" s="151"/>
      <c r="FC41" s="151"/>
      <c r="FD41" s="151"/>
      <c r="FE41" s="151"/>
      <c r="FF41" s="151"/>
      <c r="FG41" s="151"/>
      <c r="FH41" s="151"/>
      <c r="FI41" s="151"/>
      <c r="FJ41" s="151"/>
      <c r="FK41" s="151"/>
      <c r="FL41" s="151"/>
      <c r="FM41" s="151"/>
      <c r="FN41" s="151"/>
      <c r="FO41" s="151"/>
      <c r="FP41" s="151"/>
      <c r="FQ41" s="151"/>
      <c r="FR41" s="151"/>
      <c r="FS41" s="151"/>
      <c r="FT41" s="151"/>
      <c r="FU41" s="151"/>
      <c r="FV41" s="151"/>
      <c r="FW41" s="151"/>
      <c r="FX41" s="151"/>
      <c r="FY41" s="151"/>
      <c r="FZ41" s="151"/>
      <c r="GA41" s="151"/>
      <c r="GB41" s="151"/>
      <c r="GC41" s="151"/>
      <c r="GD41" s="151"/>
      <c r="GE41" s="151"/>
      <c r="GF41" s="151"/>
      <c r="GG41" s="151"/>
      <c r="GH41" s="151"/>
      <c r="GI41" s="151"/>
      <c r="GJ41" s="151"/>
      <c r="GK41" s="151"/>
      <c r="GL41" s="151"/>
      <c r="GM41" s="151"/>
      <c r="GN41" s="151"/>
      <c r="GO41" s="151"/>
      <c r="GP41" s="151"/>
      <c r="GQ41" s="151"/>
      <c r="GR41" s="151"/>
      <c r="GS41" s="151"/>
      <c r="GT41" s="151"/>
      <c r="GU41" s="151"/>
      <c r="GV41" s="151"/>
      <c r="GW41" s="151"/>
      <c r="GX41" s="151"/>
      <c r="GY41" s="151"/>
      <c r="GZ41" s="151"/>
      <c r="HA41" s="151"/>
      <c r="HB41" s="151"/>
      <c r="HC41" s="151"/>
      <c r="HD41" s="151"/>
      <c r="HE41" s="151"/>
      <c r="HF41" s="151"/>
      <c r="HG41" s="151"/>
      <c r="HH41" s="151"/>
      <c r="HI41" s="151"/>
      <c r="HJ41" s="151"/>
      <c r="HK41" s="151"/>
      <c r="HL41" s="151"/>
      <c r="HM41" s="151"/>
      <c r="HN41" s="151"/>
      <c r="HO41" s="151"/>
      <c r="HP41" s="151"/>
      <c r="HQ41" s="151"/>
      <c r="HR41" s="151"/>
      <c r="HS41" s="151"/>
      <c r="HT41" s="151"/>
      <c r="HU41" s="151"/>
      <c r="HV41" s="151"/>
      <c r="HW41" s="151"/>
      <c r="HX41" s="151"/>
      <c r="HY41" s="151"/>
      <c r="HZ41" s="151"/>
      <c r="IA41" s="151"/>
      <c r="IB41" s="151"/>
      <c r="IC41" s="151"/>
      <c r="ID41" s="151"/>
      <c r="IE41" s="151"/>
      <c r="IF41" s="151"/>
      <c r="IG41" s="151"/>
      <c r="IH41" s="151"/>
      <c r="II41" s="151"/>
      <c r="IJ41" s="151"/>
      <c r="IK41" s="151"/>
      <c r="IL41" s="151"/>
      <c r="IM41" s="151"/>
      <c r="IN41" s="151"/>
      <c r="IO41" s="151"/>
      <c r="IP41" s="151"/>
      <c r="IQ41" s="151"/>
      <c r="IR41" s="151"/>
      <c r="IS41" s="151"/>
      <c r="IT41" s="151"/>
      <c r="IU41" s="151"/>
      <c r="IV41" s="151"/>
    </row>
    <row r="42" spans="1:256" ht="13.5" thickBot="1">
      <c r="A42" s="1093"/>
      <c r="B42" s="1093"/>
      <c r="C42" s="478">
        <v>135310</v>
      </c>
      <c r="D42" s="491" t="s">
        <v>406</v>
      </c>
      <c r="E42" s="92">
        <v>255</v>
      </c>
      <c r="F42" s="422" t="s">
        <v>162</v>
      </c>
      <c r="G42" s="1090"/>
      <c r="H42" s="53" t="s">
        <v>162</v>
      </c>
      <c r="I42" s="1090"/>
      <c r="J42" s="53" t="s">
        <v>162</v>
      </c>
      <c r="K42" s="1090"/>
      <c r="L42" s="53" t="s">
        <v>162</v>
      </c>
      <c r="M42" s="1090"/>
      <c r="N42" s="53" t="s">
        <v>162</v>
      </c>
      <c r="O42" s="1090"/>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c r="DF42" s="156"/>
      <c r="DG42" s="156"/>
      <c r="DH42" s="156"/>
      <c r="DI42" s="156"/>
      <c r="DJ42" s="156"/>
      <c r="DK42" s="156"/>
      <c r="DL42" s="156"/>
      <c r="DM42" s="156"/>
      <c r="DN42" s="156"/>
      <c r="DO42" s="156"/>
      <c r="DP42" s="156"/>
      <c r="DQ42" s="156"/>
      <c r="DR42" s="156"/>
      <c r="DS42" s="156"/>
      <c r="DT42" s="156"/>
      <c r="DU42" s="156"/>
      <c r="DV42" s="156"/>
      <c r="DW42" s="156"/>
      <c r="DX42" s="156"/>
      <c r="DY42" s="156"/>
      <c r="DZ42" s="156"/>
      <c r="EA42" s="156"/>
      <c r="EB42" s="156"/>
      <c r="EC42" s="156"/>
      <c r="ED42" s="156"/>
      <c r="EE42" s="156"/>
      <c r="EF42" s="156"/>
      <c r="EG42" s="156"/>
      <c r="EH42" s="156"/>
      <c r="EI42" s="156"/>
      <c r="EJ42" s="156"/>
      <c r="EK42" s="156"/>
      <c r="EL42" s="156"/>
      <c r="EM42" s="156"/>
      <c r="EN42" s="156"/>
      <c r="EO42" s="156"/>
      <c r="EP42" s="156"/>
      <c r="EQ42" s="156"/>
      <c r="ER42" s="156"/>
      <c r="ES42" s="156"/>
      <c r="ET42" s="156"/>
      <c r="EU42" s="156"/>
      <c r="EV42" s="156"/>
      <c r="EW42" s="156"/>
      <c r="EX42" s="156"/>
      <c r="EY42" s="156"/>
      <c r="EZ42" s="156"/>
      <c r="FA42" s="156"/>
      <c r="FB42" s="156"/>
      <c r="FC42" s="156"/>
      <c r="FD42" s="156"/>
      <c r="FE42" s="156"/>
      <c r="FF42" s="156"/>
      <c r="FG42" s="156"/>
      <c r="FH42" s="156"/>
      <c r="FI42" s="156"/>
      <c r="FJ42" s="156"/>
      <c r="FK42" s="156"/>
      <c r="FL42" s="156"/>
      <c r="FM42" s="156"/>
      <c r="FN42" s="156"/>
      <c r="FO42" s="156"/>
      <c r="FP42" s="156"/>
      <c r="FQ42" s="156"/>
      <c r="FR42" s="156"/>
      <c r="FS42" s="156"/>
      <c r="FT42" s="156"/>
      <c r="FU42" s="156"/>
      <c r="FV42" s="156"/>
      <c r="FW42" s="156"/>
      <c r="FX42" s="156"/>
      <c r="FY42" s="156"/>
      <c r="FZ42" s="156"/>
      <c r="GA42" s="156"/>
      <c r="GB42" s="156"/>
      <c r="GC42" s="156"/>
      <c r="GD42" s="156"/>
      <c r="GE42" s="156"/>
      <c r="GF42" s="156"/>
      <c r="GG42" s="156"/>
      <c r="GH42" s="156"/>
      <c r="GI42" s="156"/>
      <c r="GJ42" s="156"/>
      <c r="GK42" s="156"/>
      <c r="GL42" s="156"/>
      <c r="GM42" s="156"/>
      <c r="GN42" s="156"/>
      <c r="GO42" s="156"/>
      <c r="GP42" s="156"/>
      <c r="GQ42" s="156"/>
      <c r="GR42" s="156"/>
      <c r="GS42" s="156"/>
      <c r="GT42" s="156"/>
      <c r="GU42" s="156"/>
      <c r="GV42" s="156"/>
      <c r="GW42" s="156"/>
      <c r="GX42" s="156"/>
      <c r="GY42" s="156"/>
      <c r="GZ42" s="156"/>
      <c r="HA42" s="156"/>
      <c r="HB42" s="156"/>
      <c r="HC42" s="156"/>
      <c r="HD42" s="156"/>
      <c r="HE42" s="156"/>
      <c r="HF42" s="156"/>
      <c r="HG42" s="156"/>
      <c r="HH42" s="156"/>
      <c r="HI42" s="156"/>
      <c r="HJ42" s="156"/>
      <c r="HK42" s="156"/>
      <c r="HL42" s="156"/>
      <c r="HM42" s="156"/>
      <c r="HN42" s="156"/>
      <c r="HO42" s="156"/>
      <c r="HP42" s="156"/>
      <c r="HQ42" s="156"/>
      <c r="HR42" s="156"/>
      <c r="HS42" s="156"/>
      <c r="HT42" s="156"/>
      <c r="HU42" s="156"/>
      <c r="HV42" s="156"/>
      <c r="HW42" s="156"/>
      <c r="HX42" s="156"/>
      <c r="HY42" s="156"/>
      <c r="HZ42" s="156"/>
      <c r="IA42" s="156"/>
      <c r="IB42" s="156"/>
      <c r="IC42" s="156"/>
      <c r="ID42" s="156"/>
      <c r="IE42" s="156"/>
      <c r="IF42" s="156"/>
      <c r="IG42" s="156"/>
      <c r="IH42" s="156"/>
      <c r="II42" s="156"/>
      <c r="IJ42" s="156"/>
      <c r="IK42" s="156"/>
      <c r="IL42" s="156"/>
      <c r="IM42" s="156"/>
      <c r="IN42" s="156"/>
      <c r="IO42" s="156"/>
      <c r="IP42" s="156"/>
      <c r="IQ42" s="156"/>
      <c r="IR42" s="156"/>
      <c r="IS42" s="156"/>
      <c r="IT42" s="156"/>
      <c r="IU42" s="156"/>
      <c r="IV42" s="156"/>
    </row>
    <row r="43" spans="1:256" ht="13.5" thickBot="1">
      <c r="A43" s="1093"/>
      <c r="B43" s="1093"/>
      <c r="C43" s="478" t="s">
        <v>179</v>
      </c>
      <c r="D43" s="479" t="s">
        <v>180</v>
      </c>
      <c r="E43" s="92">
        <v>75</v>
      </c>
      <c r="F43" s="422" t="s">
        <v>162</v>
      </c>
      <c r="G43" s="1091"/>
      <c r="H43" s="423" t="s">
        <v>162</v>
      </c>
      <c r="I43" s="1091"/>
      <c r="J43" s="423" t="s">
        <v>162</v>
      </c>
      <c r="K43" s="1091"/>
      <c r="L43" s="423" t="s">
        <v>162</v>
      </c>
      <c r="M43" s="1091"/>
      <c r="N43" s="423" t="s">
        <v>162</v>
      </c>
      <c r="O43" s="1091"/>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c r="CG43" s="156"/>
      <c r="CH43" s="156"/>
      <c r="CI43" s="156"/>
      <c r="CJ43" s="156"/>
      <c r="CK43" s="156"/>
      <c r="CL43" s="156"/>
      <c r="CM43" s="156"/>
      <c r="CN43" s="156"/>
      <c r="CO43" s="156"/>
      <c r="CP43" s="156"/>
      <c r="CQ43" s="156"/>
      <c r="CR43" s="156"/>
      <c r="CS43" s="156"/>
      <c r="CT43" s="156"/>
      <c r="CU43" s="156"/>
      <c r="CV43" s="156"/>
      <c r="CW43" s="156"/>
      <c r="CX43" s="156"/>
      <c r="CY43" s="156"/>
      <c r="CZ43" s="156"/>
      <c r="DA43" s="156"/>
      <c r="DB43" s="156"/>
      <c r="DC43" s="156"/>
      <c r="DD43" s="156"/>
      <c r="DE43" s="156"/>
      <c r="DF43" s="156"/>
      <c r="DG43" s="156"/>
      <c r="DH43" s="156"/>
      <c r="DI43" s="156"/>
      <c r="DJ43" s="156"/>
      <c r="DK43" s="156"/>
      <c r="DL43" s="156"/>
      <c r="DM43" s="156"/>
      <c r="DN43" s="156"/>
      <c r="DO43" s="156"/>
      <c r="DP43" s="156"/>
      <c r="DQ43" s="156"/>
      <c r="DR43" s="156"/>
      <c r="DS43" s="156"/>
      <c r="DT43" s="156"/>
      <c r="DU43" s="156"/>
      <c r="DV43" s="156"/>
      <c r="DW43" s="156"/>
      <c r="DX43" s="156"/>
      <c r="DY43" s="156"/>
      <c r="DZ43" s="156"/>
      <c r="EA43" s="156"/>
      <c r="EB43" s="156"/>
      <c r="EC43" s="156"/>
      <c r="ED43" s="156"/>
      <c r="EE43" s="156"/>
      <c r="EF43" s="156"/>
      <c r="EG43" s="156"/>
      <c r="EH43" s="156"/>
      <c r="EI43" s="156"/>
      <c r="EJ43" s="156"/>
      <c r="EK43" s="156"/>
      <c r="EL43" s="156"/>
      <c r="EM43" s="156"/>
      <c r="EN43" s="156"/>
      <c r="EO43" s="156"/>
      <c r="EP43" s="156"/>
      <c r="EQ43" s="156"/>
      <c r="ER43" s="156"/>
      <c r="ES43" s="156"/>
      <c r="ET43" s="156"/>
      <c r="EU43" s="156"/>
      <c r="EV43" s="156"/>
      <c r="EW43" s="156"/>
      <c r="EX43" s="156"/>
      <c r="EY43" s="156"/>
      <c r="EZ43" s="156"/>
      <c r="FA43" s="156"/>
      <c r="FB43" s="156"/>
      <c r="FC43" s="156"/>
      <c r="FD43" s="156"/>
      <c r="FE43" s="156"/>
      <c r="FF43" s="156"/>
      <c r="FG43" s="156"/>
      <c r="FH43" s="156"/>
      <c r="FI43" s="156"/>
      <c r="FJ43" s="156"/>
      <c r="FK43" s="156"/>
      <c r="FL43" s="156"/>
      <c r="FM43" s="156"/>
      <c r="FN43" s="156"/>
      <c r="FO43" s="156"/>
      <c r="FP43" s="156"/>
      <c r="FQ43" s="156"/>
      <c r="FR43" s="156"/>
      <c r="FS43" s="156"/>
      <c r="FT43" s="156"/>
      <c r="FU43" s="156"/>
      <c r="FV43" s="156"/>
      <c r="FW43" s="156"/>
      <c r="FX43" s="156"/>
      <c r="FY43" s="156"/>
      <c r="FZ43" s="156"/>
      <c r="GA43" s="156"/>
      <c r="GB43" s="156"/>
      <c r="GC43" s="156"/>
      <c r="GD43" s="156"/>
      <c r="GE43" s="156"/>
      <c r="GF43" s="156"/>
      <c r="GG43" s="156"/>
      <c r="GH43" s="156"/>
      <c r="GI43" s="156"/>
      <c r="GJ43" s="156"/>
      <c r="GK43" s="156"/>
      <c r="GL43" s="156"/>
      <c r="GM43" s="156"/>
      <c r="GN43" s="156"/>
      <c r="GO43" s="156"/>
      <c r="GP43" s="156"/>
      <c r="GQ43" s="156"/>
      <c r="GR43" s="156"/>
      <c r="GS43" s="156"/>
      <c r="GT43" s="156"/>
      <c r="GU43" s="156"/>
      <c r="GV43" s="156"/>
      <c r="GW43" s="156"/>
      <c r="GX43" s="156"/>
      <c r="GY43" s="156"/>
      <c r="GZ43" s="156"/>
      <c r="HA43" s="156"/>
      <c r="HB43" s="156"/>
      <c r="HC43" s="156"/>
      <c r="HD43" s="156"/>
      <c r="HE43" s="156"/>
      <c r="HF43" s="156"/>
      <c r="HG43" s="156"/>
      <c r="HH43" s="156"/>
      <c r="HI43" s="156"/>
      <c r="HJ43" s="156"/>
      <c r="HK43" s="156"/>
      <c r="HL43" s="156"/>
      <c r="HM43" s="156"/>
      <c r="HN43" s="156"/>
      <c r="HO43" s="156"/>
      <c r="HP43" s="156"/>
      <c r="HQ43" s="156"/>
      <c r="HR43" s="156"/>
      <c r="HS43" s="156"/>
      <c r="HT43" s="156"/>
      <c r="HU43" s="156"/>
      <c r="HV43" s="156"/>
      <c r="HW43" s="156"/>
      <c r="HX43" s="156"/>
      <c r="HY43" s="156"/>
      <c r="HZ43" s="156"/>
      <c r="IA43" s="156"/>
      <c r="IB43" s="156"/>
      <c r="IC43" s="156"/>
      <c r="ID43" s="156"/>
      <c r="IE43" s="156"/>
      <c r="IF43" s="156"/>
      <c r="IG43" s="156"/>
      <c r="IH43" s="156"/>
      <c r="II43" s="156"/>
      <c r="IJ43" s="156"/>
      <c r="IK43" s="156"/>
      <c r="IL43" s="156"/>
      <c r="IM43" s="156"/>
      <c r="IN43" s="156"/>
      <c r="IO43" s="156"/>
      <c r="IP43" s="156"/>
      <c r="IQ43" s="156"/>
      <c r="IR43" s="156"/>
      <c r="IS43" s="156"/>
      <c r="IT43" s="156"/>
      <c r="IU43" s="156"/>
      <c r="IV43" s="156"/>
    </row>
    <row r="44" spans="1:256" ht="13.5" thickBot="1">
      <c r="A44" s="94"/>
      <c r="B44" s="95"/>
      <c r="C44" s="96"/>
      <c r="D44" s="97"/>
      <c r="E44" s="98"/>
      <c r="F44" s="54"/>
      <c r="G44" s="41"/>
      <c r="H44" s="57"/>
      <c r="I44" s="41"/>
      <c r="J44" s="57"/>
      <c r="K44" s="42"/>
      <c r="L44" s="57"/>
      <c r="M44" s="41"/>
      <c r="N44" s="57"/>
      <c r="O44" s="42"/>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c r="DP44" s="156"/>
      <c r="DQ44" s="156"/>
      <c r="DR44" s="156"/>
      <c r="DS44" s="156"/>
      <c r="DT44" s="156"/>
      <c r="DU44" s="156"/>
      <c r="DV44" s="156"/>
      <c r="DW44" s="156"/>
      <c r="DX44" s="156"/>
      <c r="DY44" s="156"/>
      <c r="DZ44" s="156"/>
      <c r="EA44" s="156"/>
      <c r="EB44" s="156"/>
      <c r="EC44" s="156"/>
      <c r="ED44" s="156"/>
      <c r="EE44" s="156"/>
      <c r="EF44" s="156"/>
      <c r="EG44" s="156"/>
      <c r="EH44" s="156"/>
      <c r="EI44" s="156"/>
      <c r="EJ44" s="156"/>
      <c r="EK44" s="156"/>
      <c r="EL44" s="156"/>
      <c r="EM44" s="156"/>
      <c r="EN44" s="156"/>
      <c r="EO44" s="156"/>
      <c r="EP44" s="156"/>
      <c r="EQ44" s="156"/>
      <c r="ER44" s="156"/>
      <c r="ES44" s="156"/>
      <c r="ET44" s="156"/>
      <c r="EU44" s="156"/>
      <c r="EV44" s="156"/>
      <c r="EW44" s="156"/>
      <c r="EX44" s="156"/>
      <c r="EY44" s="156"/>
      <c r="EZ44" s="156"/>
      <c r="FA44" s="156"/>
      <c r="FB44" s="156"/>
      <c r="FC44" s="156"/>
      <c r="FD44" s="156"/>
      <c r="FE44" s="156"/>
      <c r="FF44" s="156"/>
      <c r="FG44" s="156"/>
      <c r="FH44" s="156"/>
      <c r="FI44" s="156"/>
      <c r="FJ44" s="156"/>
      <c r="FK44" s="156"/>
      <c r="FL44" s="156"/>
      <c r="FM44" s="156"/>
      <c r="FN44" s="156"/>
      <c r="FO44" s="156"/>
      <c r="FP44" s="156"/>
      <c r="FQ44" s="156"/>
      <c r="FR44" s="156"/>
      <c r="FS44" s="156"/>
      <c r="FT44" s="156"/>
      <c r="FU44" s="156"/>
      <c r="FV44" s="156"/>
      <c r="FW44" s="156"/>
      <c r="FX44" s="156"/>
      <c r="FY44" s="156"/>
      <c r="FZ44" s="156"/>
      <c r="GA44" s="156"/>
      <c r="GB44" s="156"/>
      <c r="GC44" s="156"/>
      <c r="GD44" s="156"/>
      <c r="GE44" s="156"/>
      <c r="GF44" s="156"/>
      <c r="GG44" s="156"/>
      <c r="GH44" s="156"/>
      <c r="GI44" s="156"/>
      <c r="GJ44" s="156"/>
      <c r="GK44" s="156"/>
      <c r="GL44" s="156"/>
      <c r="GM44" s="156"/>
      <c r="GN44" s="156"/>
      <c r="GO44" s="156"/>
      <c r="GP44" s="156"/>
      <c r="GQ44" s="156"/>
      <c r="GR44" s="156"/>
      <c r="GS44" s="156"/>
      <c r="GT44" s="156"/>
      <c r="GU44" s="156"/>
      <c r="GV44" s="156"/>
      <c r="GW44" s="156"/>
      <c r="GX44" s="156"/>
      <c r="GY44" s="156"/>
      <c r="GZ44" s="156"/>
      <c r="HA44" s="156"/>
      <c r="HB44" s="156"/>
      <c r="HC44" s="156"/>
      <c r="HD44" s="156"/>
      <c r="HE44" s="156"/>
      <c r="HF44" s="156"/>
      <c r="HG44" s="156"/>
      <c r="HH44" s="156"/>
      <c r="HI44" s="156"/>
      <c r="HJ44" s="156"/>
      <c r="HK44" s="156"/>
      <c r="HL44" s="156"/>
      <c r="HM44" s="156"/>
      <c r="HN44" s="156"/>
      <c r="HO44" s="156"/>
      <c r="HP44" s="156"/>
      <c r="HQ44" s="156"/>
      <c r="HR44" s="156"/>
      <c r="HS44" s="156"/>
      <c r="HT44" s="156"/>
      <c r="HU44" s="156"/>
      <c r="HV44" s="156"/>
      <c r="HW44" s="156"/>
      <c r="HX44" s="156"/>
      <c r="HY44" s="156"/>
      <c r="HZ44" s="156"/>
      <c r="IA44" s="156"/>
      <c r="IB44" s="156"/>
      <c r="IC44" s="156"/>
      <c r="ID44" s="156"/>
      <c r="IE44" s="156"/>
      <c r="IF44" s="156"/>
      <c r="IG44" s="156"/>
      <c r="IH44" s="156"/>
      <c r="II44" s="156"/>
      <c r="IJ44" s="156"/>
      <c r="IK44" s="156"/>
      <c r="IL44" s="156"/>
      <c r="IM44" s="156"/>
      <c r="IN44" s="156"/>
      <c r="IO44" s="156"/>
      <c r="IP44" s="156"/>
      <c r="IQ44" s="156"/>
      <c r="IR44" s="156"/>
      <c r="IS44" s="156"/>
      <c r="IT44" s="156"/>
      <c r="IU44" s="156"/>
      <c r="IV44" s="156"/>
    </row>
    <row r="45" spans="1:256" ht="13.5" thickBot="1">
      <c r="A45" s="1092" t="s">
        <v>50</v>
      </c>
      <c r="B45" s="1092"/>
      <c r="C45" s="507" t="s">
        <v>402</v>
      </c>
      <c r="D45" s="87" t="s">
        <v>403</v>
      </c>
      <c r="E45" s="88">
        <v>6653</v>
      </c>
      <c r="F45" s="51">
        <f>SUM(E45,E46,E47,E48)*(1-65%)</f>
        <v>2821</v>
      </c>
      <c r="G45" s="1062">
        <f>F45*B45</f>
        <v>0</v>
      </c>
      <c r="H45" s="51">
        <f>F45*0.0832+I30/12</f>
        <v>270.37386666666669</v>
      </c>
      <c r="I45" s="1062">
        <f>H45*B45</f>
        <v>0</v>
      </c>
      <c r="J45" s="51">
        <f>F45*0.0313+I30/12</f>
        <v>123.96396666666666</v>
      </c>
      <c r="K45" s="1062">
        <f>J45*B45</f>
        <v>0</v>
      </c>
      <c r="L45" s="51">
        <f>F45*0.0256+I30/12</f>
        <v>107.88426666666666</v>
      </c>
      <c r="M45" s="1062">
        <f>L45*B45</f>
        <v>0</v>
      </c>
      <c r="N45" s="51">
        <f>F45*0.0213+I30/12</f>
        <v>95.753966666666656</v>
      </c>
      <c r="O45" s="1062">
        <f>N45*B45</f>
        <v>0</v>
      </c>
      <c r="P45" s="154"/>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c r="BK45" s="155"/>
      <c r="BL45" s="155"/>
      <c r="BM45" s="155"/>
      <c r="BN45" s="155"/>
      <c r="BO45" s="155"/>
      <c r="BP45" s="155"/>
      <c r="BQ45" s="155"/>
      <c r="BR45" s="155"/>
      <c r="BS45" s="155"/>
      <c r="BT45" s="155"/>
      <c r="BU45" s="155"/>
      <c r="BV45" s="155"/>
      <c r="BW45" s="155"/>
      <c r="BX45" s="155"/>
      <c r="BY45" s="155"/>
      <c r="BZ45" s="155"/>
      <c r="CA45" s="155"/>
      <c r="CB45" s="155"/>
      <c r="CC45" s="155"/>
      <c r="CD45" s="155"/>
      <c r="CE45" s="155"/>
      <c r="CF45" s="155"/>
      <c r="CG45" s="155"/>
      <c r="CH45" s="155"/>
      <c r="CI45" s="155"/>
      <c r="CJ45" s="155"/>
      <c r="CK45" s="155"/>
      <c r="CL45" s="155"/>
      <c r="CM45" s="155"/>
      <c r="CN45" s="155"/>
      <c r="CO45" s="155"/>
      <c r="CP45" s="155"/>
      <c r="CQ45" s="155"/>
      <c r="CR45" s="155"/>
      <c r="CS45" s="155"/>
      <c r="CT45" s="155"/>
      <c r="CU45" s="155"/>
      <c r="CV45" s="155"/>
      <c r="CW45" s="155"/>
      <c r="CX45" s="155"/>
      <c r="CY45" s="155"/>
      <c r="CZ45" s="155"/>
      <c r="DA45" s="155"/>
      <c r="DB45" s="155"/>
      <c r="DC45" s="155"/>
      <c r="DD45" s="155"/>
      <c r="DE45" s="155"/>
      <c r="DF45" s="155"/>
      <c r="DG45" s="155"/>
      <c r="DH45" s="155"/>
      <c r="DI45" s="155"/>
      <c r="DJ45" s="155"/>
      <c r="DK45" s="155"/>
      <c r="DL45" s="155"/>
      <c r="DM45" s="155"/>
      <c r="DN45" s="155"/>
      <c r="DO45" s="155"/>
      <c r="DP45" s="155"/>
      <c r="DQ45" s="155"/>
      <c r="DR45" s="155"/>
      <c r="DS45" s="155"/>
      <c r="DT45" s="155"/>
      <c r="DU45" s="155"/>
      <c r="DV45" s="155"/>
      <c r="DW45" s="155"/>
      <c r="DX45" s="155"/>
      <c r="DY45" s="155"/>
      <c r="DZ45" s="155"/>
      <c r="EA45" s="155"/>
      <c r="EB45" s="155"/>
      <c r="EC45" s="155"/>
      <c r="ED45" s="155"/>
      <c r="EE45" s="155"/>
      <c r="EF45" s="155"/>
      <c r="EG45" s="155"/>
      <c r="EH45" s="155"/>
      <c r="EI45" s="155"/>
      <c r="EJ45" s="155"/>
      <c r="EK45" s="155"/>
      <c r="EL45" s="155"/>
      <c r="EM45" s="155"/>
      <c r="EN45" s="155"/>
      <c r="EO45" s="155"/>
      <c r="EP45" s="155"/>
      <c r="EQ45" s="155"/>
      <c r="ER45" s="155"/>
      <c r="ES45" s="155"/>
      <c r="ET45" s="155"/>
      <c r="EU45" s="155"/>
      <c r="EV45" s="155"/>
      <c r="EW45" s="155"/>
      <c r="EX45" s="155"/>
      <c r="EY45" s="155"/>
      <c r="EZ45" s="155"/>
      <c r="FA45" s="155"/>
      <c r="FB45" s="155"/>
      <c r="FC45" s="155"/>
      <c r="FD45" s="155"/>
      <c r="FE45" s="155"/>
      <c r="FF45" s="155"/>
      <c r="FG45" s="155"/>
      <c r="FH45" s="155"/>
      <c r="FI45" s="155"/>
      <c r="FJ45" s="155"/>
      <c r="FK45" s="155"/>
      <c r="FL45" s="155"/>
      <c r="FM45" s="155"/>
      <c r="FN45" s="155"/>
      <c r="FO45" s="155"/>
      <c r="FP45" s="155"/>
      <c r="FQ45" s="155"/>
      <c r="FR45" s="155"/>
      <c r="FS45" s="155"/>
      <c r="FT45" s="155"/>
      <c r="FU45" s="155"/>
      <c r="FV45" s="155"/>
      <c r="FW45" s="155"/>
      <c r="FX45" s="155"/>
      <c r="FY45" s="155"/>
      <c r="FZ45" s="155"/>
      <c r="GA45" s="155"/>
      <c r="GB45" s="155"/>
      <c r="GC45" s="155"/>
      <c r="GD45" s="155"/>
      <c r="GE45" s="155"/>
      <c r="GF45" s="155"/>
      <c r="GG45" s="155"/>
      <c r="GH45" s="155"/>
      <c r="GI45" s="155"/>
      <c r="GJ45" s="155"/>
      <c r="GK45" s="155"/>
      <c r="GL45" s="155"/>
      <c r="GM45" s="155"/>
      <c r="GN45" s="155"/>
      <c r="GO45" s="155"/>
      <c r="GP45" s="155"/>
      <c r="GQ45" s="155"/>
      <c r="GR45" s="155"/>
      <c r="GS45" s="155"/>
      <c r="GT45" s="155"/>
      <c r="GU45" s="155"/>
      <c r="GV45" s="155"/>
      <c r="GW45" s="155"/>
      <c r="GX45" s="155"/>
      <c r="GY45" s="155"/>
      <c r="GZ45" s="155"/>
      <c r="HA45" s="155"/>
      <c r="HB45" s="155"/>
      <c r="HC45" s="155"/>
      <c r="HD45" s="155"/>
      <c r="HE45" s="155"/>
      <c r="HF45" s="155"/>
      <c r="HG45" s="155"/>
      <c r="HH45" s="155"/>
      <c r="HI45" s="155"/>
      <c r="HJ45" s="155"/>
      <c r="HK45" s="155"/>
      <c r="HL45" s="155"/>
      <c r="HM45" s="155"/>
      <c r="HN45" s="155"/>
      <c r="HO45" s="155"/>
      <c r="HP45" s="155"/>
      <c r="HQ45" s="155"/>
      <c r="HR45" s="155"/>
      <c r="HS45" s="155"/>
      <c r="HT45" s="155"/>
      <c r="HU45" s="155"/>
      <c r="HV45" s="155"/>
      <c r="HW45" s="155"/>
      <c r="HX45" s="155"/>
      <c r="HY45" s="155"/>
      <c r="HZ45" s="155"/>
      <c r="IA45" s="155"/>
      <c r="IB45" s="155"/>
      <c r="IC45" s="155"/>
      <c r="ID45" s="155"/>
      <c r="IE45" s="155"/>
      <c r="IF45" s="155"/>
      <c r="IG45" s="155"/>
      <c r="IH45" s="155"/>
      <c r="II45" s="155"/>
      <c r="IJ45" s="155"/>
      <c r="IK45" s="155"/>
      <c r="IL45" s="155"/>
      <c r="IM45" s="155"/>
      <c r="IN45" s="155"/>
      <c r="IO45" s="155"/>
      <c r="IP45" s="155"/>
      <c r="IQ45" s="155"/>
      <c r="IR45" s="155"/>
      <c r="IS45" s="155"/>
      <c r="IT45" s="155"/>
      <c r="IU45" s="155"/>
      <c r="IV45" s="155"/>
    </row>
    <row r="46" spans="1:256" ht="13.5" thickBot="1">
      <c r="A46" s="1093"/>
      <c r="B46" s="1093"/>
      <c r="C46" s="508" t="s">
        <v>404</v>
      </c>
      <c r="D46" s="491" t="s">
        <v>405</v>
      </c>
      <c r="E46" s="92">
        <v>1077</v>
      </c>
      <c r="F46" s="422" t="s">
        <v>162</v>
      </c>
      <c r="G46" s="1090"/>
      <c r="H46" s="423" t="s">
        <v>162</v>
      </c>
      <c r="I46" s="1090"/>
      <c r="J46" s="423" t="s">
        <v>162</v>
      </c>
      <c r="K46" s="1090"/>
      <c r="L46" s="423" t="s">
        <v>162</v>
      </c>
      <c r="M46" s="1090"/>
      <c r="N46" s="423" t="s">
        <v>162</v>
      </c>
      <c r="O46" s="1090"/>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151"/>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c r="DV46" s="151"/>
      <c r="DW46" s="151"/>
      <c r="DX46" s="151"/>
      <c r="DY46" s="151"/>
      <c r="DZ46" s="151"/>
      <c r="EA46" s="151"/>
      <c r="EB46" s="151"/>
      <c r="EC46" s="151"/>
      <c r="ED46" s="151"/>
      <c r="EE46" s="151"/>
      <c r="EF46" s="151"/>
      <c r="EG46" s="151"/>
      <c r="EH46" s="151"/>
      <c r="EI46" s="151"/>
      <c r="EJ46" s="151"/>
      <c r="EK46" s="151"/>
      <c r="EL46" s="151"/>
      <c r="EM46" s="151"/>
      <c r="EN46" s="151"/>
      <c r="EO46" s="151"/>
      <c r="EP46" s="151"/>
      <c r="EQ46" s="151"/>
      <c r="ER46" s="151"/>
      <c r="ES46" s="151"/>
      <c r="ET46" s="151"/>
      <c r="EU46" s="151"/>
      <c r="EV46" s="151"/>
      <c r="EW46" s="151"/>
      <c r="EX46" s="151"/>
      <c r="EY46" s="151"/>
      <c r="EZ46" s="151"/>
      <c r="FA46" s="151"/>
      <c r="FB46" s="151"/>
      <c r="FC46" s="151"/>
      <c r="FD46" s="151"/>
      <c r="FE46" s="151"/>
      <c r="FF46" s="151"/>
      <c r="FG46" s="151"/>
      <c r="FH46" s="151"/>
      <c r="FI46" s="151"/>
      <c r="FJ46" s="151"/>
      <c r="FK46" s="151"/>
      <c r="FL46" s="151"/>
      <c r="FM46" s="151"/>
      <c r="FN46" s="151"/>
      <c r="FO46" s="151"/>
      <c r="FP46" s="151"/>
      <c r="FQ46" s="151"/>
      <c r="FR46" s="151"/>
      <c r="FS46" s="151"/>
      <c r="FT46" s="151"/>
      <c r="FU46" s="151"/>
      <c r="FV46" s="151"/>
      <c r="FW46" s="151"/>
      <c r="FX46" s="151"/>
      <c r="FY46" s="151"/>
      <c r="FZ46" s="151"/>
      <c r="GA46" s="151"/>
      <c r="GB46" s="151"/>
      <c r="GC46" s="151"/>
      <c r="GD46" s="151"/>
      <c r="GE46" s="151"/>
      <c r="GF46" s="151"/>
      <c r="GG46" s="151"/>
      <c r="GH46" s="151"/>
      <c r="GI46" s="151"/>
      <c r="GJ46" s="151"/>
      <c r="GK46" s="151"/>
      <c r="GL46" s="151"/>
      <c r="GM46" s="151"/>
      <c r="GN46" s="151"/>
      <c r="GO46" s="151"/>
      <c r="GP46" s="151"/>
      <c r="GQ46" s="151"/>
      <c r="GR46" s="151"/>
      <c r="GS46" s="151"/>
      <c r="GT46" s="151"/>
      <c r="GU46" s="151"/>
      <c r="GV46" s="151"/>
      <c r="GW46" s="151"/>
      <c r="GX46" s="151"/>
      <c r="GY46" s="151"/>
      <c r="GZ46" s="151"/>
      <c r="HA46" s="151"/>
      <c r="HB46" s="151"/>
      <c r="HC46" s="151"/>
      <c r="HD46" s="151"/>
      <c r="HE46" s="151"/>
      <c r="HF46" s="151"/>
      <c r="HG46" s="151"/>
      <c r="HH46" s="151"/>
      <c r="HI46" s="151"/>
      <c r="HJ46" s="151"/>
      <c r="HK46" s="151"/>
      <c r="HL46" s="151"/>
      <c r="HM46" s="151"/>
      <c r="HN46" s="151"/>
      <c r="HO46" s="151"/>
      <c r="HP46" s="151"/>
      <c r="HQ46" s="151"/>
      <c r="HR46" s="151"/>
      <c r="HS46" s="151"/>
      <c r="HT46" s="151"/>
      <c r="HU46" s="151"/>
      <c r="HV46" s="151"/>
      <c r="HW46" s="151"/>
      <c r="HX46" s="151"/>
      <c r="HY46" s="151"/>
      <c r="HZ46" s="151"/>
      <c r="IA46" s="151"/>
      <c r="IB46" s="151"/>
      <c r="IC46" s="151"/>
      <c r="ID46" s="151"/>
      <c r="IE46" s="151"/>
      <c r="IF46" s="151"/>
      <c r="IG46" s="151"/>
      <c r="IH46" s="151"/>
      <c r="II46" s="151"/>
      <c r="IJ46" s="151"/>
      <c r="IK46" s="151"/>
      <c r="IL46" s="151"/>
      <c r="IM46" s="151"/>
      <c r="IN46" s="151"/>
      <c r="IO46" s="151"/>
      <c r="IP46" s="151"/>
      <c r="IQ46" s="151"/>
      <c r="IR46" s="151"/>
      <c r="IS46" s="151"/>
      <c r="IT46" s="151"/>
      <c r="IU46" s="151"/>
      <c r="IV46" s="151"/>
    </row>
    <row r="47" spans="1:256" ht="13.5" thickBot="1">
      <c r="A47" s="1093"/>
      <c r="B47" s="1093"/>
      <c r="C47" s="478">
        <v>135310</v>
      </c>
      <c r="D47" s="491" t="s">
        <v>406</v>
      </c>
      <c r="E47" s="92">
        <v>255</v>
      </c>
      <c r="F47" s="52" t="s">
        <v>162</v>
      </c>
      <c r="G47" s="1090"/>
      <c r="H47" s="53" t="s">
        <v>162</v>
      </c>
      <c r="I47" s="1090"/>
      <c r="J47" s="53" t="s">
        <v>162</v>
      </c>
      <c r="K47" s="1090"/>
      <c r="L47" s="53" t="s">
        <v>162</v>
      </c>
      <c r="M47" s="1090"/>
      <c r="N47" s="53" t="s">
        <v>162</v>
      </c>
      <c r="O47" s="1090"/>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c r="CF47" s="156"/>
      <c r="CG47" s="156"/>
      <c r="CH47" s="156"/>
      <c r="CI47" s="156"/>
      <c r="CJ47" s="156"/>
      <c r="CK47" s="156"/>
      <c r="CL47" s="156"/>
      <c r="CM47" s="156"/>
      <c r="CN47" s="156"/>
      <c r="CO47" s="156"/>
      <c r="CP47" s="156"/>
      <c r="CQ47" s="156"/>
      <c r="CR47" s="156"/>
      <c r="CS47" s="156"/>
      <c r="CT47" s="156"/>
      <c r="CU47" s="156"/>
      <c r="CV47" s="156"/>
      <c r="CW47" s="156"/>
      <c r="CX47" s="156"/>
      <c r="CY47" s="156"/>
      <c r="CZ47" s="156"/>
      <c r="DA47" s="156"/>
      <c r="DB47" s="156"/>
      <c r="DC47" s="156"/>
      <c r="DD47" s="156"/>
      <c r="DE47" s="156"/>
      <c r="DF47" s="156"/>
      <c r="DG47" s="156"/>
      <c r="DH47" s="156"/>
      <c r="DI47" s="156"/>
      <c r="DJ47" s="156"/>
      <c r="DK47" s="156"/>
      <c r="DL47" s="156"/>
      <c r="DM47" s="156"/>
      <c r="DN47" s="156"/>
      <c r="DO47" s="156"/>
      <c r="DP47" s="156"/>
      <c r="DQ47" s="156"/>
      <c r="DR47" s="156"/>
      <c r="DS47" s="156"/>
      <c r="DT47" s="156"/>
      <c r="DU47" s="156"/>
      <c r="DV47" s="156"/>
      <c r="DW47" s="156"/>
      <c r="DX47" s="156"/>
      <c r="DY47" s="156"/>
      <c r="DZ47" s="156"/>
      <c r="EA47" s="156"/>
      <c r="EB47" s="156"/>
      <c r="EC47" s="156"/>
      <c r="ED47" s="156"/>
      <c r="EE47" s="156"/>
      <c r="EF47" s="156"/>
      <c r="EG47" s="156"/>
      <c r="EH47" s="156"/>
      <c r="EI47" s="156"/>
      <c r="EJ47" s="156"/>
      <c r="EK47" s="156"/>
      <c r="EL47" s="156"/>
      <c r="EM47" s="156"/>
      <c r="EN47" s="156"/>
      <c r="EO47" s="156"/>
      <c r="EP47" s="156"/>
      <c r="EQ47" s="156"/>
      <c r="ER47" s="156"/>
      <c r="ES47" s="156"/>
      <c r="ET47" s="156"/>
      <c r="EU47" s="156"/>
      <c r="EV47" s="156"/>
      <c r="EW47" s="156"/>
      <c r="EX47" s="156"/>
      <c r="EY47" s="156"/>
      <c r="EZ47" s="156"/>
      <c r="FA47" s="156"/>
      <c r="FB47" s="156"/>
      <c r="FC47" s="156"/>
      <c r="FD47" s="156"/>
      <c r="FE47" s="156"/>
      <c r="FF47" s="156"/>
      <c r="FG47" s="156"/>
      <c r="FH47" s="156"/>
      <c r="FI47" s="156"/>
      <c r="FJ47" s="156"/>
      <c r="FK47" s="156"/>
      <c r="FL47" s="156"/>
      <c r="FM47" s="156"/>
      <c r="FN47" s="156"/>
      <c r="FO47" s="156"/>
      <c r="FP47" s="156"/>
      <c r="FQ47" s="156"/>
      <c r="FR47" s="156"/>
      <c r="FS47" s="156"/>
      <c r="FT47" s="156"/>
      <c r="FU47" s="156"/>
      <c r="FV47" s="156"/>
      <c r="FW47" s="156"/>
      <c r="FX47" s="156"/>
      <c r="FY47" s="156"/>
      <c r="FZ47" s="156"/>
      <c r="GA47" s="156"/>
      <c r="GB47" s="156"/>
      <c r="GC47" s="156"/>
      <c r="GD47" s="156"/>
      <c r="GE47" s="156"/>
      <c r="GF47" s="156"/>
      <c r="GG47" s="156"/>
      <c r="GH47" s="156"/>
      <c r="GI47" s="156"/>
      <c r="GJ47" s="156"/>
      <c r="GK47" s="156"/>
      <c r="GL47" s="156"/>
      <c r="GM47" s="156"/>
      <c r="GN47" s="156"/>
      <c r="GO47" s="156"/>
      <c r="GP47" s="156"/>
      <c r="GQ47" s="156"/>
      <c r="GR47" s="156"/>
      <c r="GS47" s="156"/>
      <c r="GT47" s="156"/>
      <c r="GU47" s="156"/>
      <c r="GV47" s="156"/>
      <c r="GW47" s="156"/>
      <c r="GX47" s="156"/>
      <c r="GY47" s="156"/>
      <c r="GZ47" s="156"/>
      <c r="HA47" s="156"/>
      <c r="HB47" s="156"/>
      <c r="HC47" s="156"/>
      <c r="HD47" s="156"/>
      <c r="HE47" s="156"/>
      <c r="HF47" s="156"/>
      <c r="HG47" s="156"/>
      <c r="HH47" s="156"/>
      <c r="HI47" s="156"/>
      <c r="HJ47" s="156"/>
      <c r="HK47" s="156"/>
      <c r="HL47" s="156"/>
      <c r="HM47" s="156"/>
      <c r="HN47" s="156"/>
      <c r="HO47" s="156"/>
      <c r="HP47" s="156"/>
      <c r="HQ47" s="156"/>
      <c r="HR47" s="156"/>
      <c r="HS47" s="156"/>
      <c r="HT47" s="156"/>
      <c r="HU47" s="156"/>
      <c r="HV47" s="156"/>
      <c r="HW47" s="156"/>
      <c r="HX47" s="156"/>
      <c r="HY47" s="156"/>
      <c r="HZ47" s="156"/>
      <c r="IA47" s="156"/>
      <c r="IB47" s="156"/>
      <c r="IC47" s="156"/>
      <c r="ID47" s="156"/>
      <c r="IE47" s="156"/>
      <c r="IF47" s="156"/>
      <c r="IG47" s="156"/>
      <c r="IH47" s="156"/>
      <c r="II47" s="156"/>
      <c r="IJ47" s="156"/>
      <c r="IK47" s="156"/>
      <c r="IL47" s="156"/>
      <c r="IM47" s="156"/>
      <c r="IN47" s="156"/>
      <c r="IO47" s="156"/>
      <c r="IP47" s="156"/>
      <c r="IQ47" s="156"/>
      <c r="IR47" s="156"/>
      <c r="IS47" s="156"/>
      <c r="IT47" s="156"/>
      <c r="IU47" s="156"/>
      <c r="IV47" s="156"/>
    </row>
    <row r="48" spans="1:256" ht="13.5" thickBot="1">
      <c r="A48" s="1093"/>
      <c r="B48" s="1093"/>
      <c r="C48" s="478" t="s">
        <v>179</v>
      </c>
      <c r="D48" s="479" t="s">
        <v>180</v>
      </c>
      <c r="E48" s="92">
        <v>75</v>
      </c>
      <c r="F48" s="52" t="s">
        <v>162</v>
      </c>
      <c r="G48" s="1091"/>
      <c r="H48" s="53" t="s">
        <v>162</v>
      </c>
      <c r="I48" s="1091"/>
      <c r="J48" s="53" t="s">
        <v>162</v>
      </c>
      <c r="K48" s="1091"/>
      <c r="L48" s="53" t="s">
        <v>162</v>
      </c>
      <c r="M48" s="1091"/>
      <c r="N48" s="53" t="s">
        <v>162</v>
      </c>
      <c r="O48" s="1091"/>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c r="DF48" s="156"/>
      <c r="DG48" s="156"/>
      <c r="DH48" s="156"/>
      <c r="DI48" s="156"/>
      <c r="DJ48" s="156"/>
      <c r="DK48" s="156"/>
      <c r="DL48" s="156"/>
      <c r="DM48" s="156"/>
      <c r="DN48" s="156"/>
      <c r="DO48" s="156"/>
      <c r="DP48" s="156"/>
      <c r="DQ48" s="156"/>
      <c r="DR48" s="156"/>
      <c r="DS48" s="156"/>
      <c r="DT48" s="156"/>
      <c r="DU48" s="156"/>
      <c r="DV48" s="156"/>
      <c r="DW48" s="156"/>
      <c r="DX48" s="156"/>
      <c r="DY48" s="156"/>
      <c r="DZ48" s="156"/>
      <c r="EA48" s="156"/>
      <c r="EB48" s="156"/>
      <c r="EC48" s="156"/>
      <c r="ED48" s="156"/>
      <c r="EE48" s="156"/>
      <c r="EF48" s="156"/>
      <c r="EG48" s="156"/>
      <c r="EH48" s="156"/>
      <c r="EI48" s="156"/>
      <c r="EJ48" s="156"/>
      <c r="EK48" s="156"/>
      <c r="EL48" s="156"/>
      <c r="EM48" s="156"/>
      <c r="EN48" s="156"/>
      <c r="EO48" s="156"/>
      <c r="EP48" s="156"/>
      <c r="EQ48" s="156"/>
      <c r="ER48" s="156"/>
      <c r="ES48" s="156"/>
      <c r="ET48" s="156"/>
      <c r="EU48" s="156"/>
      <c r="EV48" s="156"/>
      <c r="EW48" s="156"/>
      <c r="EX48" s="156"/>
      <c r="EY48" s="156"/>
      <c r="EZ48" s="156"/>
      <c r="FA48" s="156"/>
      <c r="FB48" s="156"/>
      <c r="FC48" s="156"/>
      <c r="FD48" s="156"/>
      <c r="FE48" s="156"/>
      <c r="FF48" s="156"/>
      <c r="FG48" s="156"/>
      <c r="FH48" s="156"/>
      <c r="FI48" s="156"/>
      <c r="FJ48" s="156"/>
      <c r="FK48" s="156"/>
      <c r="FL48" s="156"/>
      <c r="FM48" s="156"/>
      <c r="FN48" s="156"/>
      <c r="FO48" s="156"/>
      <c r="FP48" s="156"/>
      <c r="FQ48" s="156"/>
      <c r="FR48" s="156"/>
      <c r="FS48" s="156"/>
      <c r="FT48" s="156"/>
      <c r="FU48" s="156"/>
      <c r="FV48" s="156"/>
      <c r="FW48" s="156"/>
      <c r="FX48" s="156"/>
      <c r="FY48" s="156"/>
      <c r="FZ48" s="156"/>
      <c r="GA48" s="156"/>
      <c r="GB48" s="156"/>
      <c r="GC48" s="156"/>
      <c r="GD48" s="156"/>
      <c r="GE48" s="156"/>
      <c r="GF48" s="156"/>
      <c r="GG48" s="156"/>
      <c r="GH48" s="156"/>
      <c r="GI48" s="156"/>
      <c r="GJ48" s="156"/>
      <c r="GK48" s="156"/>
      <c r="GL48" s="156"/>
      <c r="GM48" s="156"/>
      <c r="GN48" s="156"/>
      <c r="GO48" s="156"/>
      <c r="GP48" s="156"/>
      <c r="GQ48" s="156"/>
      <c r="GR48" s="156"/>
      <c r="GS48" s="156"/>
      <c r="GT48" s="156"/>
      <c r="GU48" s="156"/>
      <c r="GV48" s="156"/>
      <c r="GW48" s="156"/>
      <c r="GX48" s="156"/>
      <c r="GY48" s="156"/>
      <c r="GZ48" s="156"/>
      <c r="HA48" s="156"/>
      <c r="HB48" s="156"/>
      <c r="HC48" s="156"/>
      <c r="HD48" s="156"/>
      <c r="HE48" s="156"/>
      <c r="HF48" s="156"/>
      <c r="HG48" s="156"/>
      <c r="HH48" s="156"/>
      <c r="HI48" s="156"/>
      <c r="HJ48" s="156"/>
      <c r="HK48" s="156"/>
      <c r="HL48" s="156"/>
      <c r="HM48" s="156"/>
      <c r="HN48" s="156"/>
      <c r="HO48" s="156"/>
      <c r="HP48" s="156"/>
      <c r="HQ48" s="156"/>
      <c r="HR48" s="156"/>
      <c r="HS48" s="156"/>
      <c r="HT48" s="156"/>
      <c r="HU48" s="156"/>
      <c r="HV48" s="156"/>
      <c r="HW48" s="156"/>
      <c r="HX48" s="156"/>
      <c r="HY48" s="156"/>
      <c r="HZ48" s="156"/>
      <c r="IA48" s="156"/>
      <c r="IB48" s="156"/>
      <c r="IC48" s="156"/>
      <c r="ID48" s="156"/>
      <c r="IE48" s="156"/>
      <c r="IF48" s="156"/>
      <c r="IG48" s="156"/>
      <c r="IH48" s="156"/>
      <c r="II48" s="156"/>
      <c r="IJ48" s="156"/>
      <c r="IK48" s="156"/>
      <c r="IL48" s="156"/>
      <c r="IM48" s="156"/>
      <c r="IN48" s="156"/>
      <c r="IO48" s="156"/>
      <c r="IP48" s="156"/>
      <c r="IQ48" s="156"/>
      <c r="IR48" s="156"/>
      <c r="IS48" s="156"/>
      <c r="IT48" s="156"/>
      <c r="IU48" s="156"/>
      <c r="IV48" s="156"/>
    </row>
    <row r="49" spans="1:256" ht="13.5" thickBot="1">
      <c r="A49" s="94"/>
      <c r="B49" s="95"/>
      <c r="C49" s="96"/>
      <c r="D49" s="97"/>
      <c r="E49" s="98"/>
      <c r="F49" s="54"/>
      <c r="G49" s="41"/>
      <c r="H49" s="57"/>
      <c r="I49" s="41"/>
      <c r="J49" s="57"/>
      <c r="K49" s="42"/>
      <c r="L49" s="57"/>
      <c r="M49" s="41"/>
      <c r="N49" s="57"/>
      <c r="O49" s="42"/>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c r="CG49" s="156"/>
      <c r="CH49" s="156"/>
      <c r="CI49" s="156"/>
      <c r="CJ49" s="156"/>
      <c r="CK49" s="156"/>
      <c r="CL49" s="156"/>
      <c r="CM49" s="156"/>
      <c r="CN49" s="156"/>
      <c r="CO49" s="156"/>
      <c r="CP49" s="156"/>
      <c r="CQ49" s="156"/>
      <c r="CR49" s="156"/>
      <c r="CS49" s="156"/>
      <c r="CT49" s="156"/>
      <c r="CU49" s="156"/>
      <c r="CV49" s="156"/>
      <c r="CW49" s="156"/>
      <c r="CX49" s="156"/>
      <c r="CY49" s="156"/>
      <c r="CZ49" s="156"/>
      <c r="DA49" s="156"/>
      <c r="DB49" s="156"/>
      <c r="DC49" s="156"/>
      <c r="DD49" s="156"/>
      <c r="DE49" s="156"/>
      <c r="DF49" s="156"/>
      <c r="DG49" s="156"/>
      <c r="DH49" s="156"/>
      <c r="DI49" s="156"/>
      <c r="DJ49" s="156"/>
      <c r="DK49" s="156"/>
      <c r="DL49" s="156"/>
      <c r="DM49" s="156"/>
      <c r="DN49" s="156"/>
      <c r="DO49" s="156"/>
      <c r="DP49" s="156"/>
      <c r="DQ49" s="156"/>
      <c r="DR49" s="156"/>
      <c r="DS49" s="156"/>
      <c r="DT49" s="156"/>
      <c r="DU49" s="156"/>
      <c r="DV49" s="156"/>
      <c r="DW49" s="156"/>
      <c r="DX49" s="156"/>
      <c r="DY49" s="156"/>
      <c r="DZ49" s="156"/>
      <c r="EA49" s="156"/>
      <c r="EB49" s="156"/>
      <c r="EC49" s="156"/>
      <c r="ED49" s="156"/>
      <c r="EE49" s="156"/>
      <c r="EF49" s="156"/>
      <c r="EG49" s="156"/>
      <c r="EH49" s="156"/>
      <c r="EI49" s="156"/>
      <c r="EJ49" s="156"/>
      <c r="EK49" s="156"/>
      <c r="EL49" s="156"/>
      <c r="EM49" s="156"/>
      <c r="EN49" s="156"/>
      <c r="EO49" s="156"/>
      <c r="EP49" s="156"/>
      <c r="EQ49" s="156"/>
      <c r="ER49" s="156"/>
      <c r="ES49" s="156"/>
      <c r="ET49" s="156"/>
      <c r="EU49" s="156"/>
      <c r="EV49" s="156"/>
      <c r="EW49" s="156"/>
      <c r="EX49" s="156"/>
      <c r="EY49" s="156"/>
      <c r="EZ49" s="156"/>
      <c r="FA49" s="156"/>
      <c r="FB49" s="156"/>
      <c r="FC49" s="156"/>
      <c r="FD49" s="156"/>
      <c r="FE49" s="156"/>
      <c r="FF49" s="156"/>
      <c r="FG49" s="156"/>
      <c r="FH49" s="156"/>
      <c r="FI49" s="156"/>
      <c r="FJ49" s="156"/>
      <c r="FK49" s="156"/>
      <c r="FL49" s="156"/>
      <c r="FM49" s="156"/>
      <c r="FN49" s="156"/>
      <c r="FO49" s="156"/>
      <c r="FP49" s="156"/>
      <c r="FQ49" s="156"/>
      <c r="FR49" s="156"/>
      <c r="FS49" s="156"/>
      <c r="FT49" s="156"/>
      <c r="FU49" s="156"/>
      <c r="FV49" s="156"/>
      <c r="FW49" s="156"/>
      <c r="FX49" s="156"/>
      <c r="FY49" s="156"/>
      <c r="FZ49" s="156"/>
      <c r="GA49" s="156"/>
      <c r="GB49" s="156"/>
      <c r="GC49" s="156"/>
      <c r="GD49" s="156"/>
      <c r="GE49" s="156"/>
      <c r="GF49" s="156"/>
      <c r="GG49" s="156"/>
      <c r="GH49" s="156"/>
      <c r="GI49" s="156"/>
      <c r="GJ49" s="156"/>
      <c r="GK49" s="156"/>
      <c r="GL49" s="156"/>
      <c r="GM49" s="156"/>
      <c r="GN49" s="156"/>
      <c r="GO49" s="156"/>
      <c r="GP49" s="156"/>
      <c r="GQ49" s="156"/>
      <c r="GR49" s="156"/>
      <c r="GS49" s="156"/>
      <c r="GT49" s="156"/>
      <c r="GU49" s="156"/>
      <c r="GV49" s="156"/>
      <c r="GW49" s="156"/>
      <c r="GX49" s="156"/>
      <c r="GY49" s="156"/>
      <c r="GZ49" s="156"/>
      <c r="HA49" s="156"/>
      <c r="HB49" s="156"/>
      <c r="HC49" s="156"/>
      <c r="HD49" s="156"/>
      <c r="HE49" s="156"/>
      <c r="HF49" s="156"/>
      <c r="HG49" s="156"/>
      <c r="HH49" s="156"/>
      <c r="HI49" s="156"/>
      <c r="HJ49" s="156"/>
      <c r="HK49" s="156"/>
      <c r="HL49" s="156"/>
      <c r="HM49" s="156"/>
      <c r="HN49" s="156"/>
      <c r="HO49" s="156"/>
      <c r="HP49" s="156"/>
      <c r="HQ49" s="156"/>
      <c r="HR49" s="156"/>
      <c r="HS49" s="156"/>
      <c r="HT49" s="156"/>
      <c r="HU49" s="156"/>
      <c r="HV49" s="156"/>
      <c r="HW49" s="156"/>
      <c r="HX49" s="156"/>
      <c r="HY49" s="156"/>
      <c r="HZ49" s="156"/>
      <c r="IA49" s="156"/>
      <c r="IB49" s="156"/>
      <c r="IC49" s="156"/>
      <c r="ID49" s="156"/>
      <c r="IE49" s="156"/>
      <c r="IF49" s="156"/>
      <c r="IG49" s="156"/>
      <c r="IH49" s="156"/>
      <c r="II49" s="156"/>
      <c r="IJ49" s="156"/>
      <c r="IK49" s="156"/>
      <c r="IL49" s="156"/>
      <c r="IM49" s="156"/>
      <c r="IN49" s="156"/>
      <c r="IO49" s="156"/>
      <c r="IP49" s="156"/>
      <c r="IQ49" s="156"/>
      <c r="IR49" s="156"/>
      <c r="IS49" s="156"/>
      <c r="IT49" s="156"/>
      <c r="IU49" s="156"/>
      <c r="IV49" s="156"/>
    </row>
    <row r="50" spans="1:256" ht="13.5" thickBot="1">
      <c r="A50" s="1092" t="s">
        <v>51</v>
      </c>
      <c r="B50" s="1092"/>
      <c r="C50" s="507" t="s">
        <v>402</v>
      </c>
      <c r="D50" s="87" t="s">
        <v>403</v>
      </c>
      <c r="E50" s="88">
        <v>6653</v>
      </c>
      <c r="F50" s="51">
        <f>SUM(E50,E51,E52,E53)*(1-65%)</f>
        <v>2821</v>
      </c>
      <c r="G50" s="1062">
        <f>F50*B50</f>
        <v>0</v>
      </c>
      <c r="H50" s="51">
        <f>F50*0.0832+N30/12</f>
        <v>288.2072</v>
      </c>
      <c r="I50" s="1062">
        <f>H50*B50</f>
        <v>0</v>
      </c>
      <c r="J50" s="51">
        <f>F50*0.0313+N30/12</f>
        <v>141.79730000000001</v>
      </c>
      <c r="K50" s="1062">
        <f>J50*B50</f>
        <v>0</v>
      </c>
      <c r="L50" s="51">
        <f>F50*0.0256+N30/12</f>
        <v>125.7176</v>
      </c>
      <c r="M50" s="1062">
        <f>L50*B50</f>
        <v>0</v>
      </c>
      <c r="N50" s="51">
        <f>F50*0.0213+N30/12</f>
        <v>113.5873</v>
      </c>
      <c r="O50" s="1062">
        <f>N50*B50</f>
        <v>0</v>
      </c>
      <c r="P50" s="154"/>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c r="BK50" s="155"/>
      <c r="BL50" s="155"/>
      <c r="BM50" s="155"/>
      <c r="BN50" s="155"/>
      <c r="BO50" s="155"/>
      <c r="BP50" s="155"/>
      <c r="BQ50" s="155"/>
      <c r="BR50" s="155"/>
      <c r="BS50" s="155"/>
      <c r="BT50" s="155"/>
      <c r="BU50" s="155"/>
      <c r="BV50" s="155"/>
      <c r="BW50" s="155"/>
      <c r="BX50" s="155"/>
      <c r="BY50" s="155"/>
      <c r="BZ50" s="155"/>
      <c r="CA50" s="155"/>
      <c r="CB50" s="155"/>
      <c r="CC50" s="155"/>
      <c r="CD50" s="155"/>
      <c r="CE50" s="155"/>
      <c r="CF50" s="155"/>
      <c r="CG50" s="155"/>
      <c r="CH50" s="155"/>
      <c r="CI50" s="155"/>
      <c r="CJ50" s="155"/>
      <c r="CK50" s="155"/>
      <c r="CL50" s="155"/>
      <c r="CM50" s="155"/>
      <c r="CN50" s="155"/>
      <c r="CO50" s="155"/>
      <c r="CP50" s="155"/>
      <c r="CQ50" s="155"/>
      <c r="CR50" s="155"/>
      <c r="CS50" s="155"/>
      <c r="CT50" s="155"/>
      <c r="CU50" s="155"/>
      <c r="CV50" s="155"/>
      <c r="CW50" s="155"/>
      <c r="CX50" s="155"/>
      <c r="CY50" s="155"/>
      <c r="CZ50" s="155"/>
      <c r="DA50" s="155"/>
      <c r="DB50" s="155"/>
      <c r="DC50" s="155"/>
      <c r="DD50" s="155"/>
      <c r="DE50" s="155"/>
      <c r="DF50" s="155"/>
      <c r="DG50" s="155"/>
      <c r="DH50" s="155"/>
      <c r="DI50" s="155"/>
      <c r="DJ50" s="155"/>
      <c r="DK50" s="155"/>
      <c r="DL50" s="155"/>
      <c r="DM50" s="155"/>
      <c r="DN50" s="155"/>
      <c r="DO50" s="155"/>
      <c r="DP50" s="155"/>
      <c r="DQ50" s="155"/>
      <c r="DR50" s="155"/>
      <c r="DS50" s="155"/>
      <c r="DT50" s="155"/>
      <c r="DU50" s="155"/>
      <c r="DV50" s="155"/>
      <c r="DW50" s="155"/>
      <c r="DX50" s="155"/>
      <c r="DY50" s="155"/>
      <c r="DZ50" s="155"/>
      <c r="EA50" s="155"/>
      <c r="EB50" s="155"/>
      <c r="EC50" s="155"/>
      <c r="ED50" s="155"/>
      <c r="EE50" s="155"/>
      <c r="EF50" s="155"/>
      <c r="EG50" s="155"/>
      <c r="EH50" s="155"/>
      <c r="EI50" s="155"/>
      <c r="EJ50" s="155"/>
      <c r="EK50" s="155"/>
      <c r="EL50" s="155"/>
      <c r="EM50" s="155"/>
      <c r="EN50" s="155"/>
      <c r="EO50" s="155"/>
      <c r="EP50" s="155"/>
      <c r="EQ50" s="155"/>
      <c r="ER50" s="155"/>
      <c r="ES50" s="155"/>
      <c r="ET50" s="155"/>
      <c r="EU50" s="155"/>
      <c r="EV50" s="155"/>
      <c r="EW50" s="155"/>
      <c r="EX50" s="155"/>
      <c r="EY50" s="155"/>
      <c r="EZ50" s="155"/>
      <c r="FA50" s="155"/>
      <c r="FB50" s="155"/>
      <c r="FC50" s="155"/>
      <c r="FD50" s="155"/>
      <c r="FE50" s="155"/>
      <c r="FF50" s="155"/>
      <c r="FG50" s="155"/>
      <c r="FH50" s="155"/>
      <c r="FI50" s="155"/>
      <c r="FJ50" s="155"/>
      <c r="FK50" s="155"/>
      <c r="FL50" s="155"/>
      <c r="FM50" s="155"/>
      <c r="FN50" s="155"/>
      <c r="FO50" s="155"/>
      <c r="FP50" s="155"/>
      <c r="FQ50" s="155"/>
      <c r="FR50" s="155"/>
      <c r="FS50" s="155"/>
      <c r="FT50" s="155"/>
      <c r="FU50" s="155"/>
      <c r="FV50" s="155"/>
      <c r="FW50" s="155"/>
      <c r="FX50" s="155"/>
      <c r="FY50" s="155"/>
      <c r="FZ50" s="155"/>
      <c r="GA50" s="155"/>
      <c r="GB50" s="155"/>
      <c r="GC50" s="155"/>
      <c r="GD50" s="155"/>
      <c r="GE50" s="155"/>
      <c r="GF50" s="155"/>
      <c r="GG50" s="155"/>
      <c r="GH50" s="155"/>
      <c r="GI50" s="155"/>
      <c r="GJ50" s="155"/>
      <c r="GK50" s="155"/>
      <c r="GL50" s="155"/>
      <c r="GM50" s="155"/>
      <c r="GN50" s="155"/>
      <c r="GO50" s="155"/>
      <c r="GP50" s="155"/>
      <c r="GQ50" s="155"/>
      <c r="GR50" s="155"/>
      <c r="GS50" s="155"/>
      <c r="GT50" s="155"/>
      <c r="GU50" s="155"/>
      <c r="GV50" s="155"/>
      <c r="GW50" s="155"/>
      <c r="GX50" s="155"/>
      <c r="GY50" s="155"/>
      <c r="GZ50" s="155"/>
      <c r="HA50" s="155"/>
      <c r="HB50" s="155"/>
      <c r="HC50" s="155"/>
      <c r="HD50" s="155"/>
      <c r="HE50" s="155"/>
      <c r="HF50" s="155"/>
      <c r="HG50" s="155"/>
      <c r="HH50" s="155"/>
      <c r="HI50" s="155"/>
      <c r="HJ50" s="155"/>
      <c r="HK50" s="155"/>
      <c r="HL50" s="155"/>
      <c r="HM50" s="155"/>
      <c r="HN50" s="155"/>
      <c r="HO50" s="155"/>
      <c r="HP50" s="155"/>
      <c r="HQ50" s="155"/>
      <c r="HR50" s="155"/>
      <c r="HS50" s="155"/>
      <c r="HT50" s="155"/>
      <c r="HU50" s="155"/>
      <c r="HV50" s="155"/>
      <c r="HW50" s="155"/>
      <c r="HX50" s="155"/>
      <c r="HY50" s="155"/>
      <c r="HZ50" s="155"/>
      <c r="IA50" s="155"/>
      <c r="IB50" s="155"/>
      <c r="IC50" s="155"/>
      <c r="ID50" s="155"/>
      <c r="IE50" s="155"/>
      <c r="IF50" s="155"/>
      <c r="IG50" s="155"/>
      <c r="IH50" s="155"/>
      <c r="II50" s="155"/>
      <c r="IJ50" s="155"/>
      <c r="IK50" s="155"/>
      <c r="IL50" s="155"/>
      <c r="IM50" s="155"/>
      <c r="IN50" s="155"/>
      <c r="IO50" s="155"/>
      <c r="IP50" s="155"/>
      <c r="IQ50" s="155"/>
      <c r="IR50" s="155"/>
      <c r="IS50" s="155"/>
      <c r="IT50" s="155"/>
      <c r="IU50" s="155"/>
      <c r="IV50" s="155"/>
    </row>
    <row r="51" spans="1:256" ht="13.5" thickBot="1">
      <c r="A51" s="1093"/>
      <c r="B51" s="1093"/>
      <c r="C51" s="508" t="s">
        <v>404</v>
      </c>
      <c r="D51" s="491" t="s">
        <v>405</v>
      </c>
      <c r="E51" s="92">
        <v>1077</v>
      </c>
      <c r="F51" s="52" t="s">
        <v>162</v>
      </c>
      <c r="G51" s="1090"/>
      <c r="H51" s="53" t="s">
        <v>162</v>
      </c>
      <c r="I51" s="1090"/>
      <c r="J51" s="53" t="s">
        <v>162</v>
      </c>
      <c r="K51" s="1090"/>
      <c r="L51" s="53" t="s">
        <v>162</v>
      </c>
      <c r="M51" s="1090"/>
      <c r="N51" s="53" t="s">
        <v>162</v>
      </c>
      <c r="O51" s="1090"/>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c r="EA51" s="151"/>
      <c r="EB51" s="151"/>
      <c r="EC51" s="151"/>
      <c r="ED51" s="151"/>
      <c r="EE51" s="151"/>
      <c r="EF51" s="151"/>
      <c r="EG51" s="151"/>
      <c r="EH51" s="151"/>
      <c r="EI51" s="151"/>
      <c r="EJ51" s="151"/>
      <c r="EK51" s="151"/>
      <c r="EL51" s="151"/>
      <c r="EM51" s="151"/>
      <c r="EN51" s="151"/>
      <c r="EO51" s="151"/>
      <c r="EP51" s="151"/>
      <c r="EQ51" s="151"/>
      <c r="ER51" s="151"/>
      <c r="ES51" s="151"/>
      <c r="ET51" s="151"/>
      <c r="EU51" s="151"/>
      <c r="EV51" s="151"/>
      <c r="EW51" s="151"/>
      <c r="EX51" s="151"/>
      <c r="EY51" s="151"/>
      <c r="EZ51" s="151"/>
      <c r="FA51" s="151"/>
      <c r="FB51" s="151"/>
      <c r="FC51" s="151"/>
      <c r="FD51" s="151"/>
      <c r="FE51" s="151"/>
      <c r="FF51" s="151"/>
      <c r="FG51" s="151"/>
      <c r="FH51" s="151"/>
      <c r="FI51" s="151"/>
      <c r="FJ51" s="151"/>
      <c r="FK51" s="151"/>
      <c r="FL51" s="151"/>
      <c r="FM51" s="151"/>
      <c r="FN51" s="151"/>
      <c r="FO51" s="151"/>
      <c r="FP51" s="151"/>
      <c r="FQ51" s="151"/>
      <c r="FR51" s="151"/>
      <c r="FS51" s="151"/>
      <c r="FT51" s="151"/>
      <c r="FU51" s="151"/>
      <c r="FV51" s="151"/>
      <c r="FW51" s="151"/>
      <c r="FX51" s="151"/>
      <c r="FY51" s="151"/>
      <c r="FZ51" s="151"/>
      <c r="GA51" s="151"/>
      <c r="GB51" s="151"/>
      <c r="GC51" s="151"/>
      <c r="GD51" s="151"/>
      <c r="GE51" s="151"/>
      <c r="GF51" s="151"/>
      <c r="GG51" s="151"/>
      <c r="GH51" s="151"/>
      <c r="GI51" s="151"/>
      <c r="GJ51" s="151"/>
      <c r="GK51" s="151"/>
      <c r="GL51" s="151"/>
      <c r="GM51" s="151"/>
      <c r="GN51" s="151"/>
      <c r="GO51" s="151"/>
      <c r="GP51" s="151"/>
      <c r="GQ51" s="151"/>
      <c r="GR51" s="151"/>
      <c r="GS51" s="151"/>
      <c r="GT51" s="151"/>
      <c r="GU51" s="151"/>
      <c r="GV51" s="151"/>
      <c r="GW51" s="151"/>
      <c r="GX51" s="151"/>
      <c r="GY51" s="151"/>
      <c r="GZ51" s="151"/>
      <c r="HA51" s="151"/>
      <c r="HB51" s="151"/>
      <c r="HC51" s="151"/>
      <c r="HD51" s="151"/>
      <c r="HE51" s="151"/>
      <c r="HF51" s="151"/>
      <c r="HG51" s="151"/>
      <c r="HH51" s="151"/>
      <c r="HI51" s="151"/>
      <c r="HJ51" s="151"/>
      <c r="HK51" s="151"/>
      <c r="HL51" s="151"/>
      <c r="HM51" s="151"/>
      <c r="HN51" s="151"/>
      <c r="HO51" s="151"/>
      <c r="HP51" s="151"/>
      <c r="HQ51" s="151"/>
      <c r="HR51" s="151"/>
      <c r="HS51" s="151"/>
      <c r="HT51" s="151"/>
      <c r="HU51" s="151"/>
      <c r="HV51" s="151"/>
      <c r="HW51" s="151"/>
      <c r="HX51" s="151"/>
      <c r="HY51" s="151"/>
      <c r="HZ51" s="151"/>
      <c r="IA51" s="151"/>
      <c r="IB51" s="151"/>
      <c r="IC51" s="151"/>
      <c r="ID51" s="151"/>
      <c r="IE51" s="151"/>
      <c r="IF51" s="151"/>
      <c r="IG51" s="151"/>
      <c r="IH51" s="151"/>
      <c r="II51" s="151"/>
      <c r="IJ51" s="151"/>
      <c r="IK51" s="151"/>
      <c r="IL51" s="151"/>
      <c r="IM51" s="151"/>
      <c r="IN51" s="151"/>
      <c r="IO51" s="151"/>
      <c r="IP51" s="151"/>
      <c r="IQ51" s="151"/>
      <c r="IR51" s="151"/>
      <c r="IS51" s="151"/>
      <c r="IT51" s="151"/>
      <c r="IU51" s="151"/>
      <c r="IV51" s="151"/>
    </row>
    <row r="52" spans="1:256" ht="13.5" thickBot="1">
      <c r="A52" s="1093"/>
      <c r="B52" s="1093"/>
      <c r="C52" s="478">
        <v>135310</v>
      </c>
      <c r="D52" s="491" t="s">
        <v>406</v>
      </c>
      <c r="E52" s="92">
        <v>255</v>
      </c>
      <c r="F52" s="52" t="s">
        <v>162</v>
      </c>
      <c r="G52" s="1090"/>
      <c r="H52" s="53" t="s">
        <v>162</v>
      </c>
      <c r="I52" s="1090"/>
      <c r="J52" s="53" t="s">
        <v>162</v>
      </c>
      <c r="K52" s="1090"/>
      <c r="L52" s="53" t="s">
        <v>162</v>
      </c>
      <c r="M52" s="1090"/>
      <c r="N52" s="53" t="s">
        <v>162</v>
      </c>
      <c r="O52" s="1090"/>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c r="CG52" s="156"/>
      <c r="CH52" s="156"/>
      <c r="CI52" s="156"/>
      <c r="CJ52" s="156"/>
      <c r="CK52" s="156"/>
      <c r="CL52" s="156"/>
      <c r="CM52" s="156"/>
      <c r="CN52" s="156"/>
      <c r="CO52" s="156"/>
      <c r="CP52" s="156"/>
      <c r="CQ52" s="156"/>
      <c r="CR52" s="156"/>
      <c r="CS52" s="156"/>
      <c r="CT52" s="156"/>
      <c r="CU52" s="156"/>
      <c r="CV52" s="156"/>
      <c r="CW52" s="156"/>
      <c r="CX52" s="156"/>
      <c r="CY52" s="156"/>
      <c r="CZ52" s="156"/>
      <c r="DA52" s="156"/>
      <c r="DB52" s="156"/>
      <c r="DC52" s="156"/>
      <c r="DD52" s="156"/>
      <c r="DE52" s="156"/>
      <c r="DF52" s="156"/>
      <c r="DG52" s="156"/>
      <c r="DH52" s="156"/>
      <c r="DI52" s="156"/>
      <c r="DJ52" s="156"/>
      <c r="DK52" s="156"/>
      <c r="DL52" s="156"/>
      <c r="DM52" s="156"/>
      <c r="DN52" s="156"/>
      <c r="DO52" s="156"/>
      <c r="DP52" s="156"/>
      <c r="DQ52" s="156"/>
      <c r="DR52" s="156"/>
      <c r="DS52" s="156"/>
      <c r="DT52" s="156"/>
      <c r="DU52" s="156"/>
      <c r="DV52" s="156"/>
      <c r="DW52" s="156"/>
      <c r="DX52" s="156"/>
      <c r="DY52" s="156"/>
      <c r="DZ52" s="156"/>
      <c r="EA52" s="156"/>
      <c r="EB52" s="156"/>
      <c r="EC52" s="156"/>
      <c r="ED52" s="156"/>
      <c r="EE52" s="156"/>
      <c r="EF52" s="156"/>
      <c r="EG52" s="156"/>
      <c r="EH52" s="156"/>
      <c r="EI52" s="156"/>
      <c r="EJ52" s="156"/>
      <c r="EK52" s="156"/>
      <c r="EL52" s="156"/>
      <c r="EM52" s="156"/>
      <c r="EN52" s="156"/>
      <c r="EO52" s="156"/>
      <c r="EP52" s="156"/>
      <c r="EQ52" s="156"/>
      <c r="ER52" s="156"/>
      <c r="ES52" s="156"/>
      <c r="ET52" s="156"/>
      <c r="EU52" s="156"/>
      <c r="EV52" s="156"/>
      <c r="EW52" s="156"/>
      <c r="EX52" s="156"/>
      <c r="EY52" s="156"/>
      <c r="EZ52" s="156"/>
      <c r="FA52" s="156"/>
      <c r="FB52" s="156"/>
      <c r="FC52" s="156"/>
      <c r="FD52" s="156"/>
      <c r="FE52" s="156"/>
      <c r="FF52" s="156"/>
      <c r="FG52" s="156"/>
      <c r="FH52" s="156"/>
      <c r="FI52" s="156"/>
      <c r="FJ52" s="156"/>
      <c r="FK52" s="156"/>
      <c r="FL52" s="156"/>
      <c r="FM52" s="156"/>
      <c r="FN52" s="156"/>
      <c r="FO52" s="156"/>
      <c r="FP52" s="156"/>
      <c r="FQ52" s="156"/>
      <c r="FR52" s="156"/>
      <c r="FS52" s="156"/>
      <c r="FT52" s="156"/>
      <c r="FU52" s="156"/>
      <c r="FV52" s="156"/>
      <c r="FW52" s="156"/>
      <c r="FX52" s="156"/>
      <c r="FY52" s="156"/>
      <c r="FZ52" s="156"/>
      <c r="GA52" s="156"/>
      <c r="GB52" s="156"/>
      <c r="GC52" s="156"/>
      <c r="GD52" s="156"/>
      <c r="GE52" s="156"/>
      <c r="GF52" s="156"/>
      <c r="GG52" s="156"/>
      <c r="GH52" s="156"/>
      <c r="GI52" s="156"/>
      <c r="GJ52" s="156"/>
      <c r="GK52" s="156"/>
      <c r="GL52" s="156"/>
      <c r="GM52" s="156"/>
      <c r="GN52" s="156"/>
      <c r="GO52" s="156"/>
      <c r="GP52" s="156"/>
      <c r="GQ52" s="156"/>
      <c r="GR52" s="156"/>
      <c r="GS52" s="156"/>
      <c r="GT52" s="156"/>
      <c r="GU52" s="156"/>
      <c r="GV52" s="156"/>
      <c r="GW52" s="156"/>
      <c r="GX52" s="156"/>
      <c r="GY52" s="156"/>
      <c r="GZ52" s="156"/>
      <c r="HA52" s="156"/>
      <c r="HB52" s="156"/>
      <c r="HC52" s="156"/>
      <c r="HD52" s="156"/>
      <c r="HE52" s="156"/>
      <c r="HF52" s="156"/>
      <c r="HG52" s="156"/>
      <c r="HH52" s="156"/>
      <c r="HI52" s="156"/>
      <c r="HJ52" s="156"/>
      <c r="HK52" s="156"/>
      <c r="HL52" s="156"/>
      <c r="HM52" s="156"/>
      <c r="HN52" s="156"/>
      <c r="HO52" s="156"/>
      <c r="HP52" s="156"/>
      <c r="HQ52" s="156"/>
      <c r="HR52" s="156"/>
      <c r="HS52" s="156"/>
      <c r="HT52" s="156"/>
      <c r="HU52" s="156"/>
      <c r="HV52" s="156"/>
      <c r="HW52" s="156"/>
      <c r="HX52" s="156"/>
      <c r="HY52" s="156"/>
      <c r="HZ52" s="156"/>
      <c r="IA52" s="156"/>
      <c r="IB52" s="156"/>
      <c r="IC52" s="156"/>
      <c r="ID52" s="156"/>
      <c r="IE52" s="156"/>
      <c r="IF52" s="156"/>
      <c r="IG52" s="156"/>
      <c r="IH52" s="156"/>
      <c r="II52" s="156"/>
      <c r="IJ52" s="156"/>
      <c r="IK52" s="156"/>
      <c r="IL52" s="156"/>
      <c r="IM52" s="156"/>
      <c r="IN52" s="156"/>
      <c r="IO52" s="156"/>
      <c r="IP52" s="156"/>
      <c r="IQ52" s="156"/>
      <c r="IR52" s="156"/>
      <c r="IS52" s="156"/>
      <c r="IT52" s="156"/>
      <c r="IU52" s="156"/>
      <c r="IV52" s="156"/>
    </row>
    <row r="53" spans="1:256" ht="13.5" thickBot="1">
      <c r="A53" s="1097"/>
      <c r="B53" s="1097"/>
      <c r="C53" s="478" t="s">
        <v>179</v>
      </c>
      <c r="D53" s="479" t="s">
        <v>180</v>
      </c>
      <c r="E53" s="92">
        <v>75</v>
      </c>
      <c r="F53" s="422" t="s">
        <v>162</v>
      </c>
      <c r="G53" s="1090"/>
      <c r="H53" s="618" t="s">
        <v>162</v>
      </c>
      <c r="I53" s="1090"/>
      <c r="J53" s="618" t="s">
        <v>162</v>
      </c>
      <c r="K53" s="1090"/>
      <c r="L53" s="618" t="s">
        <v>162</v>
      </c>
      <c r="M53" s="1090"/>
      <c r="N53" s="618" t="s">
        <v>162</v>
      </c>
      <c r="O53" s="1090"/>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c r="CG53" s="156"/>
      <c r="CH53" s="156"/>
      <c r="CI53" s="156"/>
      <c r="CJ53" s="156"/>
      <c r="CK53" s="156"/>
      <c r="CL53" s="156"/>
      <c r="CM53" s="156"/>
      <c r="CN53" s="156"/>
      <c r="CO53" s="156"/>
      <c r="CP53" s="156"/>
      <c r="CQ53" s="156"/>
      <c r="CR53" s="156"/>
      <c r="CS53" s="156"/>
      <c r="CT53" s="156"/>
      <c r="CU53" s="156"/>
      <c r="CV53" s="156"/>
      <c r="CW53" s="156"/>
      <c r="CX53" s="156"/>
      <c r="CY53" s="156"/>
      <c r="CZ53" s="156"/>
      <c r="DA53" s="156"/>
      <c r="DB53" s="156"/>
      <c r="DC53" s="156"/>
      <c r="DD53" s="156"/>
      <c r="DE53" s="156"/>
      <c r="DF53" s="156"/>
      <c r="DG53" s="156"/>
      <c r="DH53" s="156"/>
      <c r="DI53" s="156"/>
      <c r="DJ53" s="156"/>
      <c r="DK53" s="156"/>
      <c r="DL53" s="156"/>
      <c r="DM53" s="156"/>
      <c r="DN53" s="156"/>
      <c r="DO53" s="156"/>
      <c r="DP53" s="156"/>
      <c r="DQ53" s="156"/>
      <c r="DR53" s="156"/>
      <c r="DS53" s="156"/>
      <c r="DT53" s="156"/>
      <c r="DU53" s="156"/>
      <c r="DV53" s="156"/>
      <c r="DW53" s="156"/>
      <c r="DX53" s="156"/>
      <c r="DY53" s="156"/>
      <c r="DZ53" s="156"/>
      <c r="EA53" s="156"/>
      <c r="EB53" s="156"/>
      <c r="EC53" s="156"/>
      <c r="ED53" s="156"/>
      <c r="EE53" s="156"/>
      <c r="EF53" s="156"/>
      <c r="EG53" s="156"/>
      <c r="EH53" s="156"/>
      <c r="EI53" s="156"/>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6"/>
      <c r="FU53" s="156"/>
      <c r="FV53" s="156"/>
      <c r="FW53" s="156"/>
      <c r="FX53" s="156"/>
      <c r="FY53" s="156"/>
      <c r="FZ53" s="156"/>
      <c r="GA53" s="156"/>
      <c r="GB53" s="156"/>
      <c r="GC53" s="156"/>
      <c r="GD53" s="156"/>
      <c r="GE53" s="156"/>
      <c r="GF53" s="156"/>
      <c r="GG53" s="156"/>
      <c r="GH53" s="156"/>
      <c r="GI53" s="156"/>
      <c r="GJ53" s="156"/>
      <c r="GK53" s="156"/>
      <c r="GL53" s="156"/>
      <c r="GM53" s="156"/>
      <c r="GN53" s="156"/>
      <c r="GO53" s="156"/>
      <c r="GP53" s="156"/>
      <c r="GQ53" s="156"/>
      <c r="GR53" s="156"/>
      <c r="GS53" s="156"/>
      <c r="GT53" s="156"/>
      <c r="GU53" s="156"/>
      <c r="GV53" s="156"/>
      <c r="GW53" s="156"/>
      <c r="GX53" s="156"/>
      <c r="GY53" s="156"/>
      <c r="GZ53" s="156"/>
      <c r="HA53" s="156"/>
      <c r="HB53" s="156"/>
      <c r="HC53" s="156"/>
      <c r="HD53" s="156"/>
      <c r="HE53" s="156"/>
      <c r="HF53" s="156"/>
      <c r="HG53" s="156"/>
      <c r="HH53" s="156"/>
      <c r="HI53" s="156"/>
      <c r="HJ53" s="156"/>
      <c r="HK53" s="156"/>
      <c r="HL53" s="156"/>
      <c r="HM53" s="156"/>
      <c r="HN53" s="156"/>
      <c r="HO53" s="156"/>
      <c r="HP53" s="156"/>
      <c r="HQ53" s="156"/>
      <c r="HR53" s="156"/>
      <c r="HS53" s="156"/>
      <c r="HT53" s="156"/>
      <c r="HU53" s="156"/>
      <c r="HV53" s="156"/>
      <c r="HW53" s="156"/>
      <c r="HX53" s="156"/>
      <c r="HY53" s="156"/>
      <c r="HZ53" s="156"/>
      <c r="IA53" s="156"/>
      <c r="IB53" s="156"/>
      <c r="IC53" s="156"/>
      <c r="ID53" s="156"/>
      <c r="IE53" s="156"/>
      <c r="IF53" s="156"/>
      <c r="IG53" s="156"/>
      <c r="IH53" s="156"/>
      <c r="II53" s="156"/>
      <c r="IJ53" s="156"/>
      <c r="IK53" s="156"/>
      <c r="IL53" s="156"/>
      <c r="IM53" s="156"/>
      <c r="IN53" s="156"/>
      <c r="IO53" s="156"/>
      <c r="IP53" s="156"/>
      <c r="IQ53" s="156"/>
      <c r="IR53" s="156"/>
      <c r="IS53" s="156"/>
      <c r="IT53" s="156"/>
      <c r="IU53" s="156"/>
      <c r="IV53" s="156"/>
    </row>
    <row r="54" spans="1:256" ht="13.5" thickBot="1">
      <c r="A54" s="1001" t="s">
        <v>182</v>
      </c>
      <c r="B54" s="1002"/>
      <c r="C54" s="1002"/>
      <c r="D54" s="1002"/>
      <c r="E54" s="1002"/>
      <c r="F54" s="1002"/>
      <c r="G54" s="1002"/>
      <c r="H54" s="1002"/>
      <c r="I54" s="1002"/>
      <c r="J54" s="1002"/>
      <c r="K54" s="1002"/>
      <c r="L54" s="1002"/>
      <c r="M54" s="1002"/>
      <c r="N54" s="1002"/>
      <c r="O54" s="1003"/>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c r="CG54" s="156"/>
      <c r="CH54" s="156"/>
      <c r="CI54" s="156"/>
      <c r="CJ54" s="156"/>
      <c r="CK54" s="156"/>
      <c r="CL54" s="156"/>
      <c r="CM54" s="156"/>
      <c r="CN54" s="156"/>
      <c r="CO54" s="156"/>
      <c r="CP54" s="156"/>
      <c r="CQ54" s="156"/>
      <c r="CR54" s="156"/>
      <c r="CS54" s="156"/>
      <c r="CT54" s="156"/>
      <c r="CU54" s="156"/>
      <c r="CV54" s="156"/>
      <c r="CW54" s="156"/>
      <c r="CX54" s="156"/>
      <c r="CY54" s="156"/>
      <c r="CZ54" s="156"/>
      <c r="DA54" s="156"/>
      <c r="DB54" s="156"/>
      <c r="DC54" s="156"/>
      <c r="DD54" s="156"/>
      <c r="DE54" s="156"/>
      <c r="DF54" s="156"/>
      <c r="DG54" s="156"/>
      <c r="DH54" s="156"/>
      <c r="DI54" s="156"/>
      <c r="DJ54" s="156"/>
      <c r="DK54" s="156"/>
      <c r="DL54" s="156"/>
      <c r="DM54" s="156"/>
      <c r="DN54" s="156"/>
      <c r="DO54" s="156"/>
      <c r="DP54" s="156"/>
      <c r="DQ54" s="156"/>
      <c r="DR54" s="156"/>
      <c r="DS54" s="156"/>
      <c r="DT54" s="156"/>
      <c r="DU54" s="156"/>
      <c r="DV54" s="156"/>
      <c r="DW54" s="156"/>
      <c r="DX54" s="156"/>
      <c r="DY54" s="156"/>
      <c r="DZ54" s="156"/>
      <c r="EA54" s="156"/>
      <c r="EB54" s="156"/>
      <c r="EC54" s="156"/>
      <c r="ED54" s="156"/>
      <c r="EE54" s="156"/>
      <c r="EF54" s="156"/>
      <c r="EG54" s="156"/>
      <c r="EH54" s="156"/>
      <c r="EI54" s="156"/>
      <c r="EJ54" s="156"/>
      <c r="EK54" s="156"/>
      <c r="EL54" s="156"/>
      <c r="EM54" s="156"/>
      <c r="EN54" s="156"/>
      <c r="EO54" s="156"/>
      <c r="EP54" s="156"/>
      <c r="EQ54" s="156"/>
      <c r="ER54" s="156"/>
      <c r="ES54" s="156"/>
      <c r="ET54" s="156"/>
      <c r="EU54" s="156"/>
      <c r="EV54" s="156"/>
      <c r="EW54" s="156"/>
      <c r="EX54" s="156"/>
      <c r="EY54" s="156"/>
      <c r="EZ54" s="156"/>
      <c r="FA54" s="156"/>
      <c r="FB54" s="156"/>
      <c r="FC54" s="156"/>
      <c r="FD54" s="156"/>
      <c r="FE54" s="156"/>
      <c r="FF54" s="156"/>
      <c r="FG54" s="156"/>
      <c r="FH54" s="156"/>
      <c r="FI54" s="156"/>
      <c r="FJ54" s="156"/>
      <c r="FK54" s="156"/>
      <c r="FL54" s="156"/>
      <c r="FM54" s="156"/>
      <c r="FN54" s="156"/>
      <c r="FO54" s="156"/>
      <c r="FP54" s="156"/>
      <c r="FQ54" s="156"/>
      <c r="FR54" s="156"/>
      <c r="FS54" s="156"/>
      <c r="FT54" s="156"/>
      <c r="FU54" s="156"/>
      <c r="FV54" s="156"/>
      <c r="FW54" s="156"/>
      <c r="FX54" s="156"/>
      <c r="FY54" s="156"/>
      <c r="FZ54" s="156"/>
      <c r="GA54" s="156"/>
      <c r="GB54" s="156"/>
      <c r="GC54" s="156"/>
      <c r="GD54" s="156"/>
      <c r="GE54" s="156"/>
      <c r="GF54" s="156"/>
      <c r="GG54" s="156"/>
      <c r="GH54" s="156"/>
      <c r="GI54" s="156"/>
      <c r="GJ54" s="156"/>
      <c r="GK54" s="156"/>
      <c r="GL54" s="156"/>
      <c r="GM54" s="156"/>
      <c r="GN54" s="156"/>
      <c r="GO54" s="156"/>
      <c r="GP54" s="156"/>
      <c r="GQ54" s="156"/>
      <c r="GR54" s="156"/>
      <c r="GS54" s="156"/>
      <c r="GT54" s="156"/>
      <c r="GU54" s="156"/>
      <c r="GV54" s="156"/>
      <c r="GW54" s="156"/>
      <c r="GX54" s="156"/>
      <c r="GY54" s="156"/>
      <c r="GZ54" s="156"/>
      <c r="HA54" s="156"/>
      <c r="HB54" s="156"/>
      <c r="HC54" s="156"/>
      <c r="HD54" s="156"/>
      <c r="HE54" s="156"/>
      <c r="HF54" s="156"/>
      <c r="HG54" s="156"/>
      <c r="HH54" s="156"/>
      <c r="HI54" s="156"/>
      <c r="HJ54" s="156"/>
      <c r="HK54" s="156"/>
      <c r="HL54" s="156"/>
      <c r="HM54" s="156"/>
      <c r="HN54" s="156"/>
      <c r="HO54" s="156"/>
      <c r="HP54" s="156"/>
      <c r="HQ54" s="156"/>
      <c r="HR54" s="156"/>
      <c r="HS54" s="156"/>
      <c r="HT54" s="156"/>
      <c r="HU54" s="156"/>
      <c r="HV54" s="156"/>
      <c r="HW54" s="156"/>
      <c r="HX54" s="156"/>
      <c r="HY54" s="156"/>
      <c r="HZ54" s="156"/>
      <c r="IA54" s="156"/>
      <c r="IB54" s="156"/>
      <c r="IC54" s="156"/>
      <c r="ID54" s="156"/>
      <c r="IE54" s="156"/>
      <c r="IF54" s="156"/>
      <c r="IG54" s="156"/>
      <c r="IH54" s="156"/>
      <c r="II54" s="156"/>
      <c r="IJ54" s="156"/>
      <c r="IK54" s="156"/>
      <c r="IL54" s="156"/>
      <c r="IM54" s="156"/>
      <c r="IN54" s="156"/>
      <c r="IO54" s="156"/>
      <c r="IP54" s="156"/>
      <c r="IQ54" s="156"/>
      <c r="IR54" s="156"/>
      <c r="IS54" s="156"/>
      <c r="IT54" s="156"/>
      <c r="IU54" s="156"/>
      <c r="IV54" s="156"/>
    </row>
    <row r="55" spans="1:256" ht="13.5" thickBot="1">
      <c r="A55" s="1094"/>
      <c r="B55" s="370"/>
      <c r="C55" s="90" t="s">
        <v>209</v>
      </c>
      <c r="D55" s="235" t="s">
        <v>66</v>
      </c>
      <c r="E55" s="518">
        <v>975.85567010309285</v>
      </c>
      <c r="F55" s="23">
        <f t="shared" ref="F55:F92" si="0">E55*(1-40%)</f>
        <v>585.51340206185569</v>
      </c>
      <c r="G55" s="528">
        <f t="shared" ref="G55:G92" si="1">F55*B55</f>
        <v>0</v>
      </c>
      <c r="H55" s="528">
        <f t="shared" ref="H55:H92" si="2">F55*0.0832</f>
        <v>48.714715051546392</v>
      </c>
      <c r="I55" s="528">
        <f t="shared" ref="I55:I92" si="3">H55*B55</f>
        <v>0</v>
      </c>
      <c r="J55" s="528">
        <f t="shared" ref="J55:J92" si="4">F55*0.0313</f>
        <v>18.326569484536083</v>
      </c>
      <c r="K55" s="528">
        <f t="shared" ref="K55:K92" si="5">J55*B55</f>
        <v>0</v>
      </c>
      <c r="L55" s="528">
        <f t="shared" ref="L55:L92" si="6">F55*0.0256</f>
        <v>14.989143092783506</v>
      </c>
      <c r="M55" s="528">
        <f t="shared" ref="M55:M92" si="7">L55*B55</f>
        <v>0</v>
      </c>
      <c r="N55" s="528">
        <f t="shared" ref="N55:N92" si="8">F55*0.0213</f>
        <v>12.471435463917526</v>
      </c>
      <c r="O55" s="528">
        <f t="shared" ref="O55:O92" si="9">N55*B55</f>
        <v>0</v>
      </c>
      <c r="P55" s="735"/>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c r="DV55" s="151"/>
      <c r="DW55" s="151"/>
      <c r="DX55" s="151"/>
      <c r="DY55" s="151"/>
      <c r="DZ55" s="151"/>
      <c r="EA55" s="151"/>
      <c r="EB55" s="151"/>
      <c r="EC55" s="151"/>
      <c r="ED55" s="151"/>
      <c r="EE55" s="151"/>
      <c r="EF55" s="151"/>
      <c r="EG55" s="151"/>
      <c r="EH55" s="151"/>
      <c r="EI55" s="151"/>
      <c r="EJ55" s="151"/>
      <c r="EK55" s="151"/>
      <c r="EL55" s="151"/>
      <c r="EM55" s="151"/>
      <c r="EN55" s="151"/>
      <c r="EO55" s="151"/>
      <c r="EP55" s="151"/>
      <c r="EQ55" s="151"/>
      <c r="ER55" s="151"/>
      <c r="ES55" s="151"/>
      <c r="ET55" s="151"/>
      <c r="EU55" s="151"/>
      <c r="EV55" s="151"/>
      <c r="EW55" s="151"/>
      <c r="EX55" s="151"/>
      <c r="EY55" s="151"/>
      <c r="EZ55" s="151"/>
      <c r="FA55" s="151"/>
      <c r="FB55" s="151"/>
      <c r="FC55" s="151"/>
      <c r="FD55" s="151"/>
      <c r="FE55" s="151"/>
      <c r="FF55" s="151"/>
      <c r="FG55" s="151"/>
      <c r="FH55" s="151"/>
      <c r="FI55" s="151"/>
      <c r="FJ55" s="151"/>
      <c r="FK55" s="151"/>
      <c r="FL55" s="151"/>
      <c r="FM55" s="151"/>
      <c r="FN55" s="151"/>
      <c r="FO55" s="151"/>
      <c r="FP55" s="151"/>
      <c r="FQ55" s="151"/>
      <c r="FR55" s="151"/>
      <c r="FS55" s="151"/>
      <c r="FT55" s="151"/>
      <c r="FU55" s="151"/>
      <c r="FV55" s="151"/>
      <c r="FW55" s="151"/>
      <c r="FX55" s="151"/>
      <c r="FY55" s="151"/>
      <c r="FZ55" s="151"/>
      <c r="GA55" s="151"/>
      <c r="GB55" s="151"/>
      <c r="GC55" s="151"/>
      <c r="GD55" s="151"/>
      <c r="GE55" s="151"/>
      <c r="GF55" s="151"/>
      <c r="GG55" s="151"/>
      <c r="GH55" s="151"/>
      <c r="GI55" s="151"/>
      <c r="GJ55" s="151"/>
      <c r="GK55" s="151"/>
      <c r="GL55" s="151"/>
      <c r="GM55" s="151"/>
      <c r="GN55" s="151"/>
      <c r="GO55" s="151"/>
      <c r="GP55" s="151"/>
      <c r="GQ55" s="151"/>
      <c r="GR55" s="151"/>
      <c r="GS55" s="151"/>
      <c r="GT55" s="151"/>
      <c r="GU55" s="151"/>
      <c r="GV55" s="151"/>
      <c r="GW55" s="151"/>
      <c r="GX55" s="151"/>
      <c r="GY55" s="151"/>
      <c r="GZ55" s="151"/>
      <c r="HA55" s="151"/>
      <c r="HB55" s="151"/>
      <c r="HC55" s="151"/>
      <c r="HD55" s="151"/>
      <c r="HE55" s="151"/>
      <c r="HF55" s="151"/>
      <c r="HG55" s="151"/>
      <c r="HH55" s="151"/>
      <c r="HI55" s="151"/>
      <c r="HJ55" s="151"/>
      <c r="HK55" s="151"/>
      <c r="HL55" s="151"/>
      <c r="HM55" s="151"/>
      <c r="HN55" s="151"/>
      <c r="HO55" s="151"/>
      <c r="HP55" s="151"/>
      <c r="HQ55" s="151"/>
      <c r="HR55" s="151"/>
      <c r="HS55" s="151"/>
      <c r="HT55" s="151"/>
      <c r="HU55" s="151"/>
      <c r="HV55" s="151"/>
      <c r="HW55" s="151"/>
      <c r="HX55" s="151"/>
      <c r="HY55" s="151"/>
      <c r="HZ55" s="151"/>
      <c r="IA55" s="151"/>
      <c r="IB55" s="151"/>
      <c r="IC55" s="151"/>
      <c r="ID55" s="151"/>
      <c r="IE55" s="151"/>
      <c r="IF55" s="151"/>
      <c r="IG55" s="151"/>
      <c r="IH55" s="151"/>
      <c r="II55" s="151"/>
      <c r="IJ55" s="151"/>
      <c r="IK55" s="151"/>
      <c r="IL55" s="151"/>
      <c r="IM55" s="151"/>
      <c r="IN55" s="151"/>
      <c r="IO55" s="151"/>
      <c r="IP55" s="151"/>
      <c r="IQ55" s="151"/>
      <c r="IR55" s="151"/>
      <c r="IS55" s="151"/>
      <c r="IT55" s="151"/>
      <c r="IU55" s="151"/>
      <c r="IV55" s="151"/>
    </row>
    <row r="56" spans="1:256" ht="13.5" thickBot="1">
      <c r="A56" s="1095"/>
      <c r="B56" s="370"/>
      <c r="C56" s="90">
        <v>7640013468</v>
      </c>
      <c r="D56" s="235" t="s">
        <v>53</v>
      </c>
      <c r="E56" s="518">
        <v>436.02061855670104</v>
      </c>
      <c r="F56" s="23">
        <f t="shared" si="0"/>
        <v>261.61237113402063</v>
      </c>
      <c r="G56" s="527">
        <f t="shared" si="1"/>
        <v>0</v>
      </c>
      <c r="H56" s="528">
        <f t="shared" si="2"/>
        <v>21.766149278350515</v>
      </c>
      <c r="I56" s="528">
        <f t="shared" si="3"/>
        <v>0</v>
      </c>
      <c r="J56" s="528">
        <f t="shared" si="4"/>
        <v>8.1884672164948462</v>
      </c>
      <c r="K56" s="528">
        <f t="shared" si="5"/>
        <v>0</v>
      </c>
      <c r="L56" s="528">
        <f t="shared" si="6"/>
        <v>6.6972767010309289</v>
      </c>
      <c r="M56" s="528">
        <f t="shared" si="7"/>
        <v>0</v>
      </c>
      <c r="N56" s="528">
        <f t="shared" si="8"/>
        <v>5.5723435051546391</v>
      </c>
      <c r="O56" s="528">
        <f t="shared" si="9"/>
        <v>0</v>
      </c>
      <c r="P56" s="735"/>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c r="DV56" s="151"/>
      <c r="DW56" s="151"/>
      <c r="DX56" s="151"/>
      <c r="DY56" s="151"/>
      <c r="DZ56" s="151"/>
      <c r="EA56" s="151"/>
      <c r="EB56" s="151"/>
      <c r="EC56" s="151"/>
      <c r="ED56" s="151"/>
      <c r="EE56" s="151"/>
      <c r="EF56" s="151"/>
      <c r="EG56" s="151"/>
      <c r="EH56" s="151"/>
      <c r="EI56" s="151"/>
      <c r="EJ56" s="151"/>
      <c r="EK56" s="151"/>
      <c r="EL56" s="151"/>
      <c r="EM56" s="151"/>
      <c r="EN56" s="151"/>
      <c r="EO56" s="151"/>
      <c r="EP56" s="151"/>
      <c r="EQ56" s="151"/>
      <c r="ER56" s="151"/>
      <c r="ES56" s="151"/>
      <c r="ET56" s="151"/>
      <c r="EU56" s="151"/>
      <c r="EV56" s="151"/>
      <c r="EW56" s="151"/>
      <c r="EX56" s="151"/>
      <c r="EY56" s="151"/>
      <c r="EZ56" s="151"/>
      <c r="FA56" s="151"/>
      <c r="FB56" s="151"/>
      <c r="FC56" s="151"/>
      <c r="FD56" s="151"/>
      <c r="FE56" s="151"/>
      <c r="FF56" s="151"/>
      <c r="FG56" s="151"/>
      <c r="FH56" s="151"/>
      <c r="FI56" s="151"/>
      <c r="FJ56" s="151"/>
      <c r="FK56" s="151"/>
      <c r="FL56" s="151"/>
      <c r="FM56" s="151"/>
      <c r="FN56" s="151"/>
      <c r="FO56" s="151"/>
      <c r="FP56" s="151"/>
      <c r="FQ56" s="151"/>
      <c r="FR56" s="151"/>
      <c r="FS56" s="151"/>
      <c r="FT56" s="151"/>
      <c r="FU56" s="151"/>
      <c r="FV56" s="151"/>
      <c r="FW56" s="151"/>
      <c r="FX56" s="151"/>
      <c r="FY56" s="151"/>
      <c r="FZ56" s="151"/>
      <c r="GA56" s="151"/>
      <c r="GB56" s="151"/>
      <c r="GC56" s="151"/>
      <c r="GD56" s="151"/>
      <c r="GE56" s="151"/>
      <c r="GF56" s="151"/>
      <c r="GG56" s="151"/>
      <c r="GH56" s="151"/>
      <c r="GI56" s="151"/>
      <c r="GJ56" s="151"/>
      <c r="GK56" s="151"/>
      <c r="GL56" s="151"/>
      <c r="GM56" s="151"/>
      <c r="GN56" s="151"/>
      <c r="GO56" s="151"/>
      <c r="GP56" s="151"/>
      <c r="GQ56" s="151"/>
      <c r="GR56" s="151"/>
      <c r="GS56" s="151"/>
      <c r="GT56" s="151"/>
      <c r="GU56" s="151"/>
      <c r="GV56" s="151"/>
      <c r="GW56" s="151"/>
      <c r="GX56" s="151"/>
      <c r="GY56" s="151"/>
      <c r="GZ56" s="151"/>
      <c r="HA56" s="151"/>
      <c r="HB56" s="151"/>
      <c r="HC56" s="151"/>
      <c r="HD56" s="151"/>
      <c r="HE56" s="151"/>
      <c r="HF56" s="151"/>
      <c r="HG56" s="151"/>
      <c r="HH56" s="151"/>
      <c r="HI56" s="151"/>
      <c r="HJ56" s="151"/>
      <c r="HK56" s="151"/>
      <c r="HL56" s="151"/>
      <c r="HM56" s="151"/>
      <c r="HN56" s="151"/>
      <c r="HO56" s="151"/>
      <c r="HP56" s="151"/>
      <c r="HQ56" s="151"/>
      <c r="HR56" s="151"/>
      <c r="HS56" s="151"/>
      <c r="HT56" s="151"/>
      <c r="HU56" s="151"/>
      <c r="HV56" s="151"/>
      <c r="HW56" s="151"/>
      <c r="HX56" s="151"/>
      <c r="HY56" s="151"/>
      <c r="HZ56" s="151"/>
      <c r="IA56" s="151"/>
      <c r="IB56" s="151"/>
      <c r="IC56" s="151"/>
      <c r="ID56" s="151"/>
      <c r="IE56" s="151"/>
      <c r="IF56" s="151"/>
      <c r="IG56" s="151"/>
      <c r="IH56" s="151"/>
      <c r="II56" s="151"/>
      <c r="IJ56" s="151"/>
      <c r="IK56" s="151"/>
      <c r="IL56" s="151"/>
      <c r="IM56" s="151"/>
      <c r="IN56" s="151"/>
      <c r="IO56" s="151"/>
      <c r="IP56" s="151"/>
      <c r="IQ56" s="151"/>
      <c r="IR56" s="151"/>
      <c r="IS56" s="151"/>
      <c r="IT56" s="151"/>
      <c r="IU56" s="151"/>
      <c r="IV56" s="151"/>
    </row>
    <row r="57" spans="1:256" ht="39" thickBot="1">
      <c r="A57" s="1095"/>
      <c r="B57" s="370"/>
      <c r="C57" s="90" t="s">
        <v>429</v>
      </c>
      <c r="D57" s="235" t="s">
        <v>407</v>
      </c>
      <c r="E57" s="518">
        <v>411.34020618556701</v>
      </c>
      <c r="F57" s="23">
        <f t="shared" si="0"/>
        <v>246.8041237113402</v>
      </c>
      <c r="G57" s="527">
        <f t="shared" si="1"/>
        <v>0</v>
      </c>
      <c r="H57" s="528">
        <f t="shared" si="2"/>
        <v>20.534103092783504</v>
      </c>
      <c r="I57" s="528">
        <f t="shared" si="3"/>
        <v>0</v>
      </c>
      <c r="J57" s="528">
        <f t="shared" si="4"/>
        <v>7.7249690721649484</v>
      </c>
      <c r="K57" s="528">
        <f t="shared" si="5"/>
        <v>0</v>
      </c>
      <c r="L57" s="528">
        <f t="shared" si="6"/>
        <v>6.3181855670103095</v>
      </c>
      <c r="M57" s="528">
        <f t="shared" si="7"/>
        <v>0</v>
      </c>
      <c r="N57" s="528">
        <f t="shared" si="8"/>
        <v>5.2569278350515463</v>
      </c>
      <c r="O57" s="528">
        <f t="shared" si="9"/>
        <v>0</v>
      </c>
      <c r="P57" s="735"/>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151"/>
      <c r="BR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c r="DV57" s="151"/>
      <c r="DW57" s="151"/>
      <c r="DX57" s="151"/>
      <c r="DY57" s="151"/>
      <c r="DZ57" s="151"/>
      <c r="EA57" s="151"/>
      <c r="EB57" s="151"/>
      <c r="EC57" s="151"/>
      <c r="ED57" s="151"/>
      <c r="EE57" s="151"/>
      <c r="EF57" s="151"/>
      <c r="EG57" s="151"/>
      <c r="EH57" s="151"/>
      <c r="EI57" s="151"/>
      <c r="EJ57" s="151"/>
      <c r="EK57" s="151"/>
      <c r="EL57" s="151"/>
      <c r="EM57" s="151"/>
      <c r="EN57" s="151"/>
      <c r="EO57" s="151"/>
      <c r="EP57" s="151"/>
      <c r="EQ57" s="151"/>
      <c r="ER57" s="151"/>
      <c r="ES57" s="151"/>
      <c r="ET57" s="151"/>
      <c r="EU57" s="151"/>
      <c r="EV57" s="151"/>
      <c r="EW57" s="151"/>
      <c r="EX57" s="151"/>
      <c r="EY57" s="151"/>
      <c r="EZ57" s="151"/>
      <c r="FA57" s="151"/>
      <c r="FB57" s="151"/>
      <c r="FC57" s="151"/>
      <c r="FD57" s="151"/>
      <c r="FE57" s="151"/>
      <c r="FF57" s="151"/>
      <c r="FG57" s="151"/>
      <c r="FH57" s="151"/>
      <c r="FI57" s="151"/>
      <c r="FJ57" s="151"/>
      <c r="FK57" s="151"/>
      <c r="FL57" s="151"/>
      <c r="FM57" s="151"/>
      <c r="FN57" s="151"/>
      <c r="FO57" s="151"/>
      <c r="FP57" s="151"/>
      <c r="FQ57" s="151"/>
      <c r="FR57" s="151"/>
      <c r="FS57" s="151"/>
      <c r="FT57" s="151"/>
      <c r="FU57" s="151"/>
      <c r="FV57" s="151"/>
      <c r="FW57" s="151"/>
      <c r="FX57" s="151"/>
      <c r="FY57" s="151"/>
      <c r="FZ57" s="151"/>
      <c r="GA57" s="151"/>
      <c r="GB57" s="151"/>
      <c r="GC57" s="151"/>
      <c r="GD57" s="151"/>
      <c r="GE57" s="151"/>
      <c r="GF57" s="151"/>
      <c r="GG57" s="151"/>
      <c r="GH57" s="151"/>
      <c r="GI57" s="151"/>
      <c r="GJ57" s="151"/>
      <c r="GK57" s="151"/>
      <c r="GL57" s="151"/>
      <c r="GM57" s="151"/>
      <c r="GN57" s="151"/>
      <c r="GO57" s="151"/>
      <c r="GP57" s="151"/>
      <c r="GQ57" s="151"/>
      <c r="GR57" s="151"/>
      <c r="GS57" s="151"/>
      <c r="GT57" s="151"/>
      <c r="GU57" s="151"/>
      <c r="GV57" s="151"/>
      <c r="GW57" s="151"/>
      <c r="GX57" s="151"/>
      <c r="GY57" s="151"/>
      <c r="GZ57" s="151"/>
      <c r="HA57" s="151"/>
      <c r="HB57" s="151"/>
      <c r="HC57" s="151"/>
      <c r="HD57" s="151"/>
      <c r="HE57" s="151"/>
      <c r="HF57" s="151"/>
      <c r="HG57" s="151"/>
      <c r="HH57" s="151"/>
      <c r="HI57" s="151"/>
      <c r="HJ57" s="151"/>
      <c r="HK57" s="151"/>
      <c r="HL57" s="151"/>
      <c r="HM57" s="151"/>
      <c r="HN57" s="151"/>
      <c r="HO57" s="151"/>
      <c r="HP57" s="151"/>
      <c r="HQ57" s="151"/>
      <c r="HR57" s="151"/>
      <c r="HS57" s="151"/>
      <c r="HT57" s="151"/>
      <c r="HU57" s="151"/>
      <c r="HV57" s="151"/>
      <c r="HW57" s="151"/>
      <c r="HX57" s="151"/>
      <c r="HY57" s="151"/>
      <c r="HZ57" s="151"/>
      <c r="IA57" s="151"/>
      <c r="IB57" s="151"/>
      <c r="IC57" s="151"/>
      <c r="ID57" s="151"/>
      <c r="IE57" s="151"/>
      <c r="IF57" s="151"/>
      <c r="IG57" s="151"/>
      <c r="IH57" s="151"/>
      <c r="II57" s="151"/>
      <c r="IJ57" s="151"/>
      <c r="IK57" s="151"/>
      <c r="IL57" s="151"/>
      <c r="IM57" s="151"/>
      <c r="IN57" s="151"/>
      <c r="IO57" s="151"/>
      <c r="IP57" s="151"/>
      <c r="IQ57" s="151"/>
      <c r="IR57" s="151"/>
      <c r="IS57" s="151"/>
      <c r="IT57" s="151"/>
      <c r="IU57" s="151"/>
      <c r="IV57" s="151"/>
    </row>
    <row r="58" spans="1:256" ht="13.5" thickBot="1">
      <c r="A58" s="1095"/>
      <c r="B58" s="370"/>
      <c r="C58" s="90">
        <v>7640016375</v>
      </c>
      <c r="D58" s="235" t="s">
        <v>54</v>
      </c>
      <c r="E58" s="518">
        <v>257.73195876288662</v>
      </c>
      <c r="F58" s="23">
        <f t="shared" si="0"/>
        <v>154.63917525773198</v>
      </c>
      <c r="G58" s="527">
        <f t="shared" si="1"/>
        <v>0</v>
      </c>
      <c r="H58" s="528">
        <f t="shared" si="2"/>
        <v>12.865979381443299</v>
      </c>
      <c r="I58" s="528">
        <f t="shared" si="3"/>
        <v>0</v>
      </c>
      <c r="J58" s="528">
        <f t="shared" si="4"/>
        <v>4.8402061855670109</v>
      </c>
      <c r="K58" s="528">
        <f t="shared" si="5"/>
        <v>0</v>
      </c>
      <c r="L58" s="528">
        <f t="shared" si="6"/>
        <v>3.9587628865979387</v>
      </c>
      <c r="M58" s="528">
        <f t="shared" si="7"/>
        <v>0</v>
      </c>
      <c r="N58" s="528">
        <f t="shared" si="8"/>
        <v>3.293814432989691</v>
      </c>
      <c r="O58" s="528">
        <f t="shared" si="9"/>
        <v>0</v>
      </c>
      <c r="P58" s="735"/>
      <c r="Q58" s="151"/>
      <c r="R58" s="15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c r="DK58" s="151"/>
      <c r="DL58" s="151"/>
      <c r="DM58" s="151"/>
      <c r="DN58" s="151"/>
      <c r="DO58" s="151"/>
      <c r="DP58" s="151"/>
      <c r="DQ58" s="151"/>
      <c r="DR58" s="151"/>
      <c r="DS58" s="151"/>
      <c r="DT58" s="151"/>
      <c r="DU58" s="151"/>
      <c r="DV58" s="151"/>
      <c r="DW58" s="151"/>
      <c r="DX58" s="151"/>
      <c r="DY58" s="151"/>
      <c r="DZ58" s="151"/>
      <c r="EA58" s="151"/>
      <c r="EB58" s="151"/>
      <c r="EC58" s="151"/>
      <c r="ED58" s="151"/>
      <c r="EE58" s="151"/>
      <c r="EF58" s="151"/>
      <c r="EG58" s="151"/>
      <c r="EH58" s="151"/>
      <c r="EI58" s="151"/>
      <c r="EJ58" s="151"/>
      <c r="EK58" s="151"/>
      <c r="EL58" s="151"/>
      <c r="EM58" s="151"/>
      <c r="EN58" s="151"/>
      <c r="EO58" s="151"/>
      <c r="EP58" s="151"/>
      <c r="EQ58" s="151"/>
      <c r="ER58" s="151"/>
      <c r="ES58" s="151"/>
      <c r="ET58" s="151"/>
      <c r="EU58" s="151"/>
      <c r="EV58" s="151"/>
      <c r="EW58" s="151"/>
      <c r="EX58" s="151"/>
      <c r="EY58" s="151"/>
      <c r="EZ58" s="151"/>
      <c r="FA58" s="151"/>
      <c r="FB58" s="151"/>
      <c r="FC58" s="151"/>
      <c r="FD58" s="151"/>
      <c r="FE58" s="151"/>
      <c r="FF58" s="151"/>
      <c r="FG58" s="151"/>
      <c r="FH58" s="151"/>
      <c r="FI58" s="151"/>
      <c r="FJ58" s="151"/>
      <c r="FK58" s="151"/>
      <c r="FL58" s="151"/>
      <c r="FM58" s="151"/>
      <c r="FN58" s="151"/>
      <c r="FO58" s="151"/>
      <c r="FP58" s="151"/>
      <c r="FQ58" s="151"/>
      <c r="FR58" s="151"/>
      <c r="FS58" s="151"/>
      <c r="FT58" s="151"/>
      <c r="FU58" s="151"/>
      <c r="FV58" s="151"/>
      <c r="FW58" s="151"/>
      <c r="FX58" s="151"/>
      <c r="FY58" s="151"/>
      <c r="FZ58" s="151"/>
      <c r="GA58" s="151"/>
      <c r="GB58" s="151"/>
      <c r="GC58" s="151"/>
      <c r="GD58" s="151"/>
      <c r="GE58" s="151"/>
      <c r="GF58" s="151"/>
      <c r="GG58" s="151"/>
      <c r="GH58" s="151"/>
      <c r="GI58" s="151"/>
      <c r="GJ58" s="151"/>
      <c r="GK58" s="151"/>
      <c r="GL58" s="151"/>
      <c r="GM58" s="151"/>
      <c r="GN58" s="151"/>
      <c r="GO58" s="151"/>
      <c r="GP58" s="151"/>
      <c r="GQ58" s="151"/>
      <c r="GR58" s="151"/>
      <c r="GS58" s="151"/>
      <c r="GT58" s="151"/>
      <c r="GU58" s="151"/>
      <c r="GV58" s="151"/>
      <c r="GW58" s="151"/>
      <c r="GX58" s="151"/>
      <c r="GY58" s="151"/>
      <c r="GZ58" s="151"/>
      <c r="HA58" s="151"/>
      <c r="HB58" s="151"/>
      <c r="HC58" s="151"/>
      <c r="HD58" s="151"/>
      <c r="HE58" s="151"/>
      <c r="HF58" s="151"/>
      <c r="HG58" s="151"/>
      <c r="HH58" s="151"/>
      <c r="HI58" s="151"/>
      <c r="HJ58" s="151"/>
      <c r="HK58" s="151"/>
      <c r="HL58" s="151"/>
      <c r="HM58" s="151"/>
      <c r="HN58" s="151"/>
      <c r="HO58" s="151"/>
      <c r="HP58" s="151"/>
      <c r="HQ58" s="151"/>
      <c r="HR58" s="151"/>
      <c r="HS58" s="151"/>
      <c r="HT58" s="151"/>
      <c r="HU58" s="151"/>
      <c r="HV58" s="151"/>
      <c r="HW58" s="151"/>
      <c r="HX58" s="151"/>
      <c r="HY58" s="151"/>
      <c r="HZ58" s="151"/>
      <c r="IA58" s="151"/>
      <c r="IB58" s="151"/>
      <c r="IC58" s="151"/>
      <c r="ID58" s="151"/>
      <c r="IE58" s="151"/>
      <c r="IF58" s="151"/>
      <c r="IG58" s="151"/>
      <c r="IH58" s="151"/>
      <c r="II58" s="151"/>
      <c r="IJ58" s="151"/>
      <c r="IK58" s="151"/>
      <c r="IL58" s="151"/>
      <c r="IM58" s="151"/>
      <c r="IN58" s="151"/>
      <c r="IO58" s="151"/>
      <c r="IP58" s="151"/>
      <c r="IQ58" s="151"/>
      <c r="IR58" s="151"/>
      <c r="IS58" s="151"/>
      <c r="IT58" s="151"/>
      <c r="IU58" s="151"/>
      <c r="IV58" s="151"/>
    </row>
    <row r="59" spans="1:256" ht="13.5" thickBot="1">
      <c r="A59" s="1095"/>
      <c r="B59" s="370"/>
      <c r="C59" s="90">
        <v>7640019089</v>
      </c>
      <c r="D59" s="235" t="s">
        <v>408</v>
      </c>
      <c r="E59" s="518">
        <v>412.37113402061857</v>
      </c>
      <c r="F59" s="23">
        <f t="shared" si="0"/>
        <v>247.42268041237114</v>
      </c>
      <c r="G59" s="527">
        <f t="shared" si="1"/>
        <v>0</v>
      </c>
      <c r="H59" s="528">
        <f t="shared" si="2"/>
        <v>20.585567010309276</v>
      </c>
      <c r="I59" s="528">
        <f t="shared" si="3"/>
        <v>0</v>
      </c>
      <c r="J59" s="528">
        <f t="shared" si="4"/>
        <v>7.7443298969072165</v>
      </c>
      <c r="K59" s="528">
        <f t="shared" si="5"/>
        <v>0</v>
      </c>
      <c r="L59" s="528">
        <f t="shared" si="6"/>
        <v>6.3340206185567016</v>
      </c>
      <c r="M59" s="528">
        <f t="shared" si="7"/>
        <v>0</v>
      </c>
      <c r="N59" s="528">
        <f t="shared" si="8"/>
        <v>5.2701030927835051</v>
      </c>
      <c r="O59" s="528">
        <f t="shared" si="9"/>
        <v>0</v>
      </c>
      <c r="P59" s="735"/>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51"/>
      <c r="DI59" s="151"/>
      <c r="DJ59" s="151"/>
      <c r="DK59" s="151"/>
      <c r="DL59" s="151"/>
      <c r="DM59" s="151"/>
      <c r="DN59" s="151"/>
      <c r="DO59" s="151"/>
      <c r="DP59" s="151"/>
      <c r="DQ59" s="151"/>
      <c r="DR59" s="151"/>
      <c r="DS59" s="151"/>
      <c r="DT59" s="151"/>
      <c r="DU59" s="151"/>
      <c r="DV59" s="151"/>
      <c r="DW59" s="151"/>
      <c r="DX59" s="151"/>
      <c r="DY59" s="151"/>
      <c r="DZ59" s="151"/>
      <c r="EA59" s="151"/>
      <c r="EB59" s="151"/>
      <c r="EC59" s="151"/>
      <c r="ED59" s="151"/>
      <c r="EE59" s="151"/>
      <c r="EF59" s="151"/>
      <c r="EG59" s="151"/>
      <c r="EH59" s="151"/>
      <c r="EI59" s="151"/>
      <c r="EJ59" s="151"/>
      <c r="EK59" s="151"/>
      <c r="EL59" s="151"/>
      <c r="EM59" s="151"/>
      <c r="EN59" s="151"/>
      <c r="EO59" s="151"/>
      <c r="EP59" s="151"/>
      <c r="EQ59" s="151"/>
      <c r="ER59" s="151"/>
      <c r="ES59" s="151"/>
      <c r="ET59" s="151"/>
      <c r="EU59" s="151"/>
      <c r="EV59" s="151"/>
      <c r="EW59" s="151"/>
      <c r="EX59" s="151"/>
      <c r="EY59" s="151"/>
      <c r="EZ59" s="151"/>
      <c r="FA59" s="151"/>
      <c r="FB59" s="151"/>
      <c r="FC59" s="151"/>
      <c r="FD59" s="151"/>
      <c r="FE59" s="151"/>
      <c r="FF59" s="151"/>
      <c r="FG59" s="151"/>
      <c r="FH59" s="151"/>
      <c r="FI59" s="151"/>
      <c r="FJ59" s="151"/>
      <c r="FK59" s="151"/>
      <c r="FL59" s="151"/>
      <c r="FM59" s="151"/>
      <c r="FN59" s="151"/>
      <c r="FO59" s="151"/>
      <c r="FP59" s="151"/>
      <c r="FQ59" s="151"/>
      <c r="FR59" s="151"/>
      <c r="FS59" s="151"/>
      <c r="FT59" s="151"/>
      <c r="FU59" s="151"/>
      <c r="FV59" s="151"/>
      <c r="FW59" s="151"/>
      <c r="FX59" s="151"/>
      <c r="FY59" s="151"/>
      <c r="FZ59" s="151"/>
      <c r="GA59" s="151"/>
      <c r="GB59" s="151"/>
      <c r="GC59" s="151"/>
      <c r="GD59" s="151"/>
      <c r="GE59" s="151"/>
      <c r="GF59" s="151"/>
      <c r="GG59" s="151"/>
      <c r="GH59" s="151"/>
      <c r="GI59" s="151"/>
      <c r="GJ59" s="151"/>
      <c r="GK59" s="151"/>
      <c r="GL59" s="151"/>
      <c r="GM59" s="151"/>
      <c r="GN59" s="151"/>
      <c r="GO59" s="151"/>
      <c r="GP59" s="151"/>
      <c r="GQ59" s="151"/>
      <c r="GR59" s="151"/>
      <c r="GS59" s="151"/>
      <c r="GT59" s="151"/>
      <c r="GU59" s="151"/>
      <c r="GV59" s="151"/>
      <c r="GW59" s="151"/>
      <c r="GX59" s="151"/>
      <c r="GY59" s="151"/>
      <c r="GZ59" s="151"/>
      <c r="HA59" s="151"/>
      <c r="HB59" s="151"/>
      <c r="HC59" s="151"/>
      <c r="HD59" s="151"/>
      <c r="HE59" s="151"/>
      <c r="HF59" s="151"/>
      <c r="HG59" s="151"/>
      <c r="HH59" s="151"/>
      <c r="HI59" s="151"/>
      <c r="HJ59" s="151"/>
      <c r="HK59" s="151"/>
      <c r="HL59" s="151"/>
      <c r="HM59" s="151"/>
      <c r="HN59" s="151"/>
      <c r="HO59" s="151"/>
      <c r="HP59" s="151"/>
      <c r="HQ59" s="151"/>
      <c r="HR59" s="151"/>
      <c r="HS59" s="151"/>
      <c r="HT59" s="151"/>
      <c r="HU59" s="151"/>
      <c r="HV59" s="151"/>
      <c r="HW59" s="151"/>
      <c r="HX59" s="151"/>
      <c r="HY59" s="151"/>
      <c r="HZ59" s="151"/>
      <c r="IA59" s="151"/>
      <c r="IB59" s="151"/>
      <c r="IC59" s="151"/>
      <c r="ID59" s="151"/>
      <c r="IE59" s="151"/>
      <c r="IF59" s="151"/>
      <c r="IG59" s="151"/>
      <c r="IH59" s="151"/>
      <c r="II59" s="151"/>
      <c r="IJ59" s="151"/>
      <c r="IK59" s="151"/>
      <c r="IL59" s="151"/>
      <c r="IM59" s="151"/>
      <c r="IN59" s="151"/>
      <c r="IO59" s="151"/>
      <c r="IP59" s="151"/>
      <c r="IQ59" s="151"/>
      <c r="IR59" s="151"/>
      <c r="IS59" s="151"/>
      <c r="IT59" s="151"/>
      <c r="IU59" s="151"/>
      <c r="IV59" s="151"/>
    </row>
    <row r="60" spans="1:256" ht="13.5" thickBot="1">
      <c r="A60" s="1095"/>
      <c r="B60" s="370"/>
      <c r="C60" s="90">
        <v>7640013463</v>
      </c>
      <c r="D60" s="235" t="s">
        <v>199</v>
      </c>
      <c r="E60" s="518">
        <v>326.74226804123714</v>
      </c>
      <c r="F60" s="23">
        <f t="shared" si="0"/>
        <v>196.04536082474229</v>
      </c>
      <c r="G60" s="527">
        <f t="shared" si="1"/>
        <v>0</v>
      </c>
      <c r="H60" s="528">
        <f t="shared" si="2"/>
        <v>16.310974020618559</v>
      </c>
      <c r="I60" s="528">
        <f t="shared" si="3"/>
        <v>0</v>
      </c>
      <c r="J60" s="528">
        <f t="shared" si="4"/>
        <v>6.1362197938144343</v>
      </c>
      <c r="K60" s="528">
        <f t="shared" si="5"/>
        <v>0</v>
      </c>
      <c r="L60" s="528">
        <f t="shared" si="6"/>
        <v>5.0187612371134032</v>
      </c>
      <c r="M60" s="528">
        <f t="shared" si="7"/>
        <v>0</v>
      </c>
      <c r="N60" s="528">
        <f t="shared" si="8"/>
        <v>4.175766185567011</v>
      </c>
      <c r="O60" s="528">
        <f t="shared" si="9"/>
        <v>0</v>
      </c>
      <c r="P60" s="735"/>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c r="BM60" s="151"/>
      <c r="BN60" s="151"/>
      <c r="BO60" s="151"/>
      <c r="BP60" s="151"/>
      <c r="BQ60" s="151"/>
      <c r="BR60" s="151"/>
      <c r="BS60" s="151"/>
      <c r="BT60" s="151"/>
      <c r="BU60" s="151"/>
      <c r="BV60" s="151"/>
      <c r="BW60" s="151"/>
      <c r="BX60" s="151"/>
      <c r="BY60" s="151"/>
      <c r="BZ60" s="151"/>
      <c r="CA60" s="151"/>
      <c r="CB60" s="151"/>
      <c r="CC60" s="151"/>
      <c r="CD60" s="151"/>
      <c r="CE60" s="151"/>
      <c r="CF60" s="151"/>
      <c r="CG60" s="151"/>
      <c r="CH60" s="151"/>
      <c r="CI60" s="151"/>
      <c r="CJ60" s="151"/>
      <c r="CK60" s="151"/>
      <c r="CL60" s="151"/>
      <c r="CM60" s="151"/>
      <c r="CN60" s="151"/>
      <c r="CO60" s="151"/>
      <c r="CP60" s="151"/>
      <c r="CQ60" s="151"/>
      <c r="CR60" s="151"/>
      <c r="CS60" s="151"/>
      <c r="CT60" s="151"/>
      <c r="CU60" s="151"/>
      <c r="CV60" s="151"/>
      <c r="CW60" s="151"/>
      <c r="CX60" s="151"/>
      <c r="CY60" s="151"/>
      <c r="CZ60" s="151"/>
      <c r="DA60" s="151"/>
      <c r="DB60" s="151"/>
      <c r="DC60" s="151"/>
      <c r="DD60" s="151"/>
      <c r="DE60" s="151"/>
      <c r="DF60" s="151"/>
      <c r="DG60" s="151"/>
      <c r="DH60" s="151"/>
      <c r="DI60" s="151"/>
      <c r="DJ60" s="151"/>
      <c r="DK60" s="151"/>
      <c r="DL60" s="151"/>
      <c r="DM60" s="151"/>
      <c r="DN60" s="151"/>
      <c r="DO60" s="151"/>
      <c r="DP60" s="151"/>
      <c r="DQ60" s="151"/>
      <c r="DR60" s="151"/>
      <c r="DS60" s="151"/>
      <c r="DT60" s="151"/>
      <c r="DU60" s="151"/>
      <c r="DV60" s="151"/>
      <c r="DW60" s="151"/>
      <c r="DX60" s="151"/>
      <c r="DY60" s="151"/>
      <c r="DZ60" s="151"/>
      <c r="EA60" s="151"/>
      <c r="EB60" s="151"/>
      <c r="EC60" s="151"/>
      <c r="ED60" s="151"/>
      <c r="EE60" s="151"/>
      <c r="EF60" s="151"/>
      <c r="EG60" s="151"/>
      <c r="EH60" s="151"/>
      <c r="EI60" s="151"/>
      <c r="EJ60" s="151"/>
      <c r="EK60" s="151"/>
      <c r="EL60" s="151"/>
      <c r="EM60" s="151"/>
      <c r="EN60" s="151"/>
      <c r="EO60" s="151"/>
      <c r="EP60" s="151"/>
      <c r="EQ60" s="151"/>
      <c r="ER60" s="151"/>
      <c r="ES60" s="151"/>
      <c r="ET60" s="151"/>
      <c r="EU60" s="151"/>
      <c r="EV60" s="151"/>
      <c r="EW60" s="151"/>
      <c r="EX60" s="151"/>
      <c r="EY60" s="151"/>
      <c r="EZ60" s="151"/>
      <c r="FA60" s="151"/>
      <c r="FB60" s="151"/>
      <c r="FC60" s="151"/>
      <c r="FD60" s="151"/>
      <c r="FE60" s="151"/>
      <c r="FF60" s="151"/>
      <c r="FG60" s="151"/>
      <c r="FH60" s="151"/>
      <c r="FI60" s="151"/>
      <c r="FJ60" s="151"/>
      <c r="FK60" s="151"/>
      <c r="FL60" s="151"/>
      <c r="FM60" s="151"/>
      <c r="FN60" s="151"/>
      <c r="FO60" s="151"/>
      <c r="FP60" s="151"/>
      <c r="FQ60" s="151"/>
      <c r="FR60" s="151"/>
      <c r="FS60" s="151"/>
      <c r="FT60" s="151"/>
      <c r="FU60" s="151"/>
      <c r="FV60" s="151"/>
      <c r="FW60" s="151"/>
      <c r="FX60" s="151"/>
      <c r="FY60" s="151"/>
      <c r="FZ60" s="151"/>
      <c r="GA60" s="151"/>
      <c r="GB60" s="151"/>
      <c r="GC60" s="151"/>
      <c r="GD60" s="151"/>
      <c r="GE60" s="151"/>
      <c r="GF60" s="151"/>
      <c r="GG60" s="151"/>
      <c r="GH60" s="151"/>
      <c r="GI60" s="151"/>
      <c r="GJ60" s="151"/>
      <c r="GK60" s="151"/>
      <c r="GL60" s="151"/>
      <c r="GM60" s="151"/>
      <c r="GN60" s="151"/>
      <c r="GO60" s="151"/>
      <c r="GP60" s="151"/>
      <c r="GQ60" s="151"/>
      <c r="GR60" s="151"/>
      <c r="GS60" s="151"/>
      <c r="GT60" s="151"/>
      <c r="GU60" s="151"/>
      <c r="GV60" s="151"/>
      <c r="GW60" s="151"/>
      <c r="GX60" s="151"/>
      <c r="GY60" s="151"/>
      <c r="GZ60" s="151"/>
      <c r="HA60" s="151"/>
      <c r="HB60" s="151"/>
      <c r="HC60" s="151"/>
      <c r="HD60" s="151"/>
      <c r="HE60" s="151"/>
      <c r="HF60" s="151"/>
      <c r="HG60" s="151"/>
      <c r="HH60" s="151"/>
      <c r="HI60" s="151"/>
      <c r="HJ60" s="151"/>
      <c r="HK60" s="151"/>
      <c r="HL60" s="151"/>
      <c r="HM60" s="151"/>
      <c r="HN60" s="151"/>
      <c r="HO60" s="151"/>
      <c r="HP60" s="151"/>
      <c r="HQ60" s="151"/>
      <c r="HR60" s="151"/>
      <c r="HS60" s="151"/>
      <c r="HT60" s="151"/>
      <c r="HU60" s="151"/>
      <c r="HV60" s="151"/>
      <c r="HW60" s="151"/>
      <c r="HX60" s="151"/>
      <c r="HY60" s="151"/>
      <c r="HZ60" s="151"/>
      <c r="IA60" s="151"/>
      <c r="IB60" s="151"/>
      <c r="IC60" s="151"/>
      <c r="ID60" s="151"/>
      <c r="IE60" s="151"/>
      <c r="IF60" s="151"/>
      <c r="IG60" s="151"/>
      <c r="IH60" s="151"/>
      <c r="II60" s="151"/>
      <c r="IJ60" s="151"/>
      <c r="IK60" s="151"/>
      <c r="IL60" s="151"/>
      <c r="IM60" s="151"/>
      <c r="IN60" s="151"/>
      <c r="IO60" s="151"/>
      <c r="IP60" s="151"/>
      <c r="IQ60" s="151"/>
      <c r="IR60" s="151"/>
      <c r="IS60" s="151"/>
      <c r="IT60" s="151"/>
      <c r="IU60" s="151"/>
      <c r="IV60" s="151"/>
    </row>
    <row r="61" spans="1:256" ht="13.5" thickBot="1">
      <c r="A61" s="1095"/>
      <c r="B61" s="370"/>
      <c r="C61" s="90" t="s">
        <v>430</v>
      </c>
      <c r="D61" s="235" t="s">
        <v>409</v>
      </c>
      <c r="E61" s="518">
        <v>206.18556701030928</v>
      </c>
      <c r="F61" s="23">
        <f t="shared" si="0"/>
        <v>123.71134020618557</v>
      </c>
      <c r="G61" s="527">
        <f t="shared" si="1"/>
        <v>0</v>
      </c>
      <c r="H61" s="528">
        <f t="shared" si="2"/>
        <v>10.292783505154638</v>
      </c>
      <c r="I61" s="528">
        <f t="shared" si="3"/>
        <v>0</v>
      </c>
      <c r="J61" s="528">
        <f t="shared" si="4"/>
        <v>3.8721649484536083</v>
      </c>
      <c r="K61" s="528">
        <f t="shared" si="5"/>
        <v>0</v>
      </c>
      <c r="L61" s="528">
        <f t="shared" si="6"/>
        <v>3.1670103092783508</v>
      </c>
      <c r="M61" s="528">
        <f t="shared" si="7"/>
        <v>0</v>
      </c>
      <c r="N61" s="528">
        <f t="shared" si="8"/>
        <v>2.6350515463917525</v>
      </c>
      <c r="O61" s="528">
        <f t="shared" si="9"/>
        <v>0</v>
      </c>
      <c r="P61" s="735"/>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51"/>
      <c r="BZ61" s="151"/>
      <c r="CA61" s="151"/>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c r="DK61" s="151"/>
      <c r="DL61" s="151"/>
      <c r="DM61" s="151"/>
      <c r="DN61" s="151"/>
      <c r="DO61" s="151"/>
      <c r="DP61" s="151"/>
      <c r="DQ61" s="151"/>
      <c r="DR61" s="151"/>
      <c r="DS61" s="151"/>
      <c r="DT61" s="151"/>
      <c r="DU61" s="151"/>
      <c r="DV61" s="151"/>
      <c r="DW61" s="151"/>
      <c r="DX61" s="151"/>
      <c r="DY61" s="151"/>
      <c r="DZ61" s="151"/>
      <c r="EA61" s="151"/>
      <c r="EB61" s="151"/>
      <c r="EC61" s="151"/>
      <c r="ED61" s="151"/>
      <c r="EE61" s="151"/>
      <c r="EF61" s="151"/>
      <c r="EG61" s="151"/>
      <c r="EH61" s="151"/>
      <c r="EI61" s="151"/>
      <c r="EJ61" s="151"/>
      <c r="EK61" s="151"/>
      <c r="EL61" s="151"/>
      <c r="EM61" s="151"/>
      <c r="EN61" s="151"/>
      <c r="EO61" s="151"/>
      <c r="EP61" s="151"/>
      <c r="EQ61" s="151"/>
      <c r="ER61" s="151"/>
      <c r="ES61" s="151"/>
      <c r="ET61" s="151"/>
      <c r="EU61" s="151"/>
      <c r="EV61" s="151"/>
      <c r="EW61" s="151"/>
      <c r="EX61" s="151"/>
      <c r="EY61" s="151"/>
      <c r="EZ61" s="151"/>
      <c r="FA61" s="151"/>
      <c r="FB61" s="151"/>
      <c r="FC61" s="151"/>
      <c r="FD61" s="151"/>
      <c r="FE61" s="151"/>
      <c r="FF61" s="151"/>
      <c r="FG61" s="151"/>
      <c r="FH61" s="151"/>
      <c r="FI61" s="151"/>
      <c r="FJ61" s="151"/>
      <c r="FK61" s="151"/>
      <c r="FL61" s="151"/>
      <c r="FM61" s="151"/>
      <c r="FN61" s="151"/>
      <c r="FO61" s="151"/>
      <c r="FP61" s="151"/>
      <c r="FQ61" s="151"/>
      <c r="FR61" s="151"/>
      <c r="FS61" s="151"/>
      <c r="FT61" s="151"/>
      <c r="FU61" s="151"/>
      <c r="FV61" s="151"/>
      <c r="FW61" s="151"/>
      <c r="FX61" s="151"/>
      <c r="FY61" s="151"/>
      <c r="FZ61" s="151"/>
      <c r="GA61" s="151"/>
      <c r="GB61" s="151"/>
      <c r="GC61" s="151"/>
      <c r="GD61" s="151"/>
      <c r="GE61" s="151"/>
      <c r="GF61" s="151"/>
      <c r="GG61" s="151"/>
      <c r="GH61" s="151"/>
      <c r="GI61" s="151"/>
      <c r="GJ61" s="151"/>
      <c r="GK61" s="151"/>
      <c r="GL61" s="151"/>
      <c r="GM61" s="151"/>
      <c r="GN61" s="151"/>
      <c r="GO61" s="151"/>
      <c r="GP61" s="151"/>
      <c r="GQ61" s="151"/>
      <c r="GR61" s="151"/>
      <c r="GS61" s="151"/>
      <c r="GT61" s="151"/>
      <c r="GU61" s="151"/>
      <c r="GV61" s="151"/>
      <c r="GW61" s="151"/>
      <c r="GX61" s="151"/>
      <c r="GY61" s="151"/>
      <c r="GZ61" s="151"/>
      <c r="HA61" s="151"/>
      <c r="HB61" s="151"/>
      <c r="HC61" s="151"/>
      <c r="HD61" s="151"/>
      <c r="HE61" s="151"/>
      <c r="HF61" s="151"/>
      <c r="HG61" s="151"/>
      <c r="HH61" s="151"/>
      <c r="HI61" s="151"/>
      <c r="HJ61" s="151"/>
      <c r="HK61" s="151"/>
      <c r="HL61" s="151"/>
      <c r="HM61" s="151"/>
      <c r="HN61" s="151"/>
      <c r="HO61" s="151"/>
      <c r="HP61" s="151"/>
      <c r="HQ61" s="151"/>
      <c r="HR61" s="151"/>
      <c r="HS61" s="151"/>
      <c r="HT61" s="151"/>
      <c r="HU61" s="151"/>
      <c r="HV61" s="151"/>
      <c r="HW61" s="151"/>
      <c r="HX61" s="151"/>
      <c r="HY61" s="151"/>
      <c r="HZ61" s="151"/>
      <c r="IA61" s="151"/>
      <c r="IB61" s="151"/>
      <c r="IC61" s="151"/>
      <c r="ID61" s="151"/>
      <c r="IE61" s="151"/>
      <c r="IF61" s="151"/>
      <c r="IG61" s="151"/>
      <c r="IH61" s="151"/>
      <c r="II61" s="151"/>
      <c r="IJ61" s="151"/>
      <c r="IK61" s="151"/>
      <c r="IL61" s="151"/>
      <c r="IM61" s="151"/>
      <c r="IN61" s="151"/>
      <c r="IO61" s="151"/>
      <c r="IP61" s="151"/>
      <c r="IQ61" s="151"/>
      <c r="IR61" s="151"/>
      <c r="IS61" s="151"/>
      <c r="IT61" s="151"/>
      <c r="IU61" s="151"/>
      <c r="IV61" s="151"/>
    </row>
    <row r="62" spans="1:256" ht="26.25" thickBot="1">
      <c r="A62" s="1095"/>
      <c r="B62" s="370"/>
      <c r="C62" s="90" t="s">
        <v>431</v>
      </c>
      <c r="D62" s="235" t="s">
        <v>410</v>
      </c>
      <c r="E62" s="518">
        <v>287.62886597938143</v>
      </c>
      <c r="F62" s="23">
        <f t="shared" si="0"/>
        <v>172.57731958762886</v>
      </c>
      <c r="G62" s="527">
        <f t="shared" si="1"/>
        <v>0</v>
      </c>
      <c r="H62" s="528">
        <f t="shared" si="2"/>
        <v>14.358432989690721</v>
      </c>
      <c r="I62" s="528">
        <f t="shared" si="3"/>
        <v>0</v>
      </c>
      <c r="J62" s="528">
        <f t="shared" si="4"/>
        <v>5.4016701030927834</v>
      </c>
      <c r="K62" s="528">
        <f t="shared" si="5"/>
        <v>0</v>
      </c>
      <c r="L62" s="528">
        <f t="shared" si="6"/>
        <v>4.417979381443299</v>
      </c>
      <c r="M62" s="528">
        <f t="shared" si="7"/>
        <v>0</v>
      </c>
      <c r="N62" s="528">
        <f t="shared" si="8"/>
        <v>3.6758969072164946</v>
      </c>
      <c r="O62" s="528">
        <f t="shared" si="9"/>
        <v>0</v>
      </c>
      <c r="P62" s="735"/>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c r="DP62" s="151"/>
      <c r="DQ62" s="151"/>
      <c r="DR62" s="151"/>
      <c r="DS62" s="151"/>
      <c r="DT62" s="151"/>
      <c r="DU62" s="151"/>
      <c r="DV62" s="151"/>
      <c r="DW62" s="151"/>
      <c r="DX62" s="151"/>
      <c r="DY62" s="151"/>
      <c r="DZ62" s="151"/>
      <c r="EA62" s="151"/>
      <c r="EB62" s="151"/>
      <c r="EC62" s="151"/>
      <c r="ED62" s="151"/>
      <c r="EE62" s="151"/>
      <c r="EF62" s="151"/>
      <c r="EG62" s="151"/>
      <c r="EH62" s="151"/>
      <c r="EI62" s="151"/>
      <c r="EJ62" s="151"/>
      <c r="EK62" s="151"/>
      <c r="EL62" s="151"/>
      <c r="EM62" s="151"/>
      <c r="EN62" s="151"/>
      <c r="EO62" s="151"/>
      <c r="EP62" s="151"/>
      <c r="EQ62" s="151"/>
      <c r="ER62" s="151"/>
      <c r="ES62" s="151"/>
      <c r="ET62" s="151"/>
      <c r="EU62" s="151"/>
      <c r="EV62" s="151"/>
      <c r="EW62" s="151"/>
      <c r="EX62" s="151"/>
      <c r="EY62" s="151"/>
      <c r="EZ62" s="151"/>
      <c r="FA62" s="151"/>
      <c r="FB62" s="151"/>
      <c r="FC62" s="151"/>
      <c r="FD62" s="151"/>
      <c r="FE62" s="151"/>
      <c r="FF62" s="151"/>
      <c r="FG62" s="151"/>
      <c r="FH62" s="151"/>
      <c r="FI62" s="151"/>
      <c r="FJ62" s="151"/>
      <c r="FK62" s="151"/>
      <c r="FL62" s="151"/>
      <c r="FM62" s="151"/>
      <c r="FN62" s="151"/>
      <c r="FO62" s="151"/>
      <c r="FP62" s="151"/>
      <c r="FQ62" s="151"/>
      <c r="FR62" s="151"/>
      <c r="FS62" s="151"/>
      <c r="FT62" s="151"/>
      <c r="FU62" s="151"/>
      <c r="FV62" s="151"/>
      <c r="FW62" s="151"/>
      <c r="FX62" s="151"/>
      <c r="FY62" s="151"/>
      <c r="FZ62" s="151"/>
      <c r="GA62" s="151"/>
      <c r="GB62" s="151"/>
      <c r="GC62" s="151"/>
      <c r="GD62" s="151"/>
      <c r="GE62" s="151"/>
      <c r="GF62" s="151"/>
      <c r="GG62" s="151"/>
      <c r="GH62" s="151"/>
      <c r="GI62" s="151"/>
      <c r="GJ62" s="151"/>
      <c r="GK62" s="151"/>
      <c r="GL62" s="151"/>
      <c r="GM62" s="151"/>
      <c r="GN62" s="151"/>
      <c r="GO62" s="151"/>
      <c r="GP62" s="151"/>
      <c r="GQ62" s="151"/>
      <c r="GR62" s="151"/>
      <c r="GS62" s="151"/>
      <c r="GT62" s="151"/>
      <c r="GU62" s="151"/>
      <c r="GV62" s="151"/>
      <c r="GW62" s="151"/>
      <c r="GX62" s="151"/>
      <c r="GY62" s="151"/>
      <c r="GZ62" s="151"/>
      <c r="HA62" s="151"/>
      <c r="HB62" s="151"/>
      <c r="HC62" s="151"/>
      <c r="HD62" s="151"/>
      <c r="HE62" s="151"/>
      <c r="HF62" s="151"/>
      <c r="HG62" s="151"/>
      <c r="HH62" s="151"/>
      <c r="HI62" s="151"/>
      <c r="HJ62" s="151"/>
      <c r="HK62" s="151"/>
      <c r="HL62" s="151"/>
      <c r="HM62" s="151"/>
      <c r="HN62" s="151"/>
      <c r="HO62" s="151"/>
      <c r="HP62" s="151"/>
      <c r="HQ62" s="151"/>
      <c r="HR62" s="151"/>
      <c r="HS62" s="151"/>
      <c r="HT62" s="151"/>
      <c r="HU62" s="151"/>
      <c r="HV62" s="151"/>
      <c r="HW62" s="151"/>
      <c r="HX62" s="151"/>
      <c r="HY62" s="151"/>
      <c r="HZ62" s="151"/>
      <c r="IA62" s="151"/>
      <c r="IB62" s="151"/>
      <c r="IC62" s="151"/>
      <c r="ID62" s="151"/>
      <c r="IE62" s="151"/>
      <c r="IF62" s="151"/>
      <c r="IG62" s="151"/>
      <c r="IH62" s="151"/>
      <c r="II62" s="151"/>
      <c r="IJ62" s="151"/>
      <c r="IK62" s="151"/>
      <c r="IL62" s="151"/>
      <c r="IM62" s="151"/>
      <c r="IN62" s="151"/>
      <c r="IO62" s="151"/>
      <c r="IP62" s="151"/>
      <c r="IQ62" s="151"/>
      <c r="IR62" s="151"/>
      <c r="IS62" s="151"/>
      <c r="IT62" s="151"/>
      <c r="IU62" s="151"/>
      <c r="IV62" s="151"/>
    </row>
    <row r="63" spans="1:256" ht="13.5" thickBot="1">
      <c r="A63" s="1095"/>
      <c r="B63" s="370"/>
      <c r="C63" s="90">
        <v>7640006869</v>
      </c>
      <c r="D63" s="235" t="s">
        <v>229</v>
      </c>
      <c r="E63" s="518">
        <v>229.48453608247422</v>
      </c>
      <c r="F63" s="44">
        <f t="shared" si="0"/>
        <v>137.69072164948452</v>
      </c>
      <c r="G63" s="527">
        <f t="shared" si="1"/>
        <v>0</v>
      </c>
      <c r="H63" s="528">
        <f t="shared" si="2"/>
        <v>11.45586804123711</v>
      </c>
      <c r="I63" s="528">
        <f t="shared" si="3"/>
        <v>0</v>
      </c>
      <c r="J63" s="528">
        <f t="shared" si="4"/>
        <v>4.3097195876288659</v>
      </c>
      <c r="K63" s="528">
        <f t="shared" si="5"/>
        <v>0</v>
      </c>
      <c r="L63" s="528">
        <f t="shared" si="6"/>
        <v>3.5248824742268039</v>
      </c>
      <c r="M63" s="528">
        <f t="shared" si="7"/>
        <v>0</v>
      </c>
      <c r="N63" s="528">
        <f t="shared" si="8"/>
        <v>2.9328123711340202</v>
      </c>
      <c r="O63" s="528">
        <f t="shared" si="9"/>
        <v>0</v>
      </c>
      <c r="P63" s="735"/>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51"/>
      <c r="DI63" s="151"/>
      <c r="DJ63" s="151"/>
      <c r="DK63" s="151"/>
      <c r="DL63" s="151"/>
      <c r="DM63" s="151"/>
      <c r="DN63" s="151"/>
      <c r="DO63" s="151"/>
      <c r="DP63" s="151"/>
      <c r="DQ63" s="151"/>
      <c r="DR63" s="151"/>
      <c r="DS63" s="151"/>
      <c r="DT63" s="151"/>
      <c r="DU63" s="151"/>
      <c r="DV63" s="151"/>
      <c r="DW63" s="151"/>
      <c r="DX63" s="151"/>
      <c r="DY63" s="151"/>
      <c r="DZ63" s="151"/>
      <c r="EA63" s="151"/>
      <c r="EB63" s="151"/>
      <c r="EC63" s="151"/>
      <c r="ED63" s="151"/>
      <c r="EE63" s="151"/>
      <c r="EF63" s="151"/>
      <c r="EG63" s="151"/>
      <c r="EH63" s="151"/>
      <c r="EI63" s="151"/>
      <c r="EJ63" s="151"/>
      <c r="EK63" s="151"/>
      <c r="EL63" s="151"/>
      <c r="EM63" s="151"/>
      <c r="EN63" s="151"/>
      <c r="EO63" s="151"/>
      <c r="EP63" s="151"/>
      <c r="EQ63" s="151"/>
      <c r="ER63" s="151"/>
      <c r="ES63" s="151"/>
      <c r="ET63" s="151"/>
      <c r="EU63" s="151"/>
      <c r="EV63" s="151"/>
      <c r="EW63" s="151"/>
      <c r="EX63" s="151"/>
      <c r="EY63" s="151"/>
      <c r="EZ63" s="151"/>
      <c r="FA63" s="151"/>
      <c r="FB63" s="151"/>
      <c r="FC63" s="151"/>
      <c r="FD63" s="151"/>
      <c r="FE63" s="151"/>
      <c r="FF63" s="151"/>
      <c r="FG63" s="151"/>
      <c r="FH63" s="151"/>
      <c r="FI63" s="151"/>
      <c r="FJ63" s="151"/>
      <c r="FK63" s="151"/>
      <c r="FL63" s="151"/>
      <c r="FM63" s="151"/>
      <c r="FN63" s="151"/>
      <c r="FO63" s="151"/>
      <c r="FP63" s="151"/>
      <c r="FQ63" s="151"/>
      <c r="FR63" s="151"/>
      <c r="FS63" s="151"/>
      <c r="FT63" s="151"/>
      <c r="FU63" s="151"/>
      <c r="FV63" s="151"/>
      <c r="FW63" s="151"/>
      <c r="FX63" s="151"/>
      <c r="FY63" s="151"/>
      <c r="FZ63" s="151"/>
      <c r="GA63" s="151"/>
      <c r="GB63" s="151"/>
      <c r="GC63" s="151"/>
      <c r="GD63" s="151"/>
      <c r="GE63" s="151"/>
      <c r="GF63" s="151"/>
      <c r="GG63" s="151"/>
      <c r="GH63" s="151"/>
      <c r="GI63" s="151"/>
      <c r="GJ63" s="151"/>
      <c r="GK63" s="151"/>
      <c r="GL63" s="151"/>
      <c r="GM63" s="151"/>
      <c r="GN63" s="151"/>
      <c r="GO63" s="151"/>
      <c r="GP63" s="151"/>
      <c r="GQ63" s="151"/>
      <c r="GR63" s="151"/>
      <c r="GS63" s="151"/>
      <c r="GT63" s="151"/>
      <c r="GU63" s="151"/>
      <c r="GV63" s="151"/>
      <c r="GW63" s="151"/>
      <c r="GX63" s="151"/>
      <c r="GY63" s="151"/>
      <c r="GZ63" s="151"/>
      <c r="HA63" s="151"/>
      <c r="HB63" s="151"/>
      <c r="HC63" s="151"/>
      <c r="HD63" s="151"/>
      <c r="HE63" s="151"/>
      <c r="HF63" s="151"/>
      <c r="HG63" s="151"/>
      <c r="HH63" s="151"/>
      <c r="HI63" s="151"/>
      <c r="HJ63" s="151"/>
      <c r="HK63" s="151"/>
      <c r="HL63" s="151"/>
      <c r="HM63" s="151"/>
      <c r="HN63" s="151"/>
      <c r="HO63" s="151"/>
      <c r="HP63" s="151"/>
      <c r="HQ63" s="151"/>
      <c r="HR63" s="151"/>
      <c r="HS63" s="151"/>
      <c r="HT63" s="151"/>
      <c r="HU63" s="151"/>
      <c r="HV63" s="151"/>
      <c r="HW63" s="151"/>
      <c r="HX63" s="151"/>
      <c r="HY63" s="151"/>
      <c r="HZ63" s="151"/>
      <c r="IA63" s="151"/>
      <c r="IB63" s="151"/>
      <c r="IC63" s="151"/>
      <c r="ID63" s="151"/>
      <c r="IE63" s="151"/>
      <c r="IF63" s="151"/>
      <c r="IG63" s="151"/>
      <c r="IH63" s="151"/>
      <c r="II63" s="151"/>
      <c r="IJ63" s="151"/>
      <c r="IK63" s="151"/>
      <c r="IL63" s="151"/>
      <c r="IM63" s="151"/>
      <c r="IN63" s="151"/>
      <c r="IO63" s="151"/>
      <c r="IP63" s="151"/>
      <c r="IQ63" s="151"/>
      <c r="IR63" s="151"/>
      <c r="IS63" s="151"/>
      <c r="IT63" s="151"/>
      <c r="IU63" s="151"/>
      <c r="IV63" s="151"/>
    </row>
    <row r="64" spans="1:256" ht="13.5" thickBot="1">
      <c r="A64" s="1095"/>
      <c r="B64" s="370"/>
      <c r="C64" s="90" t="s">
        <v>432</v>
      </c>
      <c r="D64" s="235" t="s">
        <v>411</v>
      </c>
      <c r="E64" s="518">
        <v>1103.0927835051546</v>
      </c>
      <c r="F64" s="23">
        <f t="shared" si="0"/>
        <v>661.85567010309273</v>
      </c>
      <c r="G64" s="527">
        <f t="shared" si="1"/>
        <v>0</v>
      </c>
      <c r="H64" s="528">
        <f t="shared" si="2"/>
        <v>55.06639175257731</v>
      </c>
      <c r="I64" s="528">
        <f t="shared" si="3"/>
        <v>0</v>
      </c>
      <c r="J64" s="528">
        <f t="shared" si="4"/>
        <v>20.716082474226802</v>
      </c>
      <c r="K64" s="528">
        <f t="shared" si="5"/>
        <v>0</v>
      </c>
      <c r="L64" s="528">
        <f t="shared" si="6"/>
        <v>16.943505154639176</v>
      </c>
      <c r="M64" s="528">
        <f t="shared" si="7"/>
        <v>0</v>
      </c>
      <c r="N64" s="528">
        <f t="shared" si="8"/>
        <v>14.097525773195875</v>
      </c>
      <c r="O64" s="528">
        <f t="shared" si="9"/>
        <v>0</v>
      </c>
      <c r="P64" s="735"/>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c r="BM64" s="151"/>
      <c r="BN64" s="151"/>
      <c r="BO64" s="151"/>
      <c r="BP64" s="151"/>
      <c r="BQ64" s="151"/>
      <c r="BR64" s="151"/>
      <c r="BS64" s="151"/>
      <c r="BT64" s="151"/>
      <c r="BU64" s="151"/>
      <c r="BV64" s="151"/>
      <c r="BW64" s="151"/>
      <c r="BX64" s="151"/>
      <c r="BY64" s="151"/>
      <c r="BZ64" s="151"/>
      <c r="CA64" s="151"/>
      <c r="CB64" s="151"/>
      <c r="CC64" s="151"/>
      <c r="CD64" s="151"/>
      <c r="CE64" s="151"/>
      <c r="CF64" s="151"/>
      <c r="CG64" s="151"/>
      <c r="CH64" s="151"/>
      <c r="CI64" s="151"/>
      <c r="CJ64" s="151"/>
      <c r="CK64" s="151"/>
      <c r="CL64" s="151"/>
      <c r="CM64" s="151"/>
      <c r="CN64" s="151"/>
      <c r="CO64" s="151"/>
      <c r="CP64" s="151"/>
      <c r="CQ64" s="151"/>
      <c r="CR64" s="151"/>
      <c r="CS64" s="151"/>
      <c r="CT64" s="151"/>
      <c r="CU64" s="151"/>
      <c r="CV64" s="151"/>
      <c r="CW64" s="151"/>
      <c r="CX64" s="151"/>
      <c r="CY64" s="151"/>
      <c r="CZ64" s="151"/>
      <c r="DA64" s="151"/>
      <c r="DB64" s="151"/>
      <c r="DC64" s="151"/>
      <c r="DD64" s="151"/>
      <c r="DE64" s="151"/>
      <c r="DF64" s="151"/>
      <c r="DG64" s="151"/>
      <c r="DH64" s="151"/>
      <c r="DI64" s="151"/>
      <c r="DJ64" s="151"/>
      <c r="DK64" s="151"/>
      <c r="DL64" s="151"/>
      <c r="DM64" s="151"/>
      <c r="DN64" s="151"/>
      <c r="DO64" s="151"/>
      <c r="DP64" s="151"/>
      <c r="DQ64" s="151"/>
      <c r="DR64" s="151"/>
      <c r="DS64" s="151"/>
      <c r="DT64" s="151"/>
      <c r="DU64" s="151"/>
      <c r="DV64" s="151"/>
      <c r="DW64" s="151"/>
      <c r="DX64" s="151"/>
      <c r="DY64" s="151"/>
      <c r="DZ64" s="151"/>
      <c r="EA64" s="151"/>
      <c r="EB64" s="151"/>
      <c r="EC64" s="151"/>
      <c r="ED64" s="151"/>
      <c r="EE64" s="151"/>
      <c r="EF64" s="151"/>
      <c r="EG64" s="151"/>
      <c r="EH64" s="151"/>
      <c r="EI64" s="151"/>
      <c r="EJ64" s="151"/>
      <c r="EK64" s="151"/>
      <c r="EL64" s="151"/>
      <c r="EM64" s="151"/>
      <c r="EN64" s="151"/>
      <c r="EO64" s="151"/>
      <c r="EP64" s="151"/>
      <c r="EQ64" s="151"/>
      <c r="ER64" s="151"/>
      <c r="ES64" s="151"/>
      <c r="ET64" s="151"/>
      <c r="EU64" s="151"/>
      <c r="EV64" s="151"/>
      <c r="EW64" s="151"/>
      <c r="EX64" s="151"/>
      <c r="EY64" s="151"/>
      <c r="EZ64" s="151"/>
      <c r="FA64" s="151"/>
      <c r="FB64" s="151"/>
      <c r="FC64" s="151"/>
      <c r="FD64" s="151"/>
      <c r="FE64" s="151"/>
      <c r="FF64" s="151"/>
      <c r="FG64" s="151"/>
      <c r="FH64" s="151"/>
      <c r="FI64" s="151"/>
      <c r="FJ64" s="151"/>
      <c r="FK64" s="151"/>
      <c r="FL64" s="151"/>
      <c r="FM64" s="151"/>
      <c r="FN64" s="151"/>
      <c r="FO64" s="151"/>
      <c r="FP64" s="151"/>
      <c r="FQ64" s="151"/>
      <c r="FR64" s="151"/>
      <c r="FS64" s="151"/>
      <c r="FT64" s="151"/>
      <c r="FU64" s="151"/>
      <c r="FV64" s="151"/>
      <c r="FW64" s="151"/>
      <c r="FX64" s="151"/>
      <c r="FY64" s="151"/>
      <c r="FZ64" s="151"/>
      <c r="GA64" s="151"/>
      <c r="GB64" s="151"/>
      <c r="GC64" s="151"/>
      <c r="GD64" s="151"/>
      <c r="GE64" s="151"/>
      <c r="GF64" s="151"/>
      <c r="GG64" s="151"/>
      <c r="GH64" s="151"/>
      <c r="GI64" s="151"/>
      <c r="GJ64" s="151"/>
      <c r="GK64" s="151"/>
      <c r="GL64" s="151"/>
      <c r="GM64" s="151"/>
      <c r="GN64" s="151"/>
      <c r="GO64" s="151"/>
      <c r="GP64" s="151"/>
      <c r="GQ64" s="151"/>
      <c r="GR64" s="151"/>
      <c r="GS64" s="151"/>
      <c r="GT64" s="151"/>
      <c r="GU64" s="151"/>
      <c r="GV64" s="151"/>
      <c r="GW64" s="151"/>
      <c r="GX64" s="151"/>
      <c r="GY64" s="151"/>
      <c r="GZ64" s="151"/>
      <c r="HA64" s="151"/>
      <c r="HB64" s="151"/>
      <c r="HC64" s="151"/>
      <c r="HD64" s="151"/>
      <c r="HE64" s="151"/>
      <c r="HF64" s="151"/>
      <c r="HG64" s="151"/>
      <c r="HH64" s="151"/>
      <c r="HI64" s="151"/>
      <c r="HJ64" s="151"/>
      <c r="HK64" s="151"/>
      <c r="HL64" s="151"/>
      <c r="HM64" s="151"/>
      <c r="HN64" s="151"/>
      <c r="HO64" s="151"/>
      <c r="HP64" s="151"/>
      <c r="HQ64" s="151"/>
      <c r="HR64" s="151"/>
      <c r="HS64" s="151"/>
      <c r="HT64" s="151"/>
      <c r="HU64" s="151"/>
      <c r="HV64" s="151"/>
      <c r="HW64" s="151"/>
      <c r="HX64" s="151"/>
      <c r="HY64" s="151"/>
      <c r="HZ64" s="151"/>
      <c r="IA64" s="151"/>
      <c r="IB64" s="151"/>
      <c r="IC64" s="151"/>
      <c r="ID64" s="151"/>
      <c r="IE64" s="151"/>
      <c r="IF64" s="151"/>
      <c r="IG64" s="151"/>
      <c r="IH64" s="151"/>
      <c r="II64" s="151"/>
      <c r="IJ64" s="151"/>
      <c r="IK64" s="151"/>
      <c r="IL64" s="151"/>
      <c r="IM64" s="151"/>
      <c r="IN64" s="151"/>
      <c r="IO64" s="151"/>
      <c r="IP64" s="151"/>
      <c r="IQ64" s="151"/>
      <c r="IR64" s="151"/>
      <c r="IS64" s="151"/>
      <c r="IT64" s="151"/>
      <c r="IU64" s="151"/>
      <c r="IV64" s="151"/>
    </row>
    <row r="65" spans="1:256" ht="13.5" thickBot="1">
      <c r="A65" s="1095"/>
      <c r="B65" s="370"/>
      <c r="C65" s="90" t="s">
        <v>433</v>
      </c>
      <c r="D65" s="235" t="s">
        <v>412</v>
      </c>
      <c r="E65" s="518">
        <v>1679.6185567010309</v>
      </c>
      <c r="F65" s="23">
        <f t="shared" si="0"/>
        <v>1007.7711340206185</v>
      </c>
      <c r="G65" s="527">
        <f t="shared" si="1"/>
        <v>0</v>
      </c>
      <c r="H65" s="528">
        <f t="shared" si="2"/>
        <v>83.846558350515465</v>
      </c>
      <c r="I65" s="528">
        <f t="shared" si="3"/>
        <v>0</v>
      </c>
      <c r="J65" s="528">
        <f t="shared" si="4"/>
        <v>31.543236494845363</v>
      </c>
      <c r="K65" s="528">
        <f t="shared" si="5"/>
        <v>0</v>
      </c>
      <c r="L65" s="528">
        <f t="shared" si="6"/>
        <v>25.798941030927836</v>
      </c>
      <c r="M65" s="528">
        <f t="shared" si="7"/>
        <v>0</v>
      </c>
      <c r="N65" s="528">
        <f t="shared" si="8"/>
        <v>21.465525154639174</v>
      </c>
      <c r="O65" s="528">
        <f t="shared" si="9"/>
        <v>0</v>
      </c>
      <c r="P65" s="735"/>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c r="BM65" s="151"/>
      <c r="BN65" s="151"/>
      <c r="BO65" s="151"/>
      <c r="BP65" s="151"/>
      <c r="BQ65" s="151"/>
      <c r="BR65" s="151"/>
      <c r="BS65" s="151"/>
      <c r="BT65" s="151"/>
      <c r="BU65" s="151"/>
      <c r="BV65" s="151"/>
      <c r="BW65" s="151"/>
      <c r="BX65" s="151"/>
      <c r="BY65" s="151"/>
      <c r="BZ65" s="151"/>
      <c r="CA65" s="151"/>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c r="DK65" s="151"/>
      <c r="DL65" s="151"/>
      <c r="DM65" s="151"/>
      <c r="DN65" s="151"/>
      <c r="DO65" s="151"/>
      <c r="DP65" s="151"/>
      <c r="DQ65" s="151"/>
      <c r="DR65" s="151"/>
      <c r="DS65" s="151"/>
      <c r="DT65" s="151"/>
      <c r="DU65" s="151"/>
      <c r="DV65" s="151"/>
      <c r="DW65" s="151"/>
      <c r="DX65" s="151"/>
      <c r="DY65" s="151"/>
      <c r="DZ65" s="151"/>
      <c r="EA65" s="151"/>
      <c r="EB65" s="151"/>
      <c r="EC65" s="151"/>
      <c r="ED65" s="151"/>
      <c r="EE65" s="151"/>
      <c r="EF65" s="151"/>
      <c r="EG65" s="151"/>
      <c r="EH65" s="151"/>
      <c r="EI65" s="151"/>
      <c r="EJ65" s="151"/>
      <c r="EK65" s="151"/>
      <c r="EL65" s="151"/>
      <c r="EM65" s="151"/>
      <c r="EN65" s="151"/>
      <c r="EO65" s="151"/>
      <c r="EP65" s="151"/>
      <c r="EQ65" s="151"/>
      <c r="ER65" s="151"/>
      <c r="ES65" s="151"/>
      <c r="ET65" s="151"/>
      <c r="EU65" s="151"/>
      <c r="EV65" s="151"/>
      <c r="EW65" s="151"/>
      <c r="EX65" s="151"/>
      <c r="EY65" s="151"/>
      <c r="EZ65" s="151"/>
      <c r="FA65" s="151"/>
      <c r="FB65" s="151"/>
      <c r="FC65" s="151"/>
      <c r="FD65" s="151"/>
      <c r="FE65" s="151"/>
      <c r="FF65" s="151"/>
      <c r="FG65" s="151"/>
      <c r="FH65" s="151"/>
      <c r="FI65" s="151"/>
      <c r="FJ65" s="151"/>
      <c r="FK65" s="151"/>
      <c r="FL65" s="151"/>
      <c r="FM65" s="151"/>
      <c r="FN65" s="151"/>
      <c r="FO65" s="151"/>
      <c r="FP65" s="151"/>
      <c r="FQ65" s="151"/>
      <c r="FR65" s="151"/>
      <c r="FS65" s="151"/>
      <c r="FT65" s="151"/>
      <c r="FU65" s="151"/>
      <c r="FV65" s="151"/>
      <c r="FW65" s="151"/>
      <c r="FX65" s="151"/>
      <c r="FY65" s="151"/>
      <c r="FZ65" s="151"/>
      <c r="GA65" s="151"/>
      <c r="GB65" s="151"/>
      <c r="GC65" s="151"/>
      <c r="GD65" s="151"/>
      <c r="GE65" s="151"/>
      <c r="GF65" s="151"/>
      <c r="GG65" s="151"/>
      <c r="GH65" s="151"/>
      <c r="GI65" s="151"/>
      <c r="GJ65" s="151"/>
      <c r="GK65" s="151"/>
      <c r="GL65" s="151"/>
      <c r="GM65" s="151"/>
      <c r="GN65" s="151"/>
      <c r="GO65" s="151"/>
      <c r="GP65" s="151"/>
      <c r="GQ65" s="151"/>
      <c r="GR65" s="151"/>
      <c r="GS65" s="151"/>
      <c r="GT65" s="151"/>
      <c r="GU65" s="151"/>
      <c r="GV65" s="151"/>
      <c r="GW65" s="151"/>
      <c r="GX65" s="151"/>
      <c r="GY65" s="151"/>
      <c r="GZ65" s="151"/>
      <c r="HA65" s="151"/>
      <c r="HB65" s="151"/>
      <c r="HC65" s="151"/>
      <c r="HD65" s="151"/>
      <c r="HE65" s="151"/>
      <c r="HF65" s="151"/>
      <c r="HG65" s="151"/>
      <c r="HH65" s="151"/>
      <c r="HI65" s="151"/>
      <c r="HJ65" s="151"/>
      <c r="HK65" s="151"/>
      <c r="HL65" s="151"/>
      <c r="HM65" s="151"/>
      <c r="HN65" s="151"/>
      <c r="HO65" s="151"/>
      <c r="HP65" s="151"/>
      <c r="HQ65" s="151"/>
      <c r="HR65" s="151"/>
      <c r="HS65" s="151"/>
      <c r="HT65" s="151"/>
      <c r="HU65" s="151"/>
      <c r="HV65" s="151"/>
      <c r="HW65" s="151"/>
      <c r="HX65" s="151"/>
      <c r="HY65" s="151"/>
      <c r="HZ65" s="151"/>
      <c r="IA65" s="151"/>
      <c r="IB65" s="151"/>
      <c r="IC65" s="151"/>
      <c r="ID65" s="151"/>
      <c r="IE65" s="151"/>
      <c r="IF65" s="151"/>
      <c r="IG65" s="151"/>
      <c r="IH65" s="151"/>
      <c r="II65" s="151"/>
      <c r="IJ65" s="151"/>
      <c r="IK65" s="151"/>
      <c r="IL65" s="151"/>
      <c r="IM65" s="151"/>
      <c r="IN65" s="151"/>
      <c r="IO65" s="151"/>
      <c r="IP65" s="151"/>
      <c r="IQ65" s="151"/>
      <c r="IR65" s="151"/>
      <c r="IS65" s="151"/>
      <c r="IT65" s="151"/>
      <c r="IU65" s="151"/>
      <c r="IV65" s="151"/>
    </row>
    <row r="66" spans="1:256" ht="26.25" thickBot="1">
      <c r="A66" s="1095"/>
      <c r="B66" s="370"/>
      <c r="C66" s="90" t="s">
        <v>434</v>
      </c>
      <c r="D66" s="235" t="s">
        <v>413</v>
      </c>
      <c r="E66" s="518">
        <v>1912.3711340206187</v>
      </c>
      <c r="F66" s="23">
        <f t="shared" si="0"/>
        <v>1147.4226804123712</v>
      </c>
      <c r="G66" s="527">
        <f t="shared" si="1"/>
        <v>0</v>
      </c>
      <c r="H66" s="528">
        <f t="shared" si="2"/>
        <v>95.465567010309272</v>
      </c>
      <c r="I66" s="528">
        <f t="shared" si="3"/>
        <v>0</v>
      </c>
      <c r="J66" s="528">
        <f t="shared" si="4"/>
        <v>35.914329896907219</v>
      </c>
      <c r="K66" s="528">
        <f t="shared" si="5"/>
        <v>0</v>
      </c>
      <c r="L66" s="528">
        <f t="shared" si="6"/>
        <v>29.374020618556703</v>
      </c>
      <c r="M66" s="528">
        <f t="shared" si="7"/>
        <v>0</v>
      </c>
      <c r="N66" s="528">
        <f t="shared" si="8"/>
        <v>24.440103092783506</v>
      </c>
      <c r="O66" s="528">
        <f t="shared" si="9"/>
        <v>0</v>
      </c>
      <c r="P66" s="735"/>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151"/>
      <c r="BR66" s="151"/>
      <c r="BS66" s="151"/>
      <c r="BT66" s="151"/>
      <c r="BU66" s="151"/>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51"/>
      <c r="DI66" s="151"/>
      <c r="DJ66" s="151"/>
      <c r="DK66" s="151"/>
      <c r="DL66" s="151"/>
      <c r="DM66" s="151"/>
      <c r="DN66" s="151"/>
      <c r="DO66" s="151"/>
      <c r="DP66" s="151"/>
      <c r="DQ66" s="151"/>
      <c r="DR66" s="151"/>
      <c r="DS66" s="151"/>
      <c r="DT66" s="151"/>
      <c r="DU66" s="151"/>
      <c r="DV66" s="151"/>
      <c r="DW66" s="151"/>
      <c r="DX66" s="151"/>
      <c r="DY66" s="151"/>
      <c r="DZ66" s="151"/>
      <c r="EA66" s="151"/>
      <c r="EB66" s="151"/>
      <c r="EC66" s="151"/>
      <c r="ED66" s="151"/>
      <c r="EE66" s="151"/>
      <c r="EF66" s="151"/>
      <c r="EG66" s="151"/>
      <c r="EH66" s="151"/>
      <c r="EI66" s="151"/>
      <c r="EJ66" s="151"/>
      <c r="EK66" s="151"/>
      <c r="EL66" s="151"/>
      <c r="EM66" s="151"/>
      <c r="EN66" s="151"/>
      <c r="EO66" s="151"/>
      <c r="EP66" s="151"/>
      <c r="EQ66" s="151"/>
      <c r="ER66" s="151"/>
      <c r="ES66" s="151"/>
      <c r="ET66" s="151"/>
      <c r="EU66" s="151"/>
      <c r="EV66" s="151"/>
      <c r="EW66" s="151"/>
      <c r="EX66" s="151"/>
      <c r="EY66" s="151"/>
      <c r="EZ66" s="151"/>
      <c r="FA66" s="151"/>
      <c r="FB66" s="151"/>
      <c r="FC66" s="151"/>
      <c r="FD66" s="151"/>
      <c r="FE66" s="151"/>
      <c r="FF66" s="151"/>
      <c r="FG66" s="151"/>
      <c r="FH66" s="151"/>
      <c r="FI66" s="151"/>
      <c r="FJ66" s="151"/>
      <c r="FK66" s="151"/>
      <c r="FL66" s="151"/>
      <c r="FM66" s="151"/>
      <c r="FN66" s="151"/>
      <c r="FO66" s="151"/>
      <c r="FP66" s="151"/>
      <c r="FQ66" s="151"/>
      <c r="FR66" s="151"/>
      <c r="FS66" s="151"/>
      <c r="FT66" s="151"/>
      <c r="FU66" s="151"/>
      <c r="FV66" s="151"/>
      <c r="FW66" s="151"/>
      <c r="FX66" s="151"/>
      <c r="FY66" s="151"/>
      <c r="FZ66" s="151"/>
      <c r="GA66" s="151"/>
      <c r="GB66" s="151"/>
      <c r="GC66" s="151"/>
      <c r="GD66" s="151"/>
      <c r="GE66" s="151"/>
      <c r="GF66" s="151"/>
      <c r="GG66" s="151"/>
      <c r="GH66" s="151"/>
      <c r="GI66" s="151"/>
      <c r="GJ66" s="151"/>
      <c r="GK66" s="151"/>
      <c r="GL66" s="151"/>
      <c r="GM66" s="151"/>
      <c r="GN66" s="151"/>
      <c r="GO66" s="151"/>
      <c r="GP66" s="151"/>
      <c r="GQ66" s="151"/>
      <c r="GR66" s="151"/>
      <c r="GS66" s="151"/>
      <c r="GT66" s="151"/>
      <c r="GU66" s="151"/>
      <c r="GV66" s="151"/>
      <c r="GW66" s="151"/>
      <c r="GX66" s="151"/>
      <c r="GY66" s="151"/>
      <c r="GZ66" s="151"/>
      <c r="HA66" s="151"/>
      <c r="HB66" s="151"/>
      <c r="HC66" s="151"/>
      <c r="HD66" s="151"/>
      <c r="HE66" s="151"/>
      <c r="HF66" s="151"/>
      <c r="HG66" s="151"/>
      <c r="HH66" s="151"/>
      <c r="HI66" s="151"/>
      <c r="HJ66" s="151"/>
      <c r="HK66" s="151"/>
      <c r="HL66" s="151"/>
      <c r="HM66" s="151"/>
      <c r="HN66" s="151"/>
      <c r="HO66" s="151"/>
      <c r="HP66" s="151"/>
      <c r="HQ66" s="151"/>
      <c r="HR66" s="151"/>
      <c r="HS66" s="151"/>
      <c r="HT66" s="151"/>
      <c r="HU66" s="151"/>
      <c r="HV66" s="151"/>
      <c r="HW66" s="151"/>
      <c r="HX66" s="151"/>
      <c r="HY66" s="151"/>
      <c r="HZ66" s="151"/>
      <c r="IA66" s="151"/>
      <c r="IB66" s="151"/>
      <c r="IC66" s="151"/>
      <c r="ID66" s="151"/>
      <c r="IE66" s="151"/>
      <c r="IF66" s="151"/>
      <c r="IG66" s="151"/>
      <c r="IH66" s="151"/>
      <c r="II66" s="151"/>
      <c r="IJ66" s="151"/>
      <c r="IK66" s="151"/>
      <c r="IL66" s="151"/>
      <c r="IM66" s="151"/>
      <c r="IN66" s="151"/>
      <c r="IO66" s="151"/>
      <c r="IP66" s="151"/>
      <c r="IQ66" s="151"/>
      <c r="IR66" s="151"/>
      <c r="IS66" s="151"/>
      <c r="IT66" s="151"/>
      <c r="IU66" s="151"/>
      <c r="IV66" s="151"/>
    </row>
    <row r="67" spans="1:256" ht="26.25" thickBot="1">
      <c r="A67" s="1095"/>
      <c r="B67" s="370"/>
      <c r="C67" s="90" t="s">
        <v>435</v>
      </c>
      <c r="D67" s="235" t="s">
        <v>414</v>
      </c>
      <c r="E67" s="518">
        <v>3407.216494845361</v>
      </c>
      <c r="F67" s="23">
        <f t="shared" si="0"/>
        <v>2044.3298969072166</v>
      </c>
      <c r="G67" s="527">
        <f t="shared" si="1"/>
        <v>0</v>
      </c>
      <c r="H67" s="528">
        <f t="shared" si="2"/>
        <v>170.08824742268041</v>
      </c>
      <c r="I67" s="528">
        <f t="shared" si="3"/>
        <v>0</v>
      </c>
      <c r="J67" s="528">
        <f t="shared" si="4"/>
        <v>63.987525773195884</v>
      </c>
      <c r="K67" s="528">
        <f t="shared" si="5"/>
        <v>0</v>
      </c>
      <c r="L67" s="528">
        <f t="shared" si="6"/>
        <v>52.334845360824751</v>
      </c>
      <c r="M67" s="528">
        <f t="shared" si="7"/>
        <v>0</v>
      </c>
      <c r="N67" s="528">
        <f t="shared" si="8"/>
        <v>43.54422680412371</v>
      </c>
      <c r="O67" s="528">
        <f t="shared" si="9"/>
        <v>0</v>
      </c>
      <c r="P67" s="735"/>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151"/>
      <c r="DS67" s="151"/>
      <c r="DT67" s="151"/>
      <c r="DU67" s="151"/>
      <c r="DV67" s="151"/>
      <c r="DW67" s="151"/>
      <c r="DX67" s="151"/>
      <c r="DY67" s="151"/>
      <c r="DZ67" s="151"/>
      <c r="EA67" s="151"/>
      <c r="EB67" s="151"/>
      <c r="EC67" s="151"/>
      <c r="ED67" s="151"/>
      <c r="EE67" s="151"/>
      <c r="EF67" s="151"/>
      <c r="EG67" s="151"/>
      <c r="EH67" s="151"/>
      <c r="EI67" s="151"/>
      <c r="EJ67" s="151"/>
      <c r="EK67" s="151"/>
      <c r="EL67" s="151"/>
      <c r="EM67" s="151"/>
      <c r="EN67" s="151"/>
      <c r="EO67" s="151"/>
      <c r="EP67" s="151"/>
      <c r="EQ67" s="151"/>
      <c r="ER67" s="151"/>
      <c r="ES67" s="151"/>
      <c r="ET67" s="151"/>
      <c r="EU67" s="151"/>
      <c r="EV67" s="151"/>
      <c r="EW67" s="151"/>
      <c r="EX67" s="151"/>
      <c r="EY67" s="151"/>
      <c r="EZ67" s="151"/>
      <c r="FA67" s="151"/>
      <c r="FB67" s="151"/>
      <c r="FC67" s="151"/>
      <c r="FD67" s="151"/>
      <c r="FE67" s="151"/>
      <c r="FF67" s="151"/>
      <c r="FG67" s="151"/>
      <c r="FH67" s="151"/>
      <c r="FI67" s="151"/>
      <c r="FJ67" s="151"/>
      <c r="FK67" s="151"/>
      <c r="FL67" s="151"/>
      <c r="FM67" s="151"/>
      <c r="FN67" s="151"/>
      <c r="FO67" s="151"/>
      <c r="FP67" s="151"/>
      <c r="FQ67" s="151"/>
      <c r="FR67" s="151"/>
      <c r="FS67" s="151"/>
      <c r="FT67" s="151"/>
      <c r="FU67" s="151"/>
      <c r="FV67" s="151"/>
      <c r="FW67" s="151"/>
      <c r="FX67" s="151"/>
      <c r="FY67" s="151"/>
      <c r="FZ67" s="151"/>
      <c r="GA67" s="151"/>
      <c r="GB67" s="151"/>
      <c r="GC67" s="151"/>
      <c r="GD67" s="151"/>
      <c r="GE67" s="151"/>
      <c r="GF67" s="151"/>
      <c r="GG67" s="151"/>
      <c r="GH67" s="151"/>
      <c r="GI67" s="151"/>
      <c r="GJ67" s="151"/>
      <c r="GK67" s="151"/>
      <c r="GL67" s="151"/>
      <c r="GM67" s="151"/>
      <c r="GN67" s="151"/>
      <c r="GO67" s="151"/>
      <c r="GP67" s="151"/>
      <c r="GQ67" s="151"/>
      <c r="GR67" s="151"/>
      <c r="GS67" s="151"/>
      <c r="GT67" s="151"/>
      <c r="GU67" s="151"/>
      <c r="GV67" s="151"/>
      <c r="GW67" s="151"/>
      <c r="GX67" s="151"/>
      <c r="GY67" s="151"/>
      <c r="GZ67" s="151"/>
      <c r="HA67" s="151"/>
      <c r="HB67" s="151"/>
      <c r="HC67" s="151"/>
      <c r="HD67" s="151"/>
      <c r="HE67" s="151"/>
      <c r="HF67" s="151"/>
      <c r="HG67" s="151"/>
      <c r="HH67" s="151"/>
      <c r="HI67" s="151"/>
      <c r="HJ67" s="151"/>
      <c r="HK67" s="151"/>
      <c r="HL67" s="151"/>
      <c r="HM67" s="151"/>
      <c r="HN67" s="151"/>
      <c r="HO67" s="151"/>
      <c r="HP67" s="151"/>
      <c r="HQ67" s="151"/>
      <c r="HR67" s="151"/>
      <c r="HS67" s="151"/>
      <c r="HT67" s="151"/>
      <c r="HU67" s="151"/>
      <c r="HV67" s="151"/>
      <c r="HW67" s="151"/>
      <c r="HX67" s="151"/>
      <c r="HY67" s="151"/>
      <c r="HZ67" s="151"/>
      <c r="IA67" s="151"/>
      <c r="IB67" s="151"/>
      <c r="IC67" s="151"/>
      <c r="ID67" s="151"/>
      <c r="IE67" s="151"/>
      <c r="IF67" s="151"/>
      <c r="IG67" s="151"/>
      <c r="IH67" s="151"/>
      <c r="II67" s="151"/>
      <c r="IJ67" s="151"/>
      <c r="IK67" s="151"/>
      <c r="IL67" s="151"/>
      <c r="IM67" s="151"/>
      <c r="IN67" s="151"/>
      <c r="IO67" s="151"/>
      <c r="IP67" s="151"/>
      <c r="IQ67" s="151"/>
      <c r="IR67" s="151"/>
      <c r="IS67" s="151"/>
      <c r="IT67" s="151"/>
      <c r="IU67" s="151"/>
      <c r="IV67" s="151"/>
    </row>
    <row r="68" spans="1:256" ht="13.5" thickBot="1">
      <c r="A68" s="1095"/>
      <c r="B68" s="370"/>
      <c r="C68" s="90">
        <v>7640005261</v>
      </c>
      <c r="D68" s="492" t="s">
        <v>228</v>
      </c>
      <c r="E68" s="518">
        <v>71.030927835051557</v>
      </c>
      <c r="F68" s="23">
        <f t="shared" si="0"/>
        <v>42.618556701030933</v>
      </c>
      <c r="G68" s="527">
        <f t="shared" si="1"/>
        <v>0</v>
      </c>
      <c r="H68" s="528">
        <f t="shared" si="2"/>
        <v>3.5458639175257733</v>
      </c>
      <c r="I68" s="528">
        <f t="shared" si="3"/>
        <v>0</v>
      </c>
      <c r="J68" s="528">
        <f t="shared" si="4"/>
        <v>1.3339608247422683</v>
      </c>
      <c r="K68" s="528">
        <f t="shared" si="5"/>
        <v>0</v>
      </c>
      <c r="L68" s="528">
        <f t="shared" si="6"/>
        <v>1.091035051546392</v>
      </c>
      <c r="M68" s="528">
        <f t="shared" si="7"/>
        <v>0</v>
      </c>
      <c r="N68" s="528">
        <f t="shared" si="8"/>
        <v>0.90777525773195888</v>
      </c>
      <c r="O68" s="528">
        <f t="shared" si="9"/>
        <v>0</v>
      </c>
      <c r="P68" s="735"/>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c r="BM68" s="151"/>
      <c r="BN68" s="151"/>
      <c r="BO68" s="151"/>
      <c r="BP68" s="151"/>
      <c r="BQ68" s="151"/>
      <c r="BR68" s="151"/>
      <c r="BS68" s="151"/>
      <c r="BT68" s="151"/>
      <c r="BU68" s="151"/>
      <c r="BV68" s="151"/>
      <c r="BW68" s="151"/>
      <c r="BX68" s="151"/>
      <c r="BY68" s="151"/>
      <c r="BZ68" s="151"/>
      <c r="CA68" s="151"/>
      <c r="CB68" s="151"/>
      <c r="CC68" s="151"/>
      <c r="CD68" s="151"/>
      <c r="CE68" s="151"/>
      <c r="CF68" s="151"/>
      <c r="CG68" s="151"/>
      <c r="CH68" s="151"/>
      <c r="CI68" s="151"/>
      <c r="CJ68" s="151"/>
      <c r="CK68" s="151"/>
      <c r="CL68" s="151"/>
      <c r="CM68" s="151"/>
      <c r="CN68" s="151"/>
      <c r="CO68" s="151"/>
      <c r="CP68" s="151"/>
      <c r="CQ68" s="151"/>
      <c r="CR68" s="151"/>
      <c r="CS68" s="151"/>
      <c r="CT68" s="151"/>
      <c r="CU68" s="151"/>
      <c r="CV68" s="151"/>
      <c r="CW68" s="151"/>
      <c r="CX68" s="151"/>
      <c r="CY68" s="151"/>
      <c r="CZ68" s="151"/>
      <c r="DA68" s="151"/>
      <c r="DB68" s="151"/>
      <c r="DC68" s="151"/>
      <c r="DD68" s="151"/>
      <c r="DE68" s="151"/>
      <c r="DF68" s="151"/>
      <c r="DG68" s="151"/>
      <c r="DH68" s="151"/>
      <c r="DI68" s="151"/>
      <c r="DJ68" s="151"/>
      <c r="DK68" s="151"/>
      <c r="DL68" s="151"/>
      <c r="DM68" s="151"/>
      <c r="DN68" s="151"/>
      <c r="DO68" s="151"/>
      <c r="DP68" s="151"/>
      <c r="DQ68" s="151"/>
      <c r="DR68" s="151"/>
      <c r="DS68" s="151"/>
      <c r="DT68" s="151"/>
      <c r="DU68" s="151"/>
      <c r="DV68" s="151"/>
      <c r="DW68" s="151"/>
      <c r="DX68" s="151"/>
      <c r="DY68" s="151"/>
      <c r="DZ68" s="151"/>
      <c r="EA68" s="151"/>
      <c r="EB68" s="151"/>
      <c r="EC68" s="151"/>
      <c r="ED68" s="151"/>
      <c r="EE68" s="151"/>
      <c r="EF68" s="151"/>
      <c r="EG68" s="151"/>
      <c r="EH68" s="151"/>
      <c r="EI68" s="151"/>
      <c r="EJ68" s="151"/>
      <c r="EK68" s="151"/>
      <c r="EL68" s="151"/>
      <c r="EM68" s="151"/>
      <c r="EN68" s="151"/>
      <c r="EO68" s="151"/>
      <c r="EP68" s="151"/>
      <c r="EQ68" s="151"/>
      <c r="ER68" s="151"/>
      <c r="ES68" s="151"/>
      <c r="ET68" s="151"/>
      <c r="EU68" s="151"/>
      <c r="EV68" s="151"/>
      <c r="EW68" s="151"/>
      <c r="EX68" s="151"/>
      <c r="EY68" s="151"/>
      <c r="EZ68" s="151"/>
      <c r="FA68" s="151"/>
      <c r="FB68" s="151"/>
      <c r="FC68" s="151"/>
      <c r="FD68" s="151"/>
      <c r="FE68" s="151"/>
      <c r="FF68" s="151"/>
      <c r="FG68" s="151"/>
      <c r="FH68" s="151"/>
      <c r="FI68" s="151"/>
      <c r="FJ68" s="151"/>
      <c r="FK68" s="151"/>
      <c r="FL68" s="151"/>
      <c r="FM68" s="151"/>
      <c r="FN68" s="151"/>
      <c r="FO68" s="151"/>
      <c r="FP68" s="151"/>
      <c r="FQ68" s="151"/>
      <c r="FR68" s="151"/>
      <c r="FS68" s="151"/>
      <c r="FT68" s="151"/>
      <c r="FU68" s="151"/>
      <c r="FV68" s="151"/>
      <c r="FW68" s="151"/>
      <c r="FX68" s="151"/>
      <c r="FY68" s="151"/>
      <c r="FZ68" s="151"/>
      <c r="GA68" s="151"/>
      <c r="GB68" s="151"/>
      <c r="GC68" s="151"/>
      <c r="GD68" s="151"/>
      <c r="GE68" s="151"/>
      <c r="GF68" s="151"/>
      <c r="GG68" s="151"/>
      <c r="GH68" s="151"/>
      <c r="GI68" s="151"/>
      <c r="GJ68" s="151"/>
      <c r="GK68" s="151"/>
      <c r="GL68" s="151"/>
      <c r="GM68" s="151"/>
      <c r="GN68" s="151"/>
      <c r="GO68" s="151"/>
      <c r="GP68" s="151"/>
      <c r="GQ68" s="151"/>
      <c r="GR68" s="151"/>
      <c r="GS68" s="151"/>
      <c r="GT68" s="151"/>
      <c r="GU68" s="151"/>
      <c r="GV68" s="151"/>
      <c r="GW68" s="151"/>
      <c r="GX68" s="151"/>
      <c r="GY68" s="151"/>
      <c r="GZ68" s="151"/>
      <c r="HA68" s="151"/>
      <c r="HB68" s="151"/>
      <c r="HC68" s="151"/>
      <c r="HD68" s="151"/>
      <c r="HE68" s="151"/>
      <c r="HF68" s="151"/>
      <c r="HG68" s="151"/>
      <c r="HH68" s="151"/>
      <c r="HI68" s="151"/>
      <c r="HJ68" s="151"/>
      <c r="HK68" s="151"/>
      <c r="HL68" s="151"/>
      <c r="HM68" s="151"/>
      <c r="HN68" s="151"/>
      <c r="HO68" s="151"/>
      <c r="HP68" s="151"/>
      <c r="HQ68" s="151"/>
      <c r="HR68" s="151"/>
      <c r="HS68" s="151"/>
      <c r="HT68" s="151"/>
      <c r="HU68" s="151"/>
      <c r="HV68" s="151"/>
      <c r="HW68" s="151"/>
      <c r="HX68" s="151"/>
      <c r="HY68" s="151"/>
      <c r="HZ68" s="151"/>
      <c r="IA68" s="151"/>
      <c r="IB68" s="151"/>
      <c r="IC68" s="151"/>
      <c r="ID68" s="151"/>
      <c r="IE68" s="151"/>
      <c r="IF68" s="151"/>
      <c r="IG68" s="151"/>
      <c r="IH68" s="151"/>
      <c r="II68" s="151"/>
      <c r="IJ68" s="151"/>
      <c r="IK68" s="151"/>
      <c r="IL68" s="151"/>
      <c r="IM68" s="151"/>
      <c r="IN68" s="151"/>
      <c r="IO68" s="151"/>
      <c r="IP68" s="151"/>
      <c r="IQ68" s="151"/>
      <c r="IR68" s="151"/>
      <c r="IS68" s="151"/>
      <c r="IT68" s="151"/>
      <c r="IU68" s="151"/>
      <c r="IV68" s="151"/>
    </row>
    <row r="69" spans="1:256" ht="13.5" thickBot="1">
      <c r="A69" s="1095"/>
      <c r="B69" s="370"/>
      <c r="C69" s="90" t="s">
        <v>436</v>
      </c>
      <c r="D69" s="235" t="s">
        <v>67</v>
      </c>
      <c r="E69" s="518">
        <v>515.46391752577324</v>
      </c>
      <c r="F69" s="23">
        <f t="shared" si="0"/>
        <v>309.27835051546396</v>
      </c>
      <c r="G69" s="527">
        <f t="shared" si="1"/>
        <v>0</v>
      </c>
      <c r="H69" s="528">
        <f t="shared" si="2"/>
        <v>25.731958762886599</v>
      </c>
      <c r="I69" s="528">
        <f t="shared" si="3"/>
        <v>0</v>
      </c>
      <c r="J69" s="528">
        <f t="shared" si="4"/>
        <v>9.6804123711340218</v>
      </c>
      <c r="K69" s="528">
        <f t="shared" si="5"/>
        <v>0</v>
      </c>
      <c r="L69" s="528">
        <f t="shared" si="6"/>
        <v>7.9175257731958775</v>
      </c>
      <c r="M69" s="528">
        <f t="shared" si="7"/>
        <v>0</v>
      </c>
      <c r="N69" s="528">
        <f t="shared" si="8"/>
        <v>6.587628865979382</v>
      </c>
      <c r="O69" s="528">
        <f t="shared" si="9"/>
        <v>0</v>
      </c>
      <c r="P69" s="735"/>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c r="DK69" s="151"/>
      <c r="DL69" s="151"/>
      <c r="DM69" s="151"/>
      <c r="DN69" s="151"/>
      <c r="DO69" s="151"/>
      <c r="DP69" s="151"/>
      <c r="DQ69" s="151"/>
      <c r="DR69" s="151"/>
      <c r="DS69" s="151"/>
      <c r="DT69" s="151"/>
      <c r="DU69" s="151"/>
      <c r="DV69" s="151"/>
      <c r="DW69" s="151"/>
      <c r="DX69" s="151"/>
      <c r="DY69" s="151"/>
      <c r="DZ69" s="151"/>
      <c r="EA69" s="151"/>
      <c r="EB69" s="151"/>
      <c r="EC69" s="151"/>
      <c r="ED69" s="151"/>
      <c r="EE69" s="151"/>
      <c r="EF69" s="151"/>
      <c r="EG69" s="151"/>
      <c r="EH69" s="151"/>
      <c r="EI69" s="151"/>
      <c r="EJ69" s="151"/>
      <c r="EK69" s="151"/>
      <c r="EL69" s="151"/>
      <c r="EM69" s="151"/>
      <c r="EN69" s="151"/>
      <c r="EO69" s="151"/>
      <c r="EP69" s="151"/>
      <c r="EQ69" s="151"/>
      <c r="ER69" s="151"/>
      <c r="ES69" s="151"/>
      <c r="ET69" s="151"/>
      <c r="EU69" s="151"/>
      <c r="EV69" s="151"/>
      <c r="EW69" s="151"/>
      <c r="EX69" s="151"/>
      <c r="EY69" s="151"/>
      <c r="EZ69" s="151"/>
      <c r="FA69" s="151"/>
      <c r="FB69" s="151"/>
      <c r="FC69" s="151"/>
      <c r="FD69" s="151"/>
      <c r="FE69" s="151"/>
      <c r="FF69" s="151"/>
      <c r="FG69" s="151"/>
      <c r="FH69" s="151"/>
      <c r="FI69" s="151"/>
      <c r="FJ69" s="151"/>
      <c r="FK69" s="151"/>
      <c r="FL69" s="151"/>
      <c r="FM69" s="151"/>
      <c r="FN69" s="151"/>
      <c r="FO69" s="151"/>
      <c r="FP69" s="151"/>
      <c r="FQ69" s="151"/>
      <c r="FR69" s="151"/>
      <c r="FS69" s="151"/>
      <c r="FT69" s="151"/>
      <c r="FU69" s="151"/>
      <c r="FV69" s="151"/>
      <c r="FW69" s="151"/>
      <c r="FX69" s="151"/>
      <c r="FY69" s="151"/>
      <c r="FZ69" s="151"/>
      <c r="GA69" s="151"/>
      <c r="GB69" s="151"/>
      <c r="GC69" s="151"/>
      <c r="GD69" s="151"/>
      <c r="GE69" s="151"/>
      <c r="GF69" s="151"/>
      <c r="GG69" s="151"/>
      <c r="GH69" s="151"/>
      <c r="GI69" s="151"/>
      <c r="GJ69" s="151"/>
      <c r="GK69" s="151"/>
      <c r="GL69" s="151"/>
      <c r="GM69" s="151"/>
      <c r="GN69" s="151"/>
      <c r="GO69" s="151"/>
      <c r="GP69" s="151"/>
      <c r="GQ69" s="151"/>
      <c r="GR69" s="151"/>
      <c r="GS69" s="151"/>
      <c r="GT69" s="151"/>
      <c r="GU69" s="151"/>
      <c r="GV69" s="151"/>
      <c r="GW69" s="151"/>
      <c r="GX69" s="151"/>
      <c r="GY69" s="151"/>
      <c r="GZ69" s="151"/>
      <c r="HA69" s="151"/>
      <c r="HB69" s="151"/>
      <c r="HC69" s="151"/>
      <c r="HD69" s="151"/>
      <c r="HE69" s="151"/>
      <c r="HF69" s="151"/>
      <c r="HG69" s="151"/>
      <c r="HH69" s="151"/>
      <c r="HI69" s="151"/>
      <c r="HJ69" s="151"/>
      <c r="HK69" s="151"/>
      <c r="HL69" s="151"/>
      <c r="HM69" s="151"/>
      <c r="HN69" s="151"/>
      <c r="HO69" s="151"/>
      <c r="HP69" s="151"/>
      <c r="HQ69" s="151"/>
      <c r="HR69" s="151"/>
      <c r="HS69" s="151"/>
      <c r="HT69" s="151"/>
      <c r="HU69" s="151"/>
      <c r="HV69" s="151"/>
      <c r="HW69" s="151"/>
      <c r="HX69" s="151"/>
      <c r="HY69" s="151"/>
      <c r="HZ69" s="151"/>
      <c r="IA69" s="151"/>
      <c r="IB69" s="151"/>
      <c r="IC69" s="151"/>
      <c r="ID69" s="151"/>
      <c r="IE69" s="151"/>
      <c r="IF69" s="151"/>
      <c r="IG69" s="151"/>
      <c r="IH69" s="151"/>
      <c r="II69" s="151"/>
      <c r="IJ69" s="151"/>
      <c r="IK69" s="151"/>
      <c r="IL69" s="151"/>
      <c r="IM69" s="151"/>
      <c r="IN69" s="151"/>
      <c r="IO69" s="151"/>
      <c r="IP69" s="151"/>
      <c r="IQ69" s="151"/>
      <c r="IR69" s="151"/>
      <c r="IS69" s="151"/>
      <c r="IT69" s="151"/>
      <c r="IU69" s="151"/>
      <c r="IV69" s="151"/>
    </row>
    <row r="70" spans="1:256" ht="13.5" thickBot="1">
      <c r="A70" s="1095"/>
      <c r="B70" s="370"/>
      <c r="C70" s="90" t="s">
        <v>71</v>
      </c>
      <c r="D70" s="235" t="s">
        <v>415</v>
      </c>
      <c r="E70" s="518">
        <v>126.80412371134021</v>
      </c>
      <c r="F70" s="23">
        <f t="shared" si="0"/>
        <v>76.082474226804123</v>
      </c>
      <c r="G70" s="527">
        <f t="shared" si="1"/>
        <v>0</v>
      </c>
      <c r="H70" s="528">
        <f t="shared" si="2"/>
        <v>6.3300618556701025</v>
      </c>
      <c r="I70" s="528">
        <f t="shared" si="3"/>
        <v>0</v>
      </c>
      <c r="J70" s="528">
        <f t="shared" si="4"/>
        <v>2.3813814432989693</v>
      </c>
      <c r="K70" s="528">
        <f t="shared" si="5"/>
        <v>0</v>
      </c>
      <c r="L70" s="528">
        <f t="shared" si="6"/>
        <v>1.9477113402061856</v>
      </c>
      <c r="M70" s="528">
        <f t="shared" si="7"/>
        <v>0</v>
      </c>
      <c r="N70" s="528">
        <f t="shared" si="8"/>
        <v>1.6205567010309279</v>
      </c>
      <c r="O70" s="528">
        <f t="shared" si="9"/>
        <v>0</v>
      </c>
      <c r="P70" s="735"/>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c r="BM70" s="151"/>
      <c r="BN70" s="151"/>
      <c r="BO70" s="151"/>
      <c r="BP70" s="151"/>
      <c r="BQ70" s="151"/>
      <c r="BR70" s="151"/>
      <c r="BS70" s="151"/>
      <c r="BT70" s="151"/>
      <c r="BU70" s="151"/>
      <c r="BV70" s="151"/>
      <c r="BW70" s="151"/>
      <c r="BX70" s="151"/>
      <c r="BY70" s="151"/>
      <c r="BZ70" s="151"/>
      <c r="CA70" s="151"/>
      <c r="CB70" s="151"/>
      <c r="CC70" s="151"/>
      <c r="CD70" s="151"/>
      <c r="CE70" s="151"/>
      <c r="CF70" s="151"/>
      <c r="CG70" s="151"/>
      <c r="CH70" s="151"/>
      <c r="CI70" s="151"/>
      <c r="CJ70" s="151"/>
      <c r="CK70" s="151"/>
      <c r="CL70" s="151"/>
      <c r="CM70" s="151"/>
      <c r="CN70" s="151"/>
      <c r="CO70" s="151"/>
      <c r="CP70" s="151"/>
      <c r="CQ70" s="151"/>
      <c r="CR70" s="151"/>
      <c r="CS70" s="151"/>
      <c r="CT70" s="151"/>
      <c r="CU70" s="151"/>
      <c r="CV70" s="151"/>
      <c r="CW70" s="151"/>
      <c r="CX70" s="151"/>
      <c r="CY70" s="151"/>
      <c r="CZ70" s="151"/>
      <c r="DA70" s="151"/>
      <c r="DB70" s="151"/>
      <c r="DC70" s="151"/>
      <c r="DD70" s="151"/>
      <c r="DE70" s="151"/>
      <c r="DF70" s="151"/>
      <c r="DG70" s="151"/>
      <c r="DH70" s="151"/>
      <c r="DI70" s="151"/>
      <c r="DJ70" s="151"/>
      <c r="DK70" s="151"/>
      <c r="DL70" s="151"/>
      <c r="DM70" s="151"/>
      <c r="DN70" s="151"/>
      <c r="DO70" s="151"/>
      <c r="DP70" s="151"/>
      <c r="DQ70" s="151"/>
      <c r="DR70" s="151"/>
      <c r="DS70" s="151"/>
      <c r="DT70" s="151"/>
      <c r="DU70" s="151"/>
      <c r="DV70" s="151"/>
      <c r="DW70" s="151"/>
      <c r="DX70" s="151"/>
      <c r="DY70" s="151"/>
      <c r="DZ70" s="151"/>
      <c r="EA70" s="151"/>
      <c r="EB70" s="151"/>
      <c r="EC70" s="151"/>
      <c r="ED70" s="151"/>
      <c r="EE70" s="151"/>
      <c r="EF70" s="151"/>
      <c r="EG70" s="151"/>
      <c r="EH70" s="151"/>
      <c r="EI70" s="151"/>
      <c r="EJ70" s="151"/>
      <c r="EK70" s="151"/>
      <c r="EL70" s="151"/>
      <c r="EM70" s="151"/>
      <c r="EN70" s="151"/>
      <c r="EO70" s="151"/>
      <c r="EP70" s="151"/>
      <c r="EQ70" s="151"/>
      <c r="ER70" s="151"/>
      <c r="ES70" s="151"/>
      <c r="ET70" s="151"/>
      <c r="EU70" s="151"/>
      <c r="EV70" s="151"/>
      <c r="EW70" s="151"/>
      <c r="EX70" s="151"/>
      <c r="EY70" s="151"/>
      <c r="EZ70" s="151"/>
      <c r="FA70" s="151"/>
      <c r="FB70" s="151"/>
      <c r="FC70" s="151"/>
      <c r="FD70" s="151"/>
      <c r="FE70" s="151"/>
      <c r="FF70" s="151"/>
      <c r="FG70" s="151"/>
      <c r="FH70" s="151"/>
      <c r="FI70" s="151"/>
      <c r="FJ70" s="151"/>
      <c r="FK70" s="151"/>
      <c r="FL70" s="151"/>
      <c r="FM70" s="151"/>
      <c r="FN70" s="151"/>
      <c r="FO70" s="151"/>
      <c r="FP70" s="151"/>
      <c r="FQ70" s="151"/>
      <c r="FR70" s="151"/>
      <c r="FS70" s="151"/>
      <c r="FT70" s="151"/>
      <c r="FU70" s="151"/>
      <c r="FV70" s="151"/>
      <c r="FW70" s="151"/>
      <c r="FX70" s="151"/>
      <c r="FY70" s="151"/>
      <c r="FZ70" s="151"/>
      <c r="GA70" s="151"/>
      <c r="GB70" s="151"/>
      <c r="GC70" s="151"/>
      <c r="GD70" s="151"/>
      <c r="GE70" s="151"/>
      <c r="GF70" s="151"/>
      <c r="GG70" s="151"/>
      <c r="GH70" s="151"/>
      <c r="GI70" s="151"/>
      <c r="GJ70" s="151"/>
      <c r="GK70" s="151"/>
      <c r="GL70" s="151"/>
      <c r="GM70" s="151"/>
      <c r="GN70" s="151"/>
      <c r="GO70" s="151"/>
      <c r="GP70" s="151"/>
      <c r="GQ70" s="151"/>
      <c r="GR70" s="151"/>
      <c r="GS70" s="151"/>
      <c r="GT70" s="151"/>
      <c r="GU70" s="151"/>
      <c r="GV70" s="151"/>
      <c r="GW70" s="151"/>
      <c r="GX70" s="151"/>
      <c r="GY70" s="151"/>
      <c r="GZ70" s="151"/>
      <c r="HA70" s="151"/>
      <c r="HB70" s="151"/>
      <c r="HC70" s="151"/>
      <c r="HD70" s="151"/>
      <c r="HE70" s="151"/>
      <c r="HF70" s="151"/>
      <c r="HG70" s="151"/>
      <c r="HH70" s="151"/>
      <c r="HI70" s="151"/>
      <c r="HJ70" s="151"/>
      <c r="HK70" s="151"/>
      <c r="HL70" s="151"/>
      <c r="HM70" s="151"/>
      <c r="HN70" s="151"/>
      <c r="HO70" s="151"/>
      <c r="HP70" s="151"/>
      <c r="HQ70" s="151"/>
      <c r="HR70" s="151"/>
      <c r="HS70" s="151"/>
      <c r="HT70" s="151"/>
      <c r="HU70" s="151"/>
      <c r="HV70" s="151"/>
      <c r="HW70" s="151"/>
      <c r="HX70" s="151"/>
      <c r="HY70" s="151"/>
      <c r="HZ70" s="151"/>
      <c r="IA70" s="151"/>
      <c r="IB70" s="151"/>
      <c r="IC70" s="151"/>
      <c r="ID70" s="151"/>
      <c r="IE70" s="151"/>
      <c r="IF70" s="151"/>
      <c r="IG70" s="151"/>
      <c r="IH70" s="151"/>
      <c r="II70" s="151"/>
      <c r="IJ70" s="151"/>
      <c r="IK70" s="151"/>
      <c r="IL70" s="151"/>
      <c r="IM70" s="151"/>
      <c r="IN70" s="151"/>
      <c r="IO70" s="151"/>
      <c r="IP70" s="151"/>
      <c r="IQ70" s="151"/>
      <c r="IR70" s="151"/>
      <c r="IS70" s="151"/>
      <c r="IT70" s="151"/>
      <c r="IU70" s="151"/>
      <c r="IV70" s="151"/>
    </row>
    <row r="71" spans="1:256" ht="13.5" thickBot="1">
      <c r="A71" s="1095"/>
      <c r="B71" s="467"/>
      <c r="C71" s="90" t="s">
        <v>437</v>
      </c>
      <c r="D71" s="235" t="s">
        <v>132</v>
      </c>
      <c r="E71" s="518">
        <v>129.89690721649484</v>
      </c>
      <c r="F71" s="23">
        <f t="shared" si="0"/>
        <v>77.9381443298969</v>
      </c>
      <c r="G71" s="527">
        <f t="shared" si="1"/>
        <v>0</v>
      </c>
      <c r="H71" s="528">
        <f t="shared" si="2"/>
        <v>6.4844536082474216</v>
      </c>
      <c r="I71" s="528">
        <f t="shared" si="3"/>
        <v>0</v>
      </c>
      <c r="J71" s="528">
        <f t="shared" si="4"/>
        <v>2.4394639175257731</v>
      </c>
      <c r="K71" s="528">
        <f t="shared" si="5"/>
        <v>0</v>
      </c>
      <c r="L71" s="528">
        <f t="shared" si="6"/>
        <v>1.9952164948453608</v>
      </c>
      <c r="M71" s="528">
        <f t="shared" si="7"/>
        <v>0</v>
      </c>
      <c r="N71" s="528">
        <f t="shared" si="8"/>
        <v>1.6600824742268039</v>
      </c>
      <c r="O71" s="528">
        <f t="shared" si="9"/>
        <v>0</v>
      </c>
      <c r="P71" s="735"/>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c r="CG71" s="156"/>
      <c r="CH71" s="156"/>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6"/>
      <c r="DO71" s="156"/>
      <c r="DP71" s="156"/>
      <c r="DQ71" s="156"/>
      <c r="DR71" s="156"/>
      <c r="DS71" s="156"/>
      <c r="DT71" s="156"/>
      <c r="DU71" s="156"/>
      <c r="DV71" s="156"/>
      <c r="DW71" s="156"/>
      <c r="DX71" s="156"/>
      <c r="DY71" s="156"/>
      <c r="DZ71" s="156"/>
      <c r="EA71" s="156"/>
      <c r="EB71" s="156"/>
      <c r="EC71" s="156"/>
      <c r="ED71" s="156"/>
      <c r="EE71" s="156"/>
      <c r="EF71" s="156"/>
      <c r="EG71" s="156"/>
      <c r="EH71" s="156"/>
      <c r="EI71" s="156"/>
      <c r="EJ71" s="156"/>
      <c r="EK71" s="156"/>
      <c r="EL71" s="156"/>
      <c r="EM71" s="156"/>
      <c r="EN71" s="156"/>
      <c r="EO71" s="156"/>
      <c r="EP71" s="156"/>
      <c r="EQ71" s="156"/>
      <c r="ER71" s="156"/>
      <c r="ES71" s="156"/>
      <c r="ET71" s="156"/>
      <c r="EU71" s="156"/>
      <c r="EV71" s="156"/>
      <c r="EW71" s="156"/>
      <c r="EX71" s="156"/>
      <c r="EY71" s="156"/>
      <c r="EZ71" s="156"/>
      <c r="FA71" s="156"/>
      <c r="FB71" s="156"/>
      <c r="FC71" s="156"/>
      <c r="FD71" s="156"/>
      <c r="FE71" s="156"/>
      <c r="FF71" s="156"/>
      <c r="FG71" s="156"/>
      <c r="FH71" s="156"/>
      <c r="FI71" s="156"/>
      <c r="FJ71" s="156"/>
      <c r="FK71" s="156"/>
      <c r="FL71" s="156"/>
      <c r="FM71" s="156"/>
      <c r="FN71" s="156"/>
      <c r="FO71" s="156"/>
      <c r="FP71" s="156"/>
      <c r="FQ71" s="156"/>
      <c r="FR71" s="156"/>
      <c r="FS71" s="156"/>
      <c r="FT71" s="156"/>
      <c r="FU71" s="156"/>
      <c r="FV71" s="156"/>
      <c r="FW71" s="156"/>
      <c r="FX71" s="156"/>
      <c r="FY71" s="156"/>
      <c r="FZ71" s="156"/>
      <c r="GA71" s="156"/>
      <c r="GB71" s="156"/>
      <c r="GC71" s="156"/>
      <c r="GD71" s="156"/>
      <c r="GE71" s="156"/>
      <c r="GF71" s="156"/>
      <c r="GG71" s="156"/>
      <c r="GH71" s="156"/>
      <c r="GI71" s="156"/>
      <c r="GJ71" s="156"/>
      <c r="GK71" s="156"/>
      <c r="GL71" s="156"/>
      <c r="GM71" s="156"/>
      <c r="GN71" s="156"/>
      <c r="GO71" s="156"/>
      <c r="GP71" s="156"/>
      <c r="GQ71" s="156"/>
      <c r="GR71" s="156"/>
      <c r="GS71" s="156"/>
      <c r="GT71" s="156"/>
      <c r="GU71" s="156"/>
      <c r="GV71" s="156"/>
      <c r="GW71" s="156"/>
      <c r="GX71" s="156"/>
      <c r="GY71" s="156"/>
      <c r="GZ71" s="156"/>
      <c r="HA71" s="156"/>
      <c r="HB71" s="156"/>
      <c r="HC71" s="156"/>
      <c r="HD71" s="156"/>
      <c r="HE71" s="156"/>
      <c r="HF71" s="156"/>
      <c r="HG71" s="156"/>
      <c r="HH71" s="156"/>
      <c r="HI71" s="156"/>
      <c r="HJ71" s="156"/>
      <c r="HK71" s="156"/>
      <c r="HL71" s="156"/>
      <c r="HM71" s="156"/>
      <c r="HN71" s="156"/>
      <c r="HO71" s="156"/>
      <c r="HP71" s="156"/>
      <c r="HQ71" s="156"/>
      <c r="HR71" s="156"/>
      <c r="HS71" s="156"/>
      <c r="HT71" s="156"/>
      <c r="HU71" s="156"/>
      <c r="HV71" s="156"/>
      <c r="HW71" s="156"/>
      <c r="HX71" s="156"/>
      <c r="HY71" s="156"/>
      <c r="HZ71" s="156"/>
      <c r="IA71" s="156"/>
      <c r="IB71" s="156"/>
      <c r="IC71" s="156"/>
      <c r="ID71" s="156"/>
      <c r="IE71" s="156"/>
      <c r="IF71" s="156"/>
      <c r="IG71" s="156"/>
      <c r="IH71" s="156"/>
      <c r="II71" s="156"/>
      <c r="IJ71" s="156"/>
      <c r="IK71" s="156"/>
      <c r="IL71" s="156"/>
      <c r="IM71" s="156"/>
      <c r="IN71" s="156"/>
      <c r="IO71" s="156"/>
      <c r="IP71" s="156"/>
      <c r="IQ71" s="156"/>
      <c r="IR71" s="156"/>
      <c r="IS71" s="156"/>
      <c r="IT71" s="156"/>
      <c r="IU71" s="156"/>
      <c r="IV71" s="156"/>
    </row>
    <row r="72" spans="1:256" ht="26.25" thickBot="1">
      <c r="A72" s="1095"/>
      <c r="B72" s="467"/>
      <c r="C72" s="90" t="s">
        <v>438</v>
      </c>
      <c r="D72" s="492" t="s">
        <v>416</v>
      </c>
      <c r="E72" s="518">
        <v>1134.020618556701</v>
      </c>
      <c r="F72" s="23">
        <f t="shared" si="0"/>
        <v>680.41237113402065</v>
      </c>
      <c r="G72" s="527">
        <f t="shared" si="1"/>
        <v>0</v>
      </c>
      <c r="H72" s="528">
        <f t="shared" si="2"/>
        <v>56.610309278350513</v>
      </c>
      <c r="I72" s="528">
        <f t="shared" si="3"/>
        <v>0</v>
      </c>
      <c r="J72" s="528">
        <f t="shared" si="4"/>
        <v>21.296907216494848</v>
      </c>
      <c r="K72" s="528">
        <f t="shared" si="5"/>
        <v>0</v>
      </c>
      <c r="L72" s="528">
        <f t="shared" si="6"/>
        <v>17.41855670103093</v>
      </c>
      <c r="M72" s="528">
        <f t="shared" si="7"/>
        <v>0</v>
      </c>
      <c r="N72" s="528">
        <f t="shared" si="8"/>
        <v>14.492783505154639</v>
      </c>
      <c r="O72" s="528">
        <f t="shared" si="9"/>
        <v>0</v>
      </c>
      <c r="P72" s="735"/>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c r="CG72" s="156"/>
      <c r="CH72" s="156"/>
      <c r="CI72" s="156"/>
      <c r="CJ72" s="156"/>
      <c r="CK72" s="156"/>
      <c r="CL72" s="156"/>
      <c r="CM72" s="156"/>
      <c r="CN72" s="156"/>
      <c r="CO72" s="156"/>
      <c r="CP72" s="156"/>
      <c r="CQ72" s="156"/>
      <c r="CR72" s="156"/>
      <c r="CS72" s="156"/>
      <c r="CT72" s="156"/>
      <c r="CU72" s="156"/>
      <c r="CV72" s="156"/>
      <c r="CW72" s="156"/>
      <c r="CX72" s="156"/>
      <c r="CY72" s="156"/>
      <c r="CZ72" s="156"/>
      <c r="DA72" s="156"/>
      <c r="DB72" s="156"/>
      <c r="DC72" s="156"/>
      <c r="DD72" s="156"/>
      <c r="DE72" s="156"/>
      <c r="DF72" s="156"/>
      <c r="DG72" s="156"/>
      <c r="DH72" s="156"/>
      <c r="DI72" s="156"/>
      <c r="DJ72" s="156"/>
      <c r="DK72" s="156"/>
      <c r="DL72" s="156"/>
      <c r="DM72" s="156"/>
      <c r="DN72" s="156"/>
      <c r="DO72" s="156"/>
      <c r="DP72" s="156"/>
      <c r="DQ72" s="156"/>
      <c r="DR72" s="156"/>
      <c r="DS72" s="156"/>
      <c r="DT72" s="156"/>
      <c r="DU72" s="156"/>
      <c r="DV72" s="156"/>
      <c r="DW72" s="156"/>
      <c r="DX72" s="156"/>
      <c r="DY72" s="156"/>
      <c r="DZ72" s="156"/>
      <c r="EA72" s="156"/>
      <c r="EB72" s="156"/>
      <c r="EC72" s="156"/>
      <c r="ED72" s="156"/>
      <c r="EE72" s="156"/>
      <c r="EF72" s="156"/>
      <c r="EG72" s="156"/>
      <c r="EH72" s="156"/>
      <c r="EI72" s="156"/>
      <c r="EJ72" s="156"/>
      <c r="EK72" s="156"/>
      <c r="EL72" s="156"/>
      <c r="EM72" s="156"/>
      <c r="EN72" s="156"/>
      <c r="EO72" s="156"/>
      <c r="EP72" s="156"/>
      <c r="EQ72" s="156"/>
      <c r="ER72" s="156"/>
      <c r="ES72" s="156"/>
      <c r="ET72" s="156"/>
      <c r="EU72" s="156"/>
      <c r="EV72" s="156"/>
      <c r="EW72" s="156"/>
      <c r="EX72" s="156"/>
      <c r="EY72" s="156"/>
      <c r="EZ72" s="156"/>
      <c r="FA72" s="156"/>
      <c r="FB72" s="156"/>
      <c r="FC72" s="156"/>
      <c r="FD72" s="156"/>
      <c r="FE72" s="156"/>
      <c r="FF72" s="156"/>
      <c r="FG72" s="156"/>
      <c r="FH72" s="156"/>
      <c r="FI72" s="156"/>
      <c r="FJ72" s="156"/>
      <c r="FK72" s="156"/>
      <c r="FL72" s="156"/>
      <c r="FM72" s="156"/>
      <c r="FN72" s="156"/>
      <c r="FO72" s="156"/>
      <c r="FP72" s="156"/>
      <c r="FQ72" s="156"/>
      <c r="FR72" s="156"/>
      <c r="FS72" s="156"/>
      <c r="FT72" s="156"/>
      <c r="FU72" s="156"/>
      <c r="FV72" s="156"/>
      <c r="FW72" s="156"/>
      <c r="FX72" s="156"/>
      <c r="FY72" s="156"/>
      <c r="FZ72" s="156"/>
      <c r="GA72" s="156"/>
      <c r="GB72" s="156"/>
      <c r="GC72" s="156"/>
      <c r="GD72" s="156"/>
      <c r="GE72" s="156"/>
      <c r="GF72" s="156"/>
      <c r="GG72" s="156"/>
      <c r="GH72" s="156"/>
      <c r="GI72" s="156"/>
      <c r="GJ72" s="156"/>
      <c r="GK72" s="156"/>
      <c r="GL72" s="156"/>
      <c r="GM72" s="156"/>
      <c r="GN72" s="156"/>
      <c r="GO72" s="156"/>
      <c r="GP72" s="156"/>
      <c r="GQ72" s="156"/>
      <c r="GR72" s="156"/>
      <c r="GS72" s="156"/>
      <c r="GT72" s="156"/>
      <c r="GU72" s="156"/>
      <c r="GV72" s="156"/>
      <c r="GW72" s="156"/>
      <c r="GX72" s="156"/>
      <c r="GY72" s="156"/>
      <c r="GZ72" s="156"/>
      <c r="HA72" s="156"/>
      <c r="HB72" s="156"/>
      <c r="HC72" s="156"/>
      <c r="HD72" s="156"/>
      <c r="HE72" s="156"/>
      <c r="HF72" s="156"/>
      <c r="HG72" s="156"/>
      <c r="HH72" s="156"/>
      <c r="HI72" s="156"/>
      <c r="HJ72" s="156"/>
      <c r="HK72" s="156"/>
      <c r="HL72" s="156"/>
      <c r="HM72" s="156"/>
      <c r="HN72" s="156"/>
      <c r="HO72" s="156"/>
      <c r="HP72" s="156"/>
      <c r="HQ72" s="156"/>
      <c r="HR72" s="156"/>
      <c r="HS72" s="156"/>
      <c r="HT72" s="156"/>
      <c r="HU72" s="156"/>
      <c r="HV72" s="156"/>
      <c r="HW72" s="156"/>
      <c r="HX72" s="156"/>
      <c r="HY72" s="156"/>
      <c r="HZ72" s="156"/>
      <c r="IA72" s="156"/>
      <c r="IB72" s="156"/>
      <c r="IC72" s="156"/>
      <c r="ID72" s="156"/>
      <c r="IE72" s="156"/>
      <c r="IF72" s="156"/>
      <c r="IG72" s="156"/>
      <c r="IH72" s="156"/>
      <c r="II72" s="156"/>
      <c r="IJ72" s="156"/>
      <c r="IK72" s="156"/>
      <c r="IL72" s="156"/>
      <c r="IM72" s="156"/>
      <c r="IN72" s="156"/>
      <c r="IO72" s="156"/>
      <c r="IP72" s="156"/>
      <c r="IQ72" s="156"/>
      <c r="IR72" s="156"/>
      <c r="IS72" s="156"/>
      <c r="IT72" s="156"/>
      <c r="IU72" s="156"/>
      <c r="IV72" s="156"/>
    </row>
    <row r="73" spans="1:256" ht="13.5" thickBot="1">
      <c r="A73" s="1095"/>
      <c r="B73" s="467"/>
      <c r="C73" s="90" t="s">
        <v>439</v>
      </c>
      <c r="D73" s="235" t="s">
        <v>417</v>
      </c>
      <c r="E73" s="518">
        <v>809.2783505154639</v>
      </c>
      <c r="F73" s="23">
        <f t="shared" si="0"/>
        <v>485.56701030927832</v>
      </c>
      <c r="G73" s="527">
        <f t="shared" si="1"/>
        <v>0</v>
      </c>
      <c r="H73" s="528">
        <f t="shared" si="2"/>
        <v>40.399175257731955</v>
      </c>
      <c r="I73" s="528">
        <f t="shared" si="3"/>
        <v>0</v>
      </c>
      <c r="J73" s="528">
        <f t="shared" si="4"/>
        <v>15.198247422680412</v>
      </c>
      <c r="K73" s="528">
        <f t="shared" si="5"/>
        <v>0</v>
      </c>
      <c r="L73" s="528">
        <f t="shared" si="6"/>
        <v>12.430515463917526</v>
      </c>
      <c r="M73" s="528">
        <f t="shared" si="7"/>
        <v>0</v>
      </c>
      <c r="N73" s="528">
        <f t="shared" si="8"/>
        <v>10.342577319587628</v>
      </c>
      <c r="O73" s="528">
        <f t="shared" si="9"/>
        <v>0</v>
      </c>
      <c r="P73" s="735"/>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c r="CG73" s="156"/>
      <c r="CH73" s="156"/>
      <c r="CI73" s="156"/>
      <c r="CJ73" s="156"/>
      <c r="CK73" s="156"/>
      <c r="CL73" s="156"/>
      <c r="CM73" s="156"/>
      <c r="CN73" s="156"/>
      <c r="CO73" s="156"/>
      <c r="CP73" s="156"/>
      <c r="CQ73" s="156"/>
      <c r="CR73" s="156"/>
      <c r="CS73" s="156"/>
      <c r="CT73" s="156"/>
      <c r="CU73" s="156"/>
      <c r="CV73" s="156"/>
      <c r="CW73" s="156"/>
      <c r="CX73" s="156"/>
      <c r="CY73" s="156"/>
      <c r="CZ73" s="156"/>
      <c r="DA73" s="156"/>
      <c r="DB73" s="156"/>
      <c r="DC73" s="156"/>
      <c r="DD73" s="156"/>
      <c r="DE73" s="156"/>
      <c r="DF73" s="156"/>
      <c r="DG73" s="156"/>
      <c r="DH73" s="156"/>
      <c r="DI73" s="156"/>
      <c r="DJ73" s="156"/>
      <c r="DK73" s="156"/>
      <c r="DL73" s="156"/>
      <c r="DM73" s="156"/>
      <c r="DN73" s="156"/>
      <c r="DO73" s="156"/>
      <c r="DP73" s="156"/>
      <c r="DQ73" s="156"/>
      <c r="DR73" s="156"/>
      <c r="DS73" s="156"/>
      <c r="DT73" s="156"/>
      <c r="DU73" s="156"/>
      <c r="DV73" s="156"/>
      <c r="DW73" s="156"/>
      <c r="DX73" s="156"/>
      <c r="DY73" s="156"/>
      <c r="DZ73" s="156"/>
      <c r="EA73" s="156"/>
      <c r="EB73" s="156"/>
      <c r="EC73" s="156"/>
      <c r="ED73" s="156"/>
      <c r="EE73" s="156"/>
      <c r="EF73" s="156"/>
      <c r="EG73" s="156"/>
      <c r="EH73" s="156"/>
      <c r="EI73" s="156"/>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c r="FL73" s="156"/>
      <c r="FM73" s="156"/>
      <c r="FN73" s="156"/>
      <c r="FO73" s="156"/>
      <c r="FP73" s="156"/>
      <c r="FQ73" s="156"/>
      <c r="FR73" s="156"/>
      <c r="FS73" s="156"/>
      <c r="FT73" s="156"/>
      <c r="FU73" s="156"/>
      <c r="FV73" s="156"/>
      <c r="FW73" s="156"/>
      <c r="FX73" s="156"/>
      <c r="FY73" s="156"/>
      <c r="FZ73" s="156"/>
      <c r="GA73" s="156"/>
      <c r="GB73" s="156"/>
      <c r="GC73" s="156"/>
      <c r="GD73" s="156"/>
      <c r="GE73" s="156"/>
      <c r="GF73" s="156"/>
      <c r="GG73" s="156"/>
      <c r="GH73" s="156"/>
      <c r="GI73" s="156"/>
      <c r="GJ73" s="156"/>
      <c r="GK73" s="156"/>
      <c r="GL73" s="156"/>
      <c r="GM73" s="156"/>
      <c r="GN73" s="156"/>
      <c r="GO73" s="156"/>
      <c r="GP73" s="156"/>
      <c r="GQ73" s="156"/>
      <c r="GR73" s="156"/>
      <c r="GS73" s="156"/>
      <c r="GT73" s="156"/>
      <c r="GU73" s="156"/>
      <c r="GV73" s="156"/>
      <c r="GW73" s="156"/>
      <c r="GX73" s="156"/>
      <c r="GY73" s="156"/>
      <c r="GZ73" s="156"/>
      <c r="HA73" s="156"/>
      <c r="HB73" s="156"/>
      <c r="HC73" s="156"/>
      <c r="HD73" s="156"/>
      <c r="HE73" s="156"/>
      <c r="HF73" s="156"/>
      <c r="HG73" s="156"/>
      <c r="HH73" s="156"/>
      <c r="HI73" s="156"/>
      <c r="HJ73" s="156"/>
      <c r="HK73" s="156"/>
      <c r="HL73" s="156"/>
      <c r="HM73" s="156"/>
      <c r="HN73" s="156"/>
      <c r="HO73" s="156"/>
      <c r="HP73" s="156"/>
      <c r="HQ73" s="156"/>
      <c r="HR73" s="156"/>
      <c r="HS73" s="156"/>
      <c r="HT73" s="156"/>
      <c r="HU73" s="156"/>
      <c r="HV73" s="156"/>
      <c r="HW73" s="156"/>
      <c r="HX73" s="156"/>
      <c r="HY73" s="156"/>
      <c r="HZ73" s="156"/>
      <c r="IA73" s="156"/>
      <c r="IB73" s="156"/>
      <c r="IC73" s="156"/>
      <c r="ID73" s="156"/>
      <c r="IE73" s="156"/>
      <c r="IF73" s="156"/>
      <c r="IG73" s="156"/>
      <c r="IH73" s="156"/>
      <c r="II73" s="156"/>
      <c r="IJ73" s="156"/>
      <c r="IK73" s="156"/>
      <c r="IL73" s="156"/>
      <c r="IM73" s="156"/>
      <c r="IN73" s="156"/>
      <c r="IO73" s="156"/>
      <c r="IP73" s="156"/>
      <c r="IQ73" s="156"/>
      <c r="IR73" s="156"/>
      <c r="IS73" s="156"/>
      <c r="IT73" s="156"/>
      <c r="IU73" s="156"/>
      <c r="IV73" s="156"/>
    </row>
    <row r="74" spans="1:256" ht="13.5" thickBot="1">
      <c r="A74" s="1095"/>
      <c r="B74" s="467"/>
      <c r="C74" s="90" t="s">
        <v>440</v>
      </c>
      <c r="D74" s="235" t="s">
        <v>418</v>
      </c>
      <c r="E74" s="518">
        <v>688.45360824742261</v>
      </c>
      <c r="F74" s="23">
        <f t="shared" si="0"/>
        <v>413.07216494845358</v>
      </c>
      <c r="G74" s="527">
        <f t="shared" si="1"/>
        <v>0</v>
      </c>
      <c r="H74" s="528">
        <f t="shared" si="2"/>
        <v>34.367604123711338</v>
      </c>
      <c r="I74" s="528">
        <f t="shared" si="3"/>
        <v>0</v>
      </c>
      <c r="J74" s="528">
        <f t="shared" si="4"/>
        <v>12.929158762886598</v>
      </c>
      <c r="K74" s="528">
        <f t="shared" si="5"/>
        <v>0</v>
      </c>
      <c r="L74" s="528">
        <f t="shared" si="6"/>
        <v>10.574647422680412</v>
      </c>
      <c r="M74" s="528">
        <f t="shared" si="7"/>
        <v>0</v>
      </c>
      <c r="N74" s="528">
        <f t="shared" si="8"/>
        <v>8.7984371134020609</v>
      </c>
      <c r="O74" s="528">
        <f t="shared" si="9"/>
        <v>0</v>
      </c>
      <c r="P74" s="735"/>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c r="DS74" s="156"/>
      <c r="DT74" s="156"/>
      <c r="DU74" s="156"/>
      <c r="DV74" s="156"/>
      <c r="DW74" s="156"/>
      <c r="DX74" s="156"/>
      <c r="DY74" s="156"/>
      <c r="DZ74" s="156"/>
      <c r="EA74" s="156"/>
      <c r="EB74" s="156"/>
      <c r="EC74" s="156"/>
      <c r="ED74" s="156"/>
      <c r="EE74" s="156"/>
      <c r="EF74" s="156"/>
      <c r="EG74" s="156"/>
      <c r="EH74" s="156"/>
      <c r="EI74" s="156"/>
      <c r="EJ74" s="156"/>
      <c r="EK74" s="156"/>
      <c r="EL74" s="156"/>
      <c r="EM74" s="156"/>
      <c r="EN74" s="156"/>
      <c r="EO74" s="156"/>
      <c r="EP74" s="156"/>
      <c r="EQ74" s="156"/>
      <c r="ER74" s="156"/>
      <c r="ES74" s="156"/>
      <c r="ET74" s="156"/>
      <c r="EU74" s="156"/>
      <c r="EV74" s="156"/>
      <c r="EW74" s="156"/>
      <c r="EX74" s="156"/>
      <c r="EY74" s="156"/>
      <c r="EZ74" s="156"/>
      <c r="FA74" s="156"/>
      <c r="FB74" s="156"/>
      <c r="FC74" s="156"/>
      <c r="FD74" s="156"/>
      <c r="FE74" s="156"/>
      <c r="FF74" s="156"/>
      <c r="FG74" s="156"/>
      <c r="FH74" s="156"/>
      <c r="FI74" s="156"/>
      <c r="FJ74" s="156"/>
      <c r="FK74" s="156"/>
      <c r="FL74" s="156"/>
      <c r="FM74" s="156"/>
      <c r="FN74" s="156"/>
      <c r="FO74" s="156"/>
      <c r="FP74" s="156"/>
      <c r="FQ74" s="156"/>
      <c r="FR74" s="156"/>
      <c r="FS74" s="156"/>
      <c r="FT74" s="156"/>
      <c r="FU74" s="156"/>
      <c r="FV74" s="156"/>
      <c r="FW74" s="156"/>
      <c r="FX74" s="156"/>
      <c r="FY74" s="156"/>
      <c r="FZ74" s="156"/>
      <c r="GA74" s="156"/>
      <c r="GB74" s="156"/>
      <c r="GC74" s="156"/>
      <c r="GD74" s="156"/>
      <c r="GE74" s="156"/>
      <c r="GF74" s="156"/>
      <c r="GG74" s="156"/>
      <c r="GH74" s="156"/>
      <c r="GI74" s="156"/>
      <c r="GJ74" s="156"/>
      <c r="GK74" s="156"/>
      <c r="GL74" s="156"/>
      <c r="GM74" s="156"/>
      <c r="GN74" s="156"/>
      <c r="GO74" s="156"/>
      <c r="GP74" s="156"/>
      <c r="GQ74" s="156"/>
      <c r="GR74" s="156"/>
      <c r="GS74" s="156"/>
      <c r="GT74" s="156"/>
      <c r="GU74" s="156"/>
      <c r="GV74" s="156"/>
      <c r="GW74" s="156"/>
      <c r="GX74" s="156"/>
      <c r="GY74" s="156"/>
      <c r="GZ74" s="156"/>
      <c r="HA74" s="156"/>
      <c r="HB74" s="156"/>
      <c r="HC74" s="156"/>
      <c r="HD74" s="156"/>
      <c r="HE74" s="156"/>
      <c r="HF74" s="156"/>
      <c r="HG74" s="156"/>
      <c r="HH74" s="156"/>
      <c r="HI74" s="156"/>
      <c r="HJ74" s="156"/>
      <c r="HK74" s="156"/>
      <c r="HL74" s="156"/>
      <c r="HM74" s="156"/>
      <c r="HN74" s="156"/>
      <c r="HO74" s="156"/>
      <c r="HP74" s="156"/>
      <c r="HQ74" s="156"/>
      <c r="HR74" s="156"/>
      <c r="HS74" s="156"/>
      <c r="HT74" s="156"/>
      <c r="HU74" s="156"/>
      <c r="HV74" s="156"/>
      <c r="HW74" s="156"/>
      <c r="HX74" s="156"/>
      <c r="HY74" s="156"/>
      <c r="HZ74" s="156"/>
      <c r="IA74" s="156"/>
      <c r="IB74" s="156"/>
      <c r="IC74" s="156"/>
      <c r="ID74" s="156"/>
      <c r="IE74" s="156"/>
      <c r="IF74" s="156"/>
      <c r="IG74" s="156"/>
      <c r="IH74" s="156"/>
      <c r="II74" s="156"/>
      <c r="IJ74" s="156"/>
      <c r="IK74" s="156"/>
      <c r="IL74" s="156"/>
      <c r="IM74" s="156"/>
      <c r="IN74" s="156"/>
      <c r="IO74" s="156"/>
      <c r="IP74" s="156"/>
      <c r="IQ74" s="156"/>
      <c r="IR74" s="156"/>
      <c r="IS74" s="156"/>
      <c r="IT74" s="156"/>
      <c r="IU74" s="156"/>
      <c r="IV74" s="156"/>
    </row>
    <row r="75" spans="1:256" ht="13.5" thickBot="1">
      <c r="A75" s="1095"/>
      <c r="B75" s="467"/>
      <c r="C75" s="619" t="s">
        <v>441</v>
      </c>
      <c r="D75" s="620" t="s">
        <v>30</v>
      </c>
      <c r="E75" s="621">
        <v>846.39175257731961</v>
      </c>
      <c r="F75" s="23">
        <f t="shared" si="0"/>
        <v>507.83505154639175</v>
      </c>
      <c r="G75" s="527">
        <f t="shared" si="1"/>
        <v>0</v>
      </c>
      <c r="H75" s="528">
        <f t="shared" si="2"/>
        <v>42.251876288659794</v>
      </c>
      <c r="I75" s="528">
        <f t="shared" si="3"/>
        <v>0</v>
      </c>
      <c r="J75" s="528">
        <f t="shared" si="4"/>
        <v>15.895237113402063</v>
      </c>
      <c r="K75" s="528">
        <f t="shared" si="5"/>
        <v>0</v>
      </c>
      <c r="L75" s="528">
        <f t="shared" si="6"/>
        <v>13.000577319587629</v>
      </c>
      <c r="M75" s="528">
        <f t="shared" si="7"/>
        <v>0</v>
      </c>
      <c r="N75" s="528">
        <f t="shared" si="8"/>
        <v>10.816886597938144</v>
      </c>
      <c r="O75" s="528">
        <f t="shared" si="9"/>
        <v>0</v>
      </c>
      <c r="P75" s="735"/>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c r="CG75" s="156"/>
      <c r="CH75" s="156"/>
      <c r="CI75" s="156"/>
      <c r="CJ75" s="156"/>
      <c r="CK75" s="156"/>
      <c r="CL75" s="156"/>
      <c r="CM75" s="156"/>
      <c r="CN75" s="156"/>
      <c r="CO75" s="156"/>
      <c r="CP75" s="156"/>
      <c r="CQ75" s="156"/>
      <c r="CR75" s="156"/>
      <c r="CS75" s="156"/>
      <c r="CT75" s="156"/>
      <c r="CU75" s="156"/>
      <c r="CV75" s="156"/>
      <c r="CW75" s="156"/>
      <c r="CX75" s="156"/>
      <c r="CY75" s="156"/>
      <c r="CZ75" s="156"/>
      <c r="DA75" s="156"/>
      <c r="DB75" s="156"/>
      <c r="DC75" s="156"/>
      <c r="DD75" s="156"/>
      <c r="DE75" s="156"/>
      <c r="DF75" s="156"/>
      <c r="DG75" s="156"/>
      <c r="DH75" s="156"/>
      <c r="DI75" s="156"/>
      <c r="DJ75" s="156"/>
      <c r="DK75" s="156"/>
      <c r="DL75" s="156"/>
      <c r="DM75" s="156"/>
      <c r="DN75" s="156"/>
      <c r="DO75" s="156"/>
      <c r="DP75" s="156"/>
      <c r="DQ75" s="156"/>
      <c r="DR75" s="156"/>
      <c r="DS75" s="156"/>
      <c r="DT75" s="156"/>
      <c r="DU75" s="156"/>
      <c r="DV75" s="156"/>
      <c r="DW75" s="156"/>
      <c r="DX75" s="156"/>
      <c r="DY75" s="156"/>
      <c r="DZ75" s="156"/>
      <c r="EA75" s="156"/>
      <c r="EB75" s="156"/>
      <c r="EC75" s="156"/>
      <c r="ED75" s="156"/>
      <c r="EE75" s="156"/>
      <c r="EF75" s="156"/>
      <c r="EG75" s="156"/>
      <c r="EH75" s="156"/>
      <c r="EI75" s="156"/>
      <c r="EJ75" s="156"/>
      <c r="EK75" s="156"/>
      <c r="EL75" s="156"/>
      <c r="EM75" s="156"/>
      <c r="EN75" s="156"/>
      <c r="EO75" s="156"/>
      <c r="EP75" s="156"/>
      <c r="EQ75" s="156"/>
      <c r="ER75" s="156"/>
      <c r="ES75" s="156"/>
      <c r="ET75" s="156"/>
      <c r="EU75" s="156"/>
      <c r="EV75" s="156"/>
      <c r="EW75" s="156"/>
      <c r="EX75" s="156"/>
      <c r="EY75" s="156"/>
      <c r="EZ75" s="156"/>
      <c r="FA75" s="156"/>
      <c r="FB75" s="156"/>
      <c r="FC75" s="156"/>
      <c r="FD75" s="156"/>
      <c r="FE75" s="156"/>
      <c r="FF75" s="156"/>
      <c r="FG75" s="156"/>
      <c r="FH75" s="156"/>
      <c r="FI75" s="156"/>
      <c r="FJ75" s="156"/>
      <c r="FK75" s="156"/>
      <c r="FL75" s="156"/>
      <c r="FM75" s="156"/>
      <c r="FN75" s="156"/>
      <c r="FO75" s="156"/>
      <c r="FP75" s="156"/>
      <c r="FQ75" s="156"/>
      <c r="FR75" s="156"/>
      <c r="FS75" s="156"/>
      <c r="FT75" s="156"/>
      <c r="FU75" s="156"/>
      <c r="FV75" s="156"/>
      <c r="FW75" s="156"/>
      <c r="FX75" s="156"/>
      <c r="FY75" s="156"/>
      <c r="FZ75" s="156"/>
      <c r="GA75" s="156"/>
      <c r="GB75" s="156"/>
      <c r="GC75" s="156"/>
      <c r="GD75" s="156"/>
      <c r="GE75" s="156"/>
      <c r="GF75" s="156"/>
      <c r="GG75" s="156"/>
      <c r="GH75" s="156"/>
      <c r="GI75" s="156"/>
      <c r="GJ75" s="156"/>
      <c r="GK75" s="156"/>
      <c r="GL75" s="156"/>
      <c r="GM75" s="156"/>
      <c r="GN75" s="156"/>
      <c r="GO75" s="156"/>
      <c r="GP75" s="156"/>
      <c r="GQ75" s="156"/>
      <c r="GR75" s="156"/>
      <c r="GS75" s="156"/>
      <c r="GT75" s="156"/>
      <c r="GU75" s="156"/>
      <c r="GV75" s="156"/>
      <c r="GW75" s="156"/>
      <c r="GX75" s="156"/>
      <c r="GY75" s="156"/>
      <c r="GZ75" s="156"/>
      <c r="HA75" s="156"/>
      <c r="HB75" s="156"/>
      <c r="HC75" s="156"/>
      <c r="HD75" s="156"/>
      <c r="HE75" s="156"/>
      <c r="HF75" s="156"/>
      <c r="HG75" s="156"/>
      <c r="HH75" s="156"/>
      <c r="HI75" s="156"/>
      <c r="HJ75" s="156"/>
      <c r="HK75" s="156"/>
      <c r="HL75" s="156"/>
      <c r="HM75" s="156"/>
      <c r="HN75" s="156"/>
      <c r="HO75" s="156"/>
      <c r="HP75" s="156"/>
      <c r="HQ75" s="156"/>
      <c r="HR75" s="156"/>
      <c r="HS75" s="156"/>
      <c r="HT75" s="156"/>
      <c r="HU75" s="156"/>
      <c r="HV75" s="156"/>
      <c r="HW75" s="156"/>
      <c r="HX75" s="156"/>
      <c r="HY75" s="156"/>
      <c r="HZ75" s="156"/>
      <c r="IA75" s="156"/>
      <c r="IB75" s="156"/>
      <c r="IC75" s="156"/>
      <c r="ID75" s="156"/>
      <c r="IE75" s="156"/>
      <c r="IF75" s="156"/>
      <c r="IG75" s="156"/>
      <c r="IH75" s="156"/>
      <c r="II75" s="156"/>
      <c r="IJ75" s="156"/>
      <c r="IK75" s="156"/>
      <c r="IL75" s="156"/>
      <c r="IM75" s="156"/>
      <c r="IN75" s="156"/>
      <c r="IO75" s="156"/>
      <c r="IP75" s="156"/>
      <c r="IQ75" s="156"/>
      <c r="IR75" s="156"/>
      <c r="IS75" s="156"/>
      <c r="IT75" s="156"/>
      <c r="IU75" s="156"/>
      <c r="IV75" s="156"/>
    </row>
    <row r="76" spans="1:256" ht="13.5" thickBot="1">
      <c r="A76" s="1095"/>
      <c r="B76" s="467"/>
      <c r="C76" s="619" t="s">
        <v>442</v>
      </c>
      <c r="D76" s="620" t="s">
        <v>265</v>
      </c>
      <c r="E76" s="621">
        <v>711.34020618556701</v>
      </c>
      <c r="F76" s="23">
        <f t="shared" si="0"/>
        <v>426.8041237113402</v>
      </c>
      <c r="G76" s="527">
        <f t="shared" si="1"/>
        <v>0</v>
      </c>
      <c r="H76" s="528">
        <f t="shared" si="2"/>
        <v>35.510103092783503</v>
      </c>
      <c r="I76" s="528">
        <f t="shared" si="3"/>
        <v>0</v>
      </c>
      <c r="J76" s="528">
        <f t="shared" si="4"/>
        <v>13.358969072164948</v>
      </c>
      <c r="K76" s="528">
        <f t="shared" si="5"/>
        <v>0</v>
      </c>
      <c r="L76" s="528">
        <f t="shared" si="6"/>
        <v>10.926185567010309</v>
      </c>
      <c r="M76" s="528">
        <f t="shared" si="7"/>
        <v>0</v>
      </c>
      <c r="N76" s="528">
        <f t="shared" si="8"/>
        <v>9.0909278350515468</v>
      </c>
      <c r="O76" s="528">
        <f t="shared" si="9"/>
        <v>0</v>
      </c>
      <c r="P76" s="735"/>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c r="CG76" s="156"/>
      <c r="CH76" s="156"/>
      <c r="CI76" s="156"/>
      <c r="CJ76" s="156"/>
      <c r="CK76" s="156"/>
      <c r="CL76" s="156"/>
      <c r="CM76" s="156"/>
      <c r="CN76" s="156"/>
      <c r="CO76" s="156"/>
      <c r="CP76" s="156"/>
      <c r="CQ76" s="156"/>
      <c r="CR76" s="156"/>
      <c r="CS76" s="156"/>
      <c r="CT76" s="156"/>
      <c r="CU76" s="156"/>
      <c r="CV76" s="156"/>
      <c r="CW76" s="156"/>
      <c r="CX76" s="156"/>
      <c r="CY76" s="156"/>
      <c r="CZ76" s="156"/>
      <c r="DA76" s="156"/>
      <c r="DB76" s="156"/>
      <c r="DC76" s="156"/>
      <c r="DD76" s="156"/>
      <c r="DE76" s="156"/>
      <c r="DF76" s="156"/>
      <c r="DG76" s="156"/>
      <c r="DH76" s="156"/>
      <c r="DI76" s="156"/>
      <c r="DJ76" s="156"/>
      <c r="DK76" s="156"/>
      <c r="DL76" s="156"/>
      <c r="DM76" s="156"/>
      <c r="DN76" s="156"/>
      <c r="DO76" s="156"/>
      <c r="DP76" s="156"/>
      <c r="DQ76" s="156"/>
      <c r="DR76" s="156"/>
      <c r="DS76" s="156"/>
      <c r="DT76" s="156"/>
      <c r="DU76" s="156"/>
      <c r="DV76" s="156"/>
      <c r="DW76" s="156"/>
      <c r="DX76" s="156"/>
      <c r="DY76" s="156"/>
      <c r="DZ76" s="156"/>
      <c r="EA76" s="156"/>
      <c r="EB76" s="156"/>
      <c r="EC76" s="156"/>
      <c r="ED76" s="156"/>
      <c r="EE76" s="156"/>
      <c r="EF76" s="156"/>
      <c r="EG76" s="156"/>
      <c r="EH76" s="156"/>
      <c r="EI76" s="156"/>
      <c r="EJ76" s="156"/>
      <c r="EK76" s="156"/>
      <c r="EL76" s="156"/>
      <c r="EM76" s="156"/>
      <c r="EN76" s="156"/>
      <c r="EO76" s="156"/>
      <c r="EP76" s="156"/>
      <c r="EQ76" s="156"/>
      <c r="ER76" s="156"/>
      <c r="ES76" s="156"/>
      <c r="ET76" s="156"/>
      <c r="EU76" s="156"/>
      <c r="EV76" s="156"/>
      <c r="EW76" s="156"/>
      <c r="EX76" s="156"/>
      <c r="EY76" s="156"/>
      <c r="EZ76" s="156"/>
      <c r="FA76" s="156"/>
      <c r="FB76" s="156"/>
      <c r="FC76" s="156"/>
      <c r="FD76" s="156"/>
      <c r="FE76" s="156"/>
      <c r="FF76" s="156"/>
      <c r="FG76" s="156"/>
      <c r="FH76" s="156"/>
      <c r="FI76" s="156"/>
      <c r="FJ76" s="156"/>
      <c r="FK76" s="156"/>
      <c r="FL76" s="156"/>
      <c r="FM76" s="156"/>
      <c r="FN76" s="156"/>
      <c r="FO76" s="156"/>
      <c r="FP76" s="156"/>
      <c r="FQ76" s="156"/>
      <c r="FR76" s="156"/>
      <c r="FS76" s="156"/>
      <c r="FT76" s="156"/>
      <c r="FU76" s="156"/>
      <c r="FV76" s="156"/>
      <c r="FW76" s="156"/>
      <c r="FX76" s="156"/>
      <c r="FY76" s="156"/>
      <c r="FZ76" s="156"/>
      <c r="GA76" s="156"/>
      <c r="GB76" s="156"/>
      <c r="GC76" s="156"/>
      <c r="GD76" s="156"/>
      <c r="GE76" s="156"/>
      <c r="GF76" s="156"/>
      <c r="GG76" s="156"/>
      <c r="GH76" s="156"/>
      <c r="GI76" s="156"/>
      <c r="GJ76" s="156"/>
      <c r="GK76" s="156"/>
      <c r="GL76" s="156"/>
      <c r="GM76" s="156"/>
      <c r="GN76" s="156"/>
      <c r="GO76" s="156"/>
      <c r="GP76" s="156"/>
      <c r="GQ76" s="156"/>
      <c r="GR76" s="156"/>
      <c r="GS76" s="156"/>
      <c r="GT76" s="156"/>
      <c r="GU76" s="156"/>
      <c r="GV76" s="156"/>
      <c r="GW76" s="156"/>
      <c r="GX76" s="156"/>
      <c r="GY76" s="156"/>
      <c r="GZ76" s="156"/>
      <c r="HA76" s="156"/>
      <c r="HB76" s="156"/>
      <c r="HC76" s="156"/>
      <c r="HD76" s="156"/>
      <c r="HE76" s="156"/>
      <c r="HF76" s="156"/>
      <c r="HG76" s="156"/>
      <c r="HH76" s="156"/>
      <c r="HI76" s="156"/>
      <c r="HJ76" s="156"/>
      <c r="HK76" s="156"/>
      <c r="HL76" s="156"/>
      <c r="HM76" s="156"/>
      <c r="HN76" s="156"/>
      <c r="HO76" s="156"/>
      <c r="HP76" s="156"/>
      <c r="HQ76" s="156"/>
      <c r="HR76" s="156"/>
      <c r="HS76" s="156"/>
      <c r="HT76" s="156"/>
      <c r="HU76" s="156"/>
      <c r="HV76" s="156"/>
      <c r="HW76" s="156"/>
      <c r="HX76" s="156"/>
      <c r="HY76" s="156"/>
      <c r="HZ76" s="156"/>
      <c r="IA76" s="156"/>
      <c r="IB76" s="156"/>
      <c r="IC76" s="156"/>
      <c r="ID76" s="156"/>
      <c r="IE76" s="156"/>
      <c r="IF76" s="156"/>
      <c r="IG76" s="156"/>
      <c r="IH76" s="156"/>
      <c r="II76" s="156"/>
      <c r="IJ76" s="156"/>
      <c r="IK76" s="156"/>
      <c r="IL76" s="156"/>
      <c r="IM76" s="156"/>
      <c r="IN76" s="156"/>
      <c r="IO76" s="156"/>
      <c r="IP76" s="156"/>
      <c r="IQ76" s="156"/>
      <c r="IR76" s="156"/>
      <c r="IS76" s="156"/>
      <c r="IT76" s="156"/>
      <c r="IU76" s="156"/>
      <c r="IV76" s="156"/>
    </row>
    <row r="77" spans="1:256" ht="13.5" thickBot="1">
      <c r="A77" s="1095"/>
      <c r="B77" s="467"/>
      <c r="C77" s="622" t="s">
        <v>443</v>
      </c>
      <c r="D77" s="623" t="s">
        <v>31</v>
      </c>
      <c r="E77" s="624">
        <v>196.90721649484536</v>
      </c>
      <c r="F77" s="23">
        <f t="shared" si="0"/>
        <v>118.14432989690721</v>
      </c>
      <c r="G77" s="527">
        <f t="shared" si="1"/>
        <v>0</v>
      </c>
      <c r="H77" s="528">
        <f t="shared" si="2"/>
        <v>9.82960824742268</v>
      </c>
      <c r="I77" s="528">
        <f t="shared" si="3"/>
        <v>0</v>
      </c>
      <c r="J77" s="528">
        <f t="shared" si="4"/>
        <v>3.697917525773196</v>
      </c>
      <c r="K77" s="528">
        <f t="shared" si="5"/>
        <v>0</v>
      </c>
      <c r="L77" s="528">
        <f t="shared" si="6"/>
        <v>3.0244948453608247</v>
      </c>
      <c r="M77" s="528">
        <f t="shared" si="7"/>
        <v>0</v>
      </c>
      <c r="N77" s="528">
        <f t="shared" si="8"/>
        <v>2.5164742268041236</v>
      </c>
      <c r="O77" s="528">
        <f t="shared" si="9"/>
        <v>0</v>
      </c>
      <c r="P77" s="735"/>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274"/>
      <c r="BB77" s="274"/>
      <c r="BC77" s="274"/>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74"/>
      <c r="CD77" s="274"/>
      <c r="CE77" s="274"/>
      <c r="CF77" s="274"/>
      <c r="CG77" s="274"/>
      <c r="CH77" s="274"/>
      <c r="CI77" s="274"/>
      <c r="CJ77" s="274"/>
      <c r="CK77" s="274"/>
      <c r="CL77" s="274"/>
      <c r="CM77" s="274"/>
      <c r="CN77" s="274"/>
      <c r="CO77" s="274"/>
      <c r="CP77" s="274"/>
      <c r="CQ77" s="274"/>
      <c r="CR77" s="274"/>
      <c r="CS77" s="274"/>
      <c r="CT77" s="274"/>
      <c r="CU77" s="274"/>
      <c r="CV77" s="274"/>
      <c r="CW77" s="274"/>
      <c r="CX77" s="274"/>
      <c r="CY77" s="274"/>
      <c r="CZ77" s="274"/>
      <c r="DA77" s="274"/>
      <c r="DB77" s="274"/>
      <c r="DC77" s="274"/>
      <c r="DD77" s="274"/>
      <c r="DE77" s="274"/>
      <c r="DF77" s="274"/>
      <c r="DG77" s="274"/>
      <c r="DH77" s="274"/>
      <c r="DI77" s="274"/>
      <c r="DJ77" s="274"/>
      <c r="DK77" s="274"/>
      <c r="DL77" s="274"/>
      <c r="DM77" s="274"/>
      <c r="DN77" s="274"/>
      <c r="DO77" s="274"/>
      <c r="DP77" s="274"/>
      <c r="DQ77" s="274"/>
      <c r="DR77" s="274"/>
      <c r="DS77" s="274"/>
      <c r="DT77" s="274"/>
      <c r="DU77" s="274"/>
      <c r="DV77" s="274"/>
      <c r="DW77" s="274"/>
      <c r="DX77" s="274"/>
      <c r="DY77" s="274"/>
      <c r="DZ77" s="274"/>
      <c r="EA77" s="274"/>
      <c r="EB77" s="274"/>
      <c r="EC77" s="274"/>
      <c r="ED77" s="274"/>
      <c r="EE77" s="274"/>
      <c r="EF77" s="274"/>
      <c r="EG77" s="274"/>
      <c r="EH77" s="274"/>
      <c r="EI77" s="274"/>
      <c r="EJ77" s="274"/>
      <c r="EK77" s="274"/>
      <c r="EL77" s="274"/>
      <c r="EM77" s="274"/>
      <c r="EN77" s="274"/>
      <c r="EO77" s="274"/>
      <c r="EP77" s="274"/>
      <c r="EQ77" s="274"/>
      <c r="ER77" s="274"/>
      <c r="ES77" s="274"/>
      <c r="ET77" s="274"/>
      <c r="EU77" s="274"/>
      <c r="EV77" s="274"/>
      <c r="EW77" s="274"/>
      <c r="EX77" s="274"/>
      <c r="EY77" s="274"/>
      <c r="EZ77" s="274"/>
      <c r="FA77" s="274"/>
      <c r="FB77" s="274"/>
      <c r="FC77" s="274"/>
      <c r="FD77" s="274"/>
      <c r="FE77" s="274"/>
      <c r="FF77" s="274"/>
      <c r="FG77" s="274"/>
      <c r="FH77" s="274"/>
      <c r="FI77" s="274"/>
      <c r="FJ77" s="274"/>
      <c r="FK77" s="274"/>
      <c r="FL77" s="274"/>
      <c r="FM77" s="274"/>
      <c r="FN77" s="274"/>
      <c r="FO77" s="274"/>
      <c r="FP77" s="274"/>
      <c r="FQ77" s="274"/>
      <c r="FR77" s="274"/>
      <c r="FS77" s="274"/>
      <c r="FT77" s="274"/>
      <c r="FU77" s="274"/>
      <c r="FV77" s="274"/>
      <c r="FW77" s="274"/>
      <c r="FX77" s="274"/>
      <c r="FY77" s="274"/>
      <c r="FZ77" s="274"/>
      <c r="GA77" s="274"/>
      <c r="GB77" s="274"/>
      <c r="GC77" s="274"/>
      <c r="GD77" s="274"/>
      <c r="GE77" s="274"/>
      <c r="GF77" s="274"/>
      <c r="GG77" s="274"/>
      <c r="GH77" s="274"/>
      <c r="GI77" s="274"/>
      <c r="GJ77" s="274"/>
      <c r="GK77" s="274"/>
      <c r="GL77" s="274"/>
      <c r="GM77" s="274"/>
      <c r="GN77" s="274"/>
      <c r="GO77" s="274"/>
      <c r="GP77" s="274"/>
      <c r="GQ77" s="274"/>
      <c r="GR77" s="274"/>
      <c r="GS77" s="274"/>
      <c r="GT77" s="274"/>
      <c r="GU77" s="274"/>
      <c r="GV77" s="274"/>
      <c r="GW77" s="274"/>
      <c r="GX77" s="274"/>
      <c r="GY77" s="274"/>
      <c r="GZ77" s="274"/>
      <c r="HA77" s="274"/>
      <c r="HB77" s="274"/>
      <c r="HC77" s="274"/>
      <c r="HD77" s="274"/>
      <c r="HE77" s="274"/>
      <c r="HF77" s="274"/>
      <c r="HG77" s="274"/>
      <c r="HH77" s="274"/>
      <c r="HI77" s="274"/>
      <c r="HJ77" s="274"/>
      <c r="HK77" s="274"/>
      <c r="HL77" s="274"/>
      <c r="HM77" s="274"/>
      <c r="HN77" s="274"/>
      <c r="HO77" s="274"/>
      <c r="HP77" s="274"/>
      <c r="HQ77" s="274"/>
      <c r="HR77" s="274"/>
      <c r="HS77" s="274"/>
      <c r="HT77" s="274"/>
      <c r="HU77" s="274"/>
      <c r="HV77" s="274"/>
      <c r="HW77" s="274"/>
      <c r="HX77" s="274"/>
      <c r="HY77" s="274"/>
      <c r="HZ77" s="274"/>
      <c r="IA77" s="274"/>
      <c r="IB77" s="274"/>
      <c r="IC77" s="274"/>
      <c r="ID77" s="274"/>
      <c r="IE77" s="274"/>
      <c r="IF77" s="274"/>
      <c r="IG77" s="274"/>
      <c r="IH77" s="274"/>
      <c r="II77" s="274"/>
      <c r="IJ77" s="274"/>
      <c r="IK77" s="274"/>
      <c r="IL77" s="274"/>
      <c r="IM77" s="274"/>
      <c r="IN77" s="274"/>
      <c r="IO77" s="274"/>
      <c r="IP77" s="274"/>
      <c r="IQ77" s="274"/>
      <c r="IR77" s="274"/>
      <c r="IS77" s="274"/>
      <c r="IT77" s="274"/>
      <c r="IU77" s="274"/>
      <c r="IV77" s="274"/>
    </row>
    <row r="78" spans="1:256" ht="26.25" thickBot="1">
      <c r="A78" s="1095"/>
      <c r="B78" s="467"/>
      <c r="C78" s="90" t="s">
        <v>444</v>
      </c>
      <c r="D78" s="235" t="s">
        <v>419</v>
      </c>
      <c r="E78" s="518">
        <v>688.45360824742261</v>
      </c>
      <c r="F78" s="44">
        <f t="shared" si="0"/>
        <v>413.07216494845358</v>
      </c>
      <c r="G78" s="527">
        <f t="shared" si="1"/>
        <v>0</v>
      </c>
      <c r="H78" s="528">
        <f t="shared" si="2"/>
        <v>34.367604123711338</v>
      </c>
      <c r="I78" s="528">
        <f t="shared" si="3"/>
        <v>0</v>
      </c>
      <c r="J78" s="528">
        <f t="shared" si="4"/>
        <v>12.929158762886598</v>
      </c>
      <c r="K78" s="528">
        <f t="shared" si="5"/>
        <v>0</v>
      </c>
      <c r="L78" s="528">
        <f t="shared" si="6"/>
        <v>10.574647422680412</v>
      </c>
      <c r="M78" s="528">
        <f t="shared" si="7"/>
        <v>0</v>
      </c>
      <c r="N78" s="528">
        <f t="shared" si="8"/>
        <v>8.7984371134020609</v>
      </c>
      <c r="O78" s="528">
        <f t="shared" si="9"/>
        <v>0</v>
      </c>
      <c r="P78" s="735"/>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c r="CG78" s="156"/>
      <c r="CH78" s="156"/>
      <c r="CI78" s="156"/>
      <c r="CJ78" s="156"/>
      <c r="CK78" s="156"/>
      <c r="CL78" s="156"/>
      <c r="CM78" s="156"/>
      <c r="CN78" s="156"/>
      <c r="CO78" s="156"/>
      <c r="CP78" s="156"/>
      <c r="CQ78" s="156"/>
      <c r="CR78" s="156"/>
      <c r="CS78" s="156"/>
      <c r="CT78" s="156"/>
      <c r="CU78" s="156"/>
      <c r="CV78" s="156"/>
      <c r="CW78" s="156"/>
      <c r="CX78" s="156"/>
      <c r="CY78" s="156"/>
      <c r="CZ78" s="156"/>
      <c r="DA78" s="156"/>
      <c r="DB78" s="156"/>
      <c r="DC78" s="156"/>
      <c r="DD78" s="156"/>
      <c r="DE78" s="156"/>
      <c r="DF78" s="156"/>
      <c r="DG78" s="156"/>
      <c r="DH78" s="156"/>
      <c r="DI78" s="156"/>
      <c r="DJ78" s="156"/>
      <c r="DK78" s="156"/>
      <c r="DL78" s="156"/>
      <c r="DM78" s="156"/>
      <c r="DN78" s="156"/>
      <c r="DO78" s="156"/>
      <c r="DP78" s="156"/>
      <c r="DQ78" s="156"/>
      <c r="DR78" s="156"/>
      <c r="DS78" s="156"/>
      <c r="DT78" s="156"/>
      <c r="DU78" s="156"/>
      <c r="DV78" s="156"/>
      <c r="DW78" s="156"/>
      <c r="DX78" s="156"/>
      <c r="DY78" s="156"/>
      <c r="DZ78" s="156"/>
      <c r="EA78" s="156"/>
      <c r="EB78" s="156"/>
      <c r="EC78" s="156"/>
      <c r="ED78" s="156"/>
      <c r="EE78" s="156"/>
      <c r="EF78" s="156"/>
      <c r="EG78" s="156"/>
      <c r="EH78" s="156"/>
      <c r="EI78" s="156"/>
      <c r="EJ78" s="156"/>
      <c r="EK78" s="156"/>
      <c r="EL78" s="156"/>
      <c r="EM78" s="156"/>
      <c r="EN78" s="156"/>
      <c r="EO78" s="156"/>
      <c r="EP78" s="156"/>
      <c r="EQ78" s="156"/>
      <c r="ER78" s="156"/>
      <c r="ES78" s="156"/>
      <c r="ET78" s="156"/>
      <c r="EU78" s="156"/>
      <c r="EV78" s="156"/>
      <c r="EW78" s="156"/>
      <c r="EX78" s="156"/>
      <c r="EY78" s="156"/>
      <c r="EZ78" s="156"/>
      <c r="FA78" s="156"/>
      <c r="FB78" s="156"/>
      <c r="FC78" s="156"/>
      <c r="FD78" s="156"/>
      <c r="FE78" s="156"/>
      <c r="FF78" s="156"/>
      <c r="FG78" s="156"/>
      <c r="FH78" s="156"/>
      <c r="FI78" s="156"/>
      <c r="FJ78" s="156"/>
      <c r="FK78" s="156"/>
      <c r="FL78" s="156"/>
      <c r="FM78" s="156"/>
      <c r="FN78" s="156"/>
      <c r="FO78" s="156"/>
      <c r="FP78" s="156"/>
      <c r="FQ78" s="156"/>
      <c r="FR78" s="156"/>
      <c r="FS78" s="156"/>
      <c r="FT78" s="156"/>
      <c r="FU78" s="156"/>
      <c r="FV78" s="156"/>
      <c r="FW78" s="156"/>
      <c r="FX78" s="156"/>
      <c r="FY78" s="156"/>
      <c r="FZ78" s="156"/>
      <c r="GA78" s="156"/>
      <c r="GB78" s="156"/>
      <c r="GC78" s="156"/>
      <c r="GD78" s="156"/>
      <c r="GE78" s="156"/>
      <c r="GF78" s="156"/>
      <c r="GG78" s="156"/>
      <c r="GH78" s="156"/>
      <c r="GI78" s="156"/>
      <c r="GJ78" s="156"/>
      <c r="GK78" s="156"/>
      <c r="GL78" s="156"/>
      <c r="GM78" s="156"/>
      <c r="GN78" s="156"/>
      <c r="GO78" s="156"/>
      <c r="GP78" s="156"/>
      <c r="GQ78" s="156"/>
      <c r="GR78" s="156"/>
      <c r="GS78" s="156"/>
      <c r="GT78" s="156"/>
      <c r="GU78" s="156"/>
      <c r="GV78" s="156"/>
      <c r="GW78" s="156"/>
      <c r="GX78" s="156"/>
      <c r="GY78" s="156"/>
      <c r="GZ78" s="156"/>
      <c r="HA78" s="156"/>
      <c r="HB78" s="156"/>
      <c r="HC78" s="156"/>
      <c r="HD78" s="156"/>
      <c r="HE78" s="156"/>
      <c r="HF78" s="156"/>
      <c r="HG78" s="156"/>
      <c r="HH78" s="156"/>
      <c r="HI78" s="156"/>
      <c r="HJ78" s="156"/>
      <c r="HK78" s="156"/>
      <c r="HL78" s="156"/>
      <c r="HM78" s="156"/>
      <c r="HN78" s="156"/>
      <c r="HO78" s="156"/>
      <c r="HP78" s="156"/>
      <c r="HQ78" s="156"/>
      <c r="HR78" s="156"/>
      <c r="HS78" s="156"/>
      <c r="HT78" s="156"/>
      <c r="HU78" s="156"/>
      <c r="HV78" s="156"/>
      <c r="HW78" s="156"/>
      <c r="HX78" s="156"/>
      <c r="HY78" s="156"/>
      <c r="HZ78" s="156"/>
      <c r="IA78" s="156"/>
      <c r="IB78" s="156"/>
      <c r="IC78" s="156"/>
      <c r="ID78" s="156"/>
      <c r="IE78" s="156"/>
      <c r="IF78" s="156"/>
      <c r="IG78" s="156"/>
      <c r="IH78" s="156"/>
      <c r="II78" s="156"/>
      <c r="IJ78" s="156"/>
      <c r="IK78" s="156"/>
      <c r="IL78" s="156"/>
      <c r="IM78" s="156"/>
      <c r="IN78" s="156"/>
      <c r="IO78" s="156"/>
      <c r="IP78" s="156"/>
      <c r="IQ78" s="156"/>
      <c r="IR78" s="156"/>
      <c r="IS78" s="156"/>
      <c r="IT78" s="156"/>
      <c r="IU78" s="156"/>
      <c r="IV78" s="156"/>
    </row>
    <row r="79" spans="1:256" ht="26.25" thickBot="1">
      <c r="A79" s="1095"/>
      <c r="B79" s="467"/>
      <c r="C79" s="90" t="s">
        <v>445</v>
      </c>
      <c r="D79" s="235" t="s">
        <v>117</v>
      </c>
      <c r="E79" s="518">
        <v>257.73195876288662</v>
      </c>
      <c r="F79" s="23">
        <f t="shared" si="0"/>
        <v>154.63917525773198</v>
      </c>
      <c r="G79" s="527">
        <f t="shared" si="1"/>
        <v>0</v>
      </c>
      <c r="H79" s="528">
        <f t="shared" si="2"/>
        <v>12.865979381443299</v>
      </c>
      <c r="I79" s="528">
        <f t="shared" si="3"/>
        <v>0</v>
      </c>
      <c r="J79" s="528">
        <f t="shared" si="4"/>
        <v>4.8402061855670109</v>
      </c>
      <c r="K79" s="528">
        <f t="shared" si="5"/>
        <v>0</v>
      </c>
      <c r="L79" s="528">
        <f t="shared" si="6"/>
        <v>3.9587628865979387</v>
      </c>
      <c r="M79" s="528">
        <f t="shared" si="7"/>
        <v>0</v>
      </c>
      <c r="N79" s="528">
        <f t="shared" si="8"/>
        <v>3.293814432989691</v>
      </c>
      <c r="O79" s="528">
        <f t="shared" si="9"/>
        <v>0</v>
      </c>
      <c r="P79" s="735"/>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c r="DS79" s="156"/>
      <c r="DT79" s="156"/>
      <c r="DU79" s="156"/>
      <c r="DV79" s="156"/>
      <c r="DW79" s="156"/>
      <c r="DX79" s="156"/>
      <c r="DY79" s="156"/>
      <c r="DZ79" s="156"/>
      <c r="EA79" s="156"/>
      <c r="EB79" s="156"/>
      <c r="EC79" s="156"/>
      <c r="ED79" s="156"/>
      <c r="EE79" s="156"/>
      <c r="EF79" s="156"/>
      <c r="EG79" s="156"/>
      <c r="EH79" s="156"/>
      <c r="EI79" s="156"/>
      <c r="EJ79" s="156"/>
      <c r="EK79" s="156"/>
      <c r="EL79" s="156"/>
      <c r="EM79" s="156"/>
      <c r="EN79" s="156"/>
      <c r="EO79" s="156"/>
      <c r="EP79" s="156"/>
      <c r="EQ79" s="156"/>
      <c r="ER79" s="156"/>
      <c r="ES79" s="156"/>
      <c r="ET79" s="156"/>
      <c r="EU79" s="156"/>
      <c r="EV79" s="156"/>
      <c r="EW79" s="156"/>
      <c r="EX79" s="156"/>
      <c r="EY79" s="156"/>
      <c r="EZ79" s="156"/>
      <c r="FA79" s="156"/>
      <c r="FB79" s="156"/>
      <c r="FC79" s="156"/>
      <c r="FD79" s="156"/>
      <c r="FE79" s="156"/>
      <c r="FF79" s="156"/>
      <c r="FG79" s="156"/>
      <c r="FH79" s="156"/>
      <c r="FI79" s="156"/>
      <c r="FJ79" s="156"/>
      <c r="FK79" s="156"/>
      <c r="FL79" s="156"/>
      <c r="FM79" s="156"/>
      <c r="FN79" s="156"/>
      <c r="FO79" s="156"/>
      <c r="FP79" s="156"/>
      <c r="FQ79" s="156"/>
      <c r="FR79" s="156"/>
      <c r="FS79" s="156"/>
      <c r="FT79" s="156"/>
      <c r="FU79" s="156"/>
      <c r="FV79" s="156"/>
      <c r="FW79" s="156"/>
      <c r="FX79" s="156"/>
      <c r="FY79" s="156"/>
      <c r="FZ79" s="156"/>
      <c r="GA79" s="156"/>
      <c r="GB79" s="156"/>
      <c r="GC79" s="156"/>
      <c r="GD79" s="156"/>
      <c r="GE79" s="156"/>
      <c r="GF79" s="156"/>
      <c r="GG79" s="156"/>
      <c r="GH79" s="156"/>
      <c r="GI79" s="156"/>
      <c r="GJ79" s="156"/>
      <c r="GK79" s="156"/>
      <c r="GL79" s="156"/>
      <c r="GM79" s="156"/>
      <c r="GN79" s="156"/>
      <c r="GO79" s="156"/>
      <c r="GP79" s="156"/>
      <c r="GQ79" s="156"/>
      <c r="GR79" s="156"/>
      <c r="GS79" s="156"/>
      <c r="GT79" s="156"/>
      <c r="GU79" s="156"/>
      <c r="GV79" s="156"/>
      <c r="GW79" s="156"/>
      <c r="GX79" s="156"/>
      <c r="GY79" s="156"/>
      <c r="GZ79" s="156"/>
      <c r="HA79" s="156"/>
      <c r="HB79" s="156"/>
      <c r="HC79" s="156"/>
      <c r="HD79" s="156"/>
      <c r="HE79" s="156"/>
      <c r="HF79" s="156"/>
      <c r="HG79" s="156"/>
      <c r="HH79" s="156"/>
      <c r="HI79" s="156"/>
      <c r="HJ79" s="156"/>
      <c r="HK79" s="156"/>
      <c r="HL79" s="156"/>
      <c r="HM79" s="156"/>
      <c r="HN79" s="156"/>
      <c r="HO79" s="156"/>
      <c r="HP79" s="156"/>
      <c r="HQ79" s="156"/>
      <c r="HR79" s="156"/>
      <c r="HS79" s="156"/>
      <c r="HT79" s="156"/>
      <c r="HU79" s="156"/>
      <c r="HV79" s="156"/>
      <c r="HW79" s="156"/>
      <c r="HX79" s="156"/>
      <c r="HY79" s="156"/>
      <c r="HZ79" s="156"/>
      <c r="IA79" s="156"/>
      <c r="IB79" s="156"/>
      <c r="IC79" s="156"/>
      <c r="ID79" s="156"/>
      <c r="IE79" s="156"/>
      <c r="IF79" s="156"/>
      <c r="IG79" s="156"/>
      <c r="IH79" s="156"/>
      <c r="II79" s="156"/>
      <c r="IJ79" s="156"/>
      <c r="IK79" s="156"/>
      <c r="IL79" s="156"/>
      <c r="IM79" s="156"/>
      <c r="IN79" s="156"/>
      <c r="IO79" s="156"/>
      <c r="IP79" s="156"/>
      <c r="IQ79" s="156"/>
      <c r="IR79" s="156"/>
      <c r="IS79" s="156"/>
      <c r="IT79" s="156"/>
      <c r="IU79" s="156"/>
      <c r="IV79" s="156"/>
    </row>
    <row r="80" spans="1:256" ht="26.25" thickBot="1">
      <c r="A80" s="1095"/>
      <c r="B80" s="467"/>
      <c r="C80" s="90" t="s">
        <v>70</v>
      </c>
      <c r="D80" s="492" t="s">
        <v>420</v>
      </c>
      <c r="E80" s="518">
        <v>61.855670103092784</v>
      </c>
      <c r="F80" s="23">
        <f t="shared" si="0"/>
        <v>37.113402061855666</v>
      </c>
      <c r="G80" s="527">
        <f t="shared" si="1"/>
        <v>0</v>
      </c>
      <c r="H80" s="528">
        <f t="shared" si="2"/>
        <v>3.0878350515463913</v>
      </c>
      <c r="I80" s="528">
        <f t="shared" si="3"/>
        <v>0</v>
      </c>
      <c r="J80" s="528">
        <f t="shared" si="4"/>
        <v>1.1616494845360823</v>
      </c>
      <c r="K80" s="528">
        <f t="shared" si="5"/>
        <v>0</v>
      </c>
      <c r="L80" s="528">
        <f t="shared" si="6"/>
        <v>0.95010309278350513</v>
      </c>
      <c r="M80" s="528">
        <f t="shared" si="7"/>
        <v>0</v>
      </c>
      <c r="N80" s="528">
        <f t="shared" si="8"/>
        <v>0.7905154639175257</v>
      </c>
      <c r="O80" s="528">
        <f t="shared" si="9"/>
        <v>0</v>
      </c>
      <c r="P80" s="735"/>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c r="DS80" s="156"/>
      <c r="DT80" s="156"/>
      <c r="DU80" s="156"/>
      <c r="DV80" s="156"/>
      <c r="DW80" s="156"/>
      <c r="DX80" s="156"/>
      <c r="DY80" s="156"/>
      <c r="DZ80" s="156"/>
      <c r="EA80" s="156"/>
      <c r="EB80" s="156"/>
      <c r="EC80" s="156"/>
      <c r="ED80" s="156"/>
      <c r="EE80" s="156"/>
      <c r="EF80" s="156"/>
      <c r="EG80" s="156"/>
      <c r="EH80" s="156"/>
      <c r="EI80" s="156"/>
      <c r="EJ80" s="156"/>
      <c r="EK80" s="156"/>
      <c r="EL80" s="156"/>
      <c r="EM80" s="156"/>
      <c r="EN80" s="156"/>
      <c r="EO80" s="156"/>
      <c r="EP80" s="156"/>
      <c r="EQ80" s="156"/>
      <c r="ER80" s="156"/>
      <c r="ES80" s="156"/>
      <c r="ET80" s="156"/>
      <c r="EU80" s="156"/>
      <c r="EV80" s="156"/>
      <c r="EW80" s="156"/>
      <c r="EX80" s="156"/>
      <c r="EY80" s="156"/>
      <c r="EZ80" s="156"/>
      <c r="FA80" s="156"/>
      <c r="FB80" s="156"/>
      <c r="FC80" s="156"/>
      <c r="FD80" s="156"/>
      <c r="FE80" s="156"/>
      <c r="FF80" s="156"/>
      <c r="FG80" s="156"/>
      <c r="FH80" s="156"/>
      <c r="FI80" s="156"/>
      <c r="FJ80" s="156"/>
      <c r="FK80" s="156"/>
      <c r="FL80" s="156"/>
      <c r="FM80" s="156"/>
      <c r="FN80" s="156"/>
      <c r="FO80" s="156"/>
      <c r="FP80" s="156"/>
      <c r="FQ80" s="156"/>
      <c r="FR80" s="156"/>
      <c r="FS80" s="156"/>
      <c r="FT80" s="156"/>
      <c r="FU80" s="156"/>
      <c r="FV80" s="156"/>
      <c r="FW80" s="156"/>
      <c r="FX80" s="156"/>
      <c r="FY80" s="156"/>
      <c r="FZ80" s="156"/>
      <c r="GA80" s="156"/>
      <c r="GB80" s="156"/>
      <c r="GC80" s="156"/>
      <c r="GD80" s="156"/>
      <c r="GE80" s="156"/>
      <c r="GF80" s="156"/>
      <c r="GG80" s="156"/>
      <c r="GH80" s="156"/>
      <c r="GI80" s="156"/>
      <c r="GJ80" s="156"/>
      <c r="GK80" s="156"/>
      <c r="GL80" s="156"/>
      <c r="GM80" s="156"/>
      <c r="GN80" s="156"/>
      <c r="GO80" s="156"/>
      <c r="GP80" s="156"/>
      <c r="GQ80" s="156"/>
      <c r="GR80" s="156"/>
      <c r="GS80" s="156"/>
      <c r="GT80" s="156"/>
      <c r="GU80" s="156"/>
      <c r="GV80" s="156"/>
      <c r="GW80" s="156"/>
      <c r="GX80" s="156"/>
      <c r="GY80" s="156"/>
      <c r="GZ80" s="156"/>
      <c r="HA80" s="156"/>
      <c r="HB80" s="156"/>
      <c r="HC80" s="156"/>
      <c r="HD80" s="156"/>
      <c r="HE80" s="156"/>
      <c r="HF80" s="156"/>
      <c r="HG80" s="156"/>
      <c r="HH80" s="156"/>
      <c r="HI80" s="156"/>
      <c r="HJ80" s="156"/>
      <c r="HK80" s="156"/>
      <c r="HL80" s="156"/>
      <c r="HM80" s="156"/>
      <c r="HN80" s="156"/>
      <c r="HO80" s="156"/>
      <c r="HP80" s="156"/>
      <c r="HQ80" s="156"/>
      <c r="HR80" s="156"/>
      <c r="HS80" s="156"/>
      <c r="HT80" s="156"/>
      <c r="HU80" s="156"/>
      <c r="HV80" s="156"/>
      <c r="HW80" s="156"/>
      <c r="HX80" s="156"/>
      <c r="HY80" s="156"/>
      <c r="HZ80" s="156"/>
      <c r="IA80" s="156"/>
      <c r="IB80" s="156"/>
      <c r="IC80" s="156"/>
      <c r="ID80" s="156"/>
      <c r="IE80" s="156"/>
      <c r="IF80" s="156"/>
      <c r="IG80" s="156"/>
      <c r="IH80" s="156"/>
      <c r="II80" s="156"/>
      <c r="IJ80" s="156"/>
      <c r="IK80" s="156"/>
      <c r="IL80" s="156"/>
      <c r="IM80" s="156"/>
      <c r="IN80" s="156"/>
      <c r="IO80" s="156"/>
      <c r="IP80" s="156"/>
      <c r="IQ80" s="156"/>
      <c r="IR80" s="156"/>
      <c r="IS80" s="156"/>
      <c r="IT80" s="156"/>
      <c r="IU80" s="156"/>
      <c r="IV80" s="156"/>
    </row>
    <row r="81" spans="1:256" ht="13.5" thickBot="1">
      <c r="A81" s="1095"/>
      <c r="B81" s="102"/>
      <c r="C81" s="90" t="s">
        <v>446</v>
      </c>
      <c r="D81" s="492" t="s">
        <v>421</v>
      </c>
      <c r="E81" s="518">
        <v>96.907216494845358</v>
      </c>
      <c r="F81" s="23">
        <f t="shared" si="0"/>
        <v>58.144329896907209</v>
      </c>
      <c r="G81" s="527">
        <f t="shared" si="1"/>
        <v>0</v>
      </c>
      <c r="H81" s="528">
        <f t="shared" si="2"/>
        <v>4.8376082474226791</v>
      </c>
      <c r="I81" s="528">
        <f t="shared" si="3"/>
        <v>0</v>
      </c>
      <c r="J81" s="528">
        <f t="shared" si="4"/>
        <v>1.8199175257731957</v>
      </c>
      <c r="K81" s="528">
        <f t="shared" si="5"/>
        <v>0</v>
      </c>
      <c r="L81" s="528">
        <f t="shared" si="6"/>
        <v>1.4884948453608247</v>
      </c>
      <c r="M81" s="528">
        <f t="shared" si="7"/>
        <v>0</v>
      </c>
      <c r="N81" s="528">
        <f t="shared" si="8"/>
        <v>1.2384742268041236</v>
      </c>
      <c r="O81" s="528">
        <f t="shared" si="9"/>
        <v>0</v>
      </c>
      <c r="P81" s="735"/>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c r="GL81" s="162"/>
      <c r="GM81" s="162"/>
      <c r="GN81" s="162"/>
      <c r="GO81" s="162"/>
      <c r="GP81" s="162"/>
      <c r="GQ81" s="162"/>
      <c r="GR81" s="162"/>
      <c r="GS81" s="162"/>
      <c r="GT81" s="162"/>
      <c r="GU81" s="162"/>
      <c r="GV81" s="162"/>
      <c r="GW81" s="162"/>
      <c r="GX81" s="162"/>
      <c r="GY81" s="162"/>
      <c r="GZ81" s="162"/>
      <c r="HA81" s="162"/>
      <c r="HB81" s="162"/>
      <c r="HC81" s="162"/>
      <c r="HD81" s="162"/>
      <c r="HE81" s="162"/>
      <c r="HF81" s="162"/>
      <c r="HG81" s="162"/>
      <c r="HH81" s="162"/>
      <c r="HI81" s="162"/>
      <c r="HJ81" s="162"/>
      <c r="HK81" s="162"/>
      <c r="HL81" s="162"/>
      <c r="HM81" s="162"/>
      <c r="HN81" s="162"/>
      <c r="HO81" s="162"/>
      <c r="HP81" s="162"/>
      <c r="HQ81" s="162"/>
      <c r="HR81" s="162"/>
      <c r="HS81" s="162"/>
      <c r="HT81" s="162"/>
      <c r="HU81" s="162"/>
      <c r="HV81" s="162"/>
      <c r="HW81" s="162"/>
      <c r="HX81" s="162"/>
      <c r="HY81" s="162"/>
      <c r="HZ81" s="162"/>
      <c r="IA81" s="162"/>
      <c r="IB81" s="162"/>
      <c r="IC81" s="162"/>
      <c r="ID81" s="162"/>
      <c r="IE81" s="162"/>
      <c r="IF81" s="162"/>
      <c r="IG81" s="162"/>
      <c r="IH81" s="162"/>
      <c r="II81" s="162"/>
      <c r="IJ81" s="162"/>
      <c r="IK81" s="162"/>
      <c r="IL81" s="162"/>
      <c r="IM81" s="162"/>
      <c r="IN81" s="162"/>
      <c r="IO81" s="162"/>
      <c r="IP81" s="162"/>
      <c r="IQ81" s="162"/>
      <c r="IR81" s="162"/>
      <c r="IS81" s="162"/>
      <c r="IT81" s="162"/>
      <c r="IU81" s="162"/>
      <c r="IV81" s="162"/>
    </row>
    <row r="82" spans="1:256" ht="13.5" thickBot="1">
      <c r="A82" s="1095"/>
      <c r="B82" s="102"/>
      <c r="C82" s="90" t="s">
        <v>447</v>
      </c>
      <c r="D82" s="235" t="s">
        <v>422</v>
      </c>
      <c r="E82" s="518">
        <v>941.23711340206194</v>
      </c>
      <c r="F82" s="23">
        <f t="shared" si="0"/>
        <v>564.74226804123714</v>
      </c>
      <c r="G82" s="527">
        <f t="shared" si="1"/>
        <v>0</v>
      </c>
      <c r="H82" s="528">
        <f t="shared" si="2"/>
        <v>46.986556701030928</v>
      </c>
      <c r="I82" s="528">
        <f t="shared" si="3"/>
        <v>0</v>
      </c>
      <c r="J82" s="528">
        <f t="shared" si="4"/>
        <v>17.676432989690724</v>
      </c>
      <c r="K82" s="528">
        <f t="shared" si="5"/>
        <v>0</v>
      </c>
      <c r="L82" s="528">
        <f t="shared" si="6"/>
        <v>14.457402061855671</v>
      </c>
      <c r="M82" s="528">
        <f t="shared" si="7"/>
        <v>0</v>
      </c>
      <c r="N82" s="528">
        <f t="shared" si="8"/>
        <v>12.02901030927835</v>
      </c>
      <c r="O82" s="528">
        <f t="shared" si="9"/>
        <v>0</v>
      </c>
      <c r="P82" s="735"/>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c r="GL82" s="162"/>
      <c r="GM82" s="162"/>
      <c r="GN82" s="162"/>
      <c r="GO82" s="162"/>
      <c r="GP82" s="162"/>
      <c r="GQ82" s="162"/>
      <c r="GR82" s="162"/>
      <c r="GS82" s="162"/>
      <c r="GT82" s="162"/>
      <c r="GU82" s="162"/>
      <c r="GV82" s="162"/>
      <c r="GW82" s="162"/>
      <c r="GX82" s="162"/>
      <c r="GY82" s="162"/>
      <c r="GZ82" s="162"/>
      <c r="HA82" s="162"/>
      <c r="HB82" s="162"/>
      <c r="HC82" s="162"/>
      <c r="HD82" s="162"/>
      <c r="HE82" s="162"/>
      <c r="HF82" s="162"/>
      <c r="HG82" s="162"/>
      <c r="HH82" s="162"/>
      <c r="HI82" s="162"/>
      <c r="HJ82" s="162"/>
      <c r="HK82" s="162"/>
      <c r="HL82" s="162"/>
      <c r="HM82" s="162"/>
      <c r="HN82" s="162"/>
      <c r="HO82" s="162"/>
      <c r="HP82" s="162"/>
      <c r="HQ82" s="162"/>
      <c r="HR82" s="162"/>
      <c r="HS82" s="162"/>
      <c r="HT82" s="162"/>
      <c r="HU82" s="162"/>
      <c r="HV82" s="162"/>
      <c r="HW82" s="162"/>
      <c r="HX82" s="162"/>
      <c r="HY82" s="162"/>
      <c r="HZ82" s="162"/>
      <c r="IA82" s="162"/>
      <c r="IB82" s="162"/>
      <c r="IC82" s="162"/>
      <c r="ID82" s="162"/>
      <c r="IE82" s="162"/>
      <c r="IF82" s="162"/>
      <c r="IG82" s="162"/>
      <c r="IH82" s="162"/>
      <c r="II82" s="162"/>
      <c r="IJ82" s="162"/>
      <c r="IK82" s="162"/>
      <c r="IL82" s="162"/>
      <c r="IM82" s="162"/>
      <c r="IN82" s="162"/>
      <c r="IO82" s="162"/>
      <c r="IP82" s="162"/>
      <c r="IQ82" s="162"/>
      <c r="IR82" s="162"/>
      <c r="IS82" s="162"/>
      <c r="IT82" s="162"/>
      <c r="IU82" s="162"/>
      <c r="IV82" s="162"/>
    </row>
    <row r="83" spans="1:256" ht="13.5" thickBot="1">
      <c r="A83" s="1095"/>
      <c r="B83" s="102"/>
      <c r="C83" s="90" t="s">
        <v>448</v>
      </c>
      <c r="D83" s="492" t="s">
        <v>423</v>
      </c>
      <c r="E83" s="518">
        <v>1227.8350515463917</v>
      </c>
      <c r="F83" s="23">
        <f t="shared" si="0"/>
        <v>736.70103092783495</v>
      </c>
      <c r="G83" s="527">
        <f t="shared" si="1"/>
        <v>0</v>
      </c>
      <c r="H83" s="528">
        <f t="shared" si="2"/>
        <v>61.293525773195867</v>
      </c>
      <c r="I83" s="528">
        <f t="shared" si="3"/>
        <v>0</v>
      </c>
      <c r="J83" s="528">
        <f t="shared" si="4"/>
        <v>23.058742268041236</v>
      </c>
      <c r="K83" s="528">
        <f t="shared" si="5"/>
        <v>0</v>
      </c>
      <c r="L83" s="528">
        <f t="shared" si="6"/>
        <v>18.859546391752577</v>
      </c>
      <c r="M83" s="528">
        <f t="shared" si="7"/>
        <v>0</v>
      </c>
      <c r="N83" s="528">
        <f t="shared" si="8"/>
        <v>15.691731958762883</v>
      </c>
      <c r="O83" s="528">
        <f t="shared" si="9"/>
        <v>0</v>
      </c>
      <c r="P83" s="735"/>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c r="GK83" s="162"/>
      <c r="GL83" s="162"/>
      <c r="GM83" s="162"/>
      <c r="GN83" s="162"/>
      <c r="GO83" s="162"/>
      <c r="GP83" s="162"/>
      <c r="GQ83" s="162"/>
      <c r="GR83" s="162"/>
      <c r="GS83" s="162"/>
      <c r="GT83" s="162"/>
      <c r="GU83" s="162"/>
      <c r="GV83" s="162"/>
      <c r="GW83" s="162"/>
      <c r="GX83" s="162"/>
      <c r="GY83" s="162"/>
      <c r="GZ83" s="162"/>
      <c r="HA83" s="162"/>
      <c r="HB83" s="162"/>
      <c r="HC83" s="162"/>
      <c r="HD83" s="162"/>
      <c r="HE83" s="162"/>
      <c r="HF83" s="162"/>
      <c r="HG83" s="162"/>
      <c r="HH83" s="162"/>
      <c r="HI83" s="162"/>
      <c r="HJ83" s="162"/>
      <c r="HK83" s="162"/>
      <c r="HL83" s="162"/>
      <c r="HM83" s="162"/>
      <c r="HN83" s="162"/>
      <c r="HO83" s="162"/>
      <c r="HP83" s="162"/>
      <c r="HQ83" s="162"/>
      <c r="HR83" s="162"/>
      <c r="HS83" s="162"/>
      <c r="HT83" s="162"/>
      <c r="HU83" s="162"/>
      <c r="HV83" s="162"/>
      <c r="HW83" s="162"/>
      <c r="HX83" s="162"/>
      <c r="HY83" s="162"/>
      <c r="HZ83" s="162"/>
      <c r="IA83" s="162"/>
      <c r="IB83" s="162"/>
      <c r="IC83" s="162"/>
      <c r="ID83" s="162"/>
      <c r="IE83" s="162"/>
      <c r="IF83" s="162"/>
      <c r="IG83" s="162"/>
      <c r="IH83" s="162"/>
      <c r="II83" s="162"/>
      <c r="IJ83" s="162"/>
      <c r="IK83" s="162"/>
      <c r="IL83" s="162"/>
      <c r="IM83" s="162"/>
      <c r="IN83" s="162"/>
      <c r="IO83" s="162"/>
      <c r="IP83" s="162"/>
      <c r="IQ83" s="162"/>
      <c r="IR83" s="162"/>
      <c r="IS83" s="162"/>
      <c r="IT83" s="162"/>
      <c r="IU83" s="162"/>
      <c r="IV83" s="162"/>
    </row>
    <row r="84" spans="1:256" ht="13.5" thickBot="1">
      <c r="A84" s="1095"/>
      <c r="B84" s="102"/>
      <c r="C84" s="90" t="s">
        <v>449</v>
      </c>
      <c r="D84" s="235" t="s">
        <v>424</v>
      </c>
      <c r="E84" s="518">
        <v>1445.3608247422681</v>
      </c>
      <c r="F84" s="23">
        <f t="shared" si="0"/>
        <v>867.21649484536078</v>
      </c>
      <c r="G84" s="527">
        <f t="shared" si="1"/>
        <v>0</v>
      </c>
      <c r="H84" s="528">
        <f t="shared" si="2"/>
        <v>72.15241237113402</v>
      </c>
      <c r="I84" s="528">
        <f t="shared" si="3"/>
        <v>0</v>
      </c>
      <c r="J84" s="528">
        <f t="shared" si="4"/>
        <v>27.143876288659794</v>
      </c>
      <c r="K84" s="528">
        <f t="shared" si="5"/>
        <v>0</v>
      </c>
      <c r="L84" s="528">
        <f t="shared" si="6"/>
        <v>22.200742268041235</v>
      </c>
      <c r="M84" s="528">
        <f t="shared" si="7"/>
        <v>0</v>
      </c>
      <c r="N84" s="528">
        <f t="shared" si="8"/>
        <v>18.471711340206184</v>
      </c>
      <c r="O84" s="528">
        <f t="shared" si="9"/>
        <v>0</v>
      </c>
      <c r="P84" s="735"/>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c r="GL84" s="162"/>
      <c r="GM84" s="162"/>
      <c r="GN84" s="162"/>
      <c r="GO84" s="162"/>
      <c r="GP84" s="162"/>
      <c r="GQ84" s="162"/>
      <c r="GR84" s="162"/>
      <c r="GS84" s="162"/>
      <c r="GT84" s="162"/>
      <c r="GU84" s="162"/>
      <c r="GV84" s="162"/>
      <c r="GW84" s="162"/>
      <c r="GX84" s="162"/>
      <c r="GY84" s="162"/>
      <c r="GZ84" s="162"/>
      <c r="HA84" s="162"/>
      <c r="HB84" s="162"/>
      <c r="HC84" s="162"/>
      <c r="HD84" s="162"/>
      <c r="HE84" s="162"/>
      <c r="HF84" s="162"/>
      <c r="HG84" s="162"/>
      <c r="HH84" s="162"/>
      <c r="HI84" s="162"/>
      <c r="HJ84" s="162"/>
      <c r="HK84" s="162"/>
      <c r="HL84" s="162"/>
      <c r="HM84" s="162"/>
      <c r="HN84" s="162"/>
      <c r="HO84" s="162"/>
      <c r="HP84" s="162"/>
      <c r="HQ84" s="162"/>
      <c r="HR84" s="162"/>
      <c r="HS84" s="162"/>
      <c r="HT84" s="162"/>
      <c r="HU84" s="162"/>
      <c r="HV84" s="162"/>
      <c r="HW84" s="162"/>
      <c r="HX84" s="162"/>
      <c r="HY84" s="162"/>
      <c r="HZ84" s="162"/>
      <c r="IA84" s="162"/>
      <c r="IB84" s="162"/>
      <c r="IC84" s="162"/>
      <c r="ID84" s="162"/>
      <c r="IE84" s="162"/>
      <c r="IF84" s="162"/>
      <c r="IG84" s="162"/>
      <c r="IH84" s="162"/>
      <c r="II84" s="162"/>
      <c r="IJ84" s="162"/>
      <c r="IK84" s="162"/>
      <c r="IL84" s="162"/>
      <c r="IM84" s="162"/>
      <c r="IN84" s="162"/>
      <c r="IO84" s="162"/>
      <c r="IP84" s="162"/>
      <c r="IQ84" s="162"/>
      <c r="IR84" s="162"/>
      <c r="IS84" s="162"/>
      <c r="IT84" s="162"/>
      <c r="IU84" s="162"/>
      <c r="IV84" s="162"/>
    </row>
    <row r="85" spans="1:256" ht="13.5" thickBot="1">
      <c r="A85" s="1095"/>
      <c r="B85" s="467"/>
      <c r="C85" s="90" t="s">
        <v>450</v>
      </c>
      <c r="D85" s="235" t="s">
        <v>425</v>
      </c>
      <c r="E85" s="518">
        <v>604.12371134020623</v>
      </c>
      <c r="F85" s="23">
        <f t="shared" si="0"/>
        <v>362.4742268041237</v>
      </c>
      <c r="G85" s="527">
        <f t="shared" si="1"/>
        <v>0</v>
      </c>
      <c r="H85" s="528">
        <f t="shared" si="2"/>
        <v>30.157855670103089</v>
      </c>
      <c r="I85" s="528">
        <f t="shared" si="3"/>
        <v>0</v>
      </c>
      <c r="J85" s="528">
        <f t="shared" si="4"/>
        <v>11.345443298969073</v>
      </c>
      <c r="K85" s="528">
        <f t="shared" si="5"/>
        <v>0</v>
      </c>
      <c r="L85" s="528">
        <f t="shared" si="6"/>
        <v>9.2793402061855677</v>
      </c>
      <c r="M85" s="528">
        <f t="shared" si="7"/>
        <v>0</v>
      </c>
      <c r="N85" s="528">
        <f t="shared" si="8"/>
        <v>7.7207010309278346</v>
      </c>
      <c r="O85" s="528">
        <f t="shared" si="9"/>
        <v>0</v>
      </c>
      <c r="P85" s="735"/>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c r="CG85" s="156"/>
      <c r="CH85" s="156"/>
      <c r="CI85" s="156"/>
      <c r="CJ85" s="156"/>
      <c r="CK85" s="156"/>
      <c r="CL85" s="156"/>
      <c r="CM85" s="156"/>
      <c r="CN85" s="156"/>
      <c r="CO85" s="156"/>
      <c r="CP85" s="156"/>
      <c r="CQ85" s="156"/>
      <c r="CR85" s="156"/>
      <c r="CS85" s="156"/>
      <c r="CT85" s="156"/>
      <c r="CU85" s="156"/>
      <c r="CV85" s="156"/>
      <c r="CW85" s="156"/>
      <c r="CX85" s="156"/>
      <c r="CY85" s="156"/>
      <c r="CZ85" s="156"/>
      <c r="DA85" s="156"/>
      <c r="DB85" s="156"/>
      <c r="DC85" s="156"/>
      <c r="DD85" s="156"/>
      <c r="DE85" s="156"/>
      <c r="DF85" s="156"/>
      <c r="DG85" s="156"/>
      <c r="DH85" s="156"/>
      <c r="DI85" s="156"/>
      <c r="DJ85" s="156"/>
      <c r="DK85" s="156"/>
      <c r="DL85" s="156"/>
      <c r="DM85" s="156"/>
      <c r="DN85" s="156"/>
      <c r="DO85" s="156"/>
      <c r="DP85" s="156"/>
      <c r="DQ85" s="156"/>
      <c r="DR85" s="156"/>
      <c r="DS85" s="156"/>
      <c r="DT85" s="156"/>
      <c r="DU85" s="156"/>
      <c r="DV85" s="156"/>
      <c r="DW85" s="156"/>
      <c r="DX85" s="156"/>
      <c r="DY85" s="156"/>
      <c r="DZ85" s="156"/>
      <c r="EA85" s="156"/>
      <c r="EB85" s="156"/>
      <c r="EC85" s="156"/>
      <c r="ED85" s="156"/>
      <c r="EE85" s="156"/>
      <c r="EF85" s="156"/>
      <c r="EG85" s="156"/>
      <c r="EH85" s="156"/>
      <c r="EI85" s="156"/>
      <c r="EJ85" s="156"/>
      <c r="EK85" s="156"/>
      <c r="EL85" s="156"/>
      <c r="EM85" s="156"/>
      <c r="EN85" s="156"/>
      <c r="EO85" s="156"/>
      <c r="EP85" s="156"/>
      <c r="EQ85" s="156"/>
      <c r="ER85" s="156"/>
      <c r="ES85" s="156"/>
      <c r="ET85" s="156"/>
      <c r="EU85" s="156"/>
      <c r="EV85" s="156"/>
      <c r="EW85" s="156"/>
      <c r="EX85" s="156"/>
      <c r="EY85" s="156"/>
      <c r="EZ85" s="156"/>
      <c r="FA85" s="156"/>
      <c r="FB85" s="156"/>
      <c r="FC85" s="156"/>
      <c r="FD85" s="156"/>
      <c r="FE85" s="156"/>
      <c r="FF85" s="156"/>
      <c r="FG85" s="156"/>
      <c r="FH85" s="156"/>
      <c r="FI85" s="156"/>
      <c r="FJ85" s="156"/>
      <c r="FK85" s="156"/>
      <c r="FL85" s="156"/>
      <c r="FM85" s="156"/>
      <c r="FN85" s="156"/>
      <c r="FO85" s="156"/>
      <c r="FP85" s="156"/>
      <c r="FQ85" s="156"/>
      <c r="FR85" s="156"/>
      <c r="FS85" s="156"/>
      <c r="FT85" s="156"/>
      <c r="FU85" s="156"/>
      <c r="FV85" s="156"/>
      <c r="FW85" s="156"/>
      <c r="FX85" s="156"/>
      <c r="FY85" s="156"/>
      <c r="FZ85" s="156"/>
      <c r="GA85" s="156"/>
      <c r="GB85" s="156"/>
      <c r="GC85" s="156"/>
      <c r="GD85" s="156"/>
      <c r="GE85" s="156"/>
      <c r="GF85" s="156"/>
      <c r="GG85" s="156"/>
      <c r="GH85" s="156"/>
      <c r="GI85" s="156"/>
      <c r="GJ85" s="156"/>
      <c r="GK85" s="156"/>
      <c r="GL85" s="156"/>
      <c r="GM85" s="156"/>
      <c r="GN85" s="156"/>
      <c r="GO85" s="156"/>
      <c r="GP85" s="156"/>
      <c r="GQ85" s="156"/>
      <c r="GR85" s="156"/>
      <c r="GS85" s="156"/>
      <c r="GT85" s="156"/>
      <c r="GU85" s="156"/>
      <c r="GV85" s="156"/>
      <c r="GW85" s="156"/>
      <c r="GX85" s="156"/>
      <c r="GY85" s="156"/>
      <c r="GZ85" s="156"/>
      <c r="HA85" s="156"/>
      <c r="HB85" s="156"/>
      <c r="HC85" s="156"/>
      <c r="HD85" s="156"/>
      <c r="HE85" s="156"/>
      <c r="HF85" s="156"/>
      <c r="HG85" s="156"/>
      <c r="HH85" s="156"/>
      <c r="HI85" s="156"/>
      <c r="HJ85" s="156"/>
      <c r="HK85" s="156"/>
      <c r="HL85" s="156"/>
      <c r="HM85" s="156"/>
      <c r="HN85" s="156"/>
      <c r="HO85" s="156"/>
      <c r="HP85" s="156"/>
      <c r="HQ85" s="156"/>
      <c r="HR85" s="156"/>
      <c r="HS85" s="156"/>
      <c r="HT85" s="156"/>
      <c r="HU85" s="156"/>
      <c r="HV85" s="156"/>
      <c r="HW85" s="156"/>
      <c r="HX85" s="156"/>
      <c r="HY85" s="156"/>
      <c r="HZ85" s="156"/>
      <c r="IA85" s="156"/>
      <c r="IB85" s="156"/>
      <c r="IC85" s="156"/>
      <c r="ID85" s="156"/>
      <c r="IE85" s="156"/>
      <c r="IF85" s="156"/>
      <c r="IG85" s="156"/>
      <c r="IH85" s="156"/>
      <c r="II85" s="156"/>
      <c r="IJ85" s="156"/>
      <c r="IK85" s="156"/>
      <c r="IL85" s="156"/>
      <c r="IM85" s="156"/>
      <c r="IN85" s="156"/>
      <c r="IO85" s="156"/>
      <c r="IP85" s="156"/>
      <c r="IQ85" s="156"/>
      <c r="IR85" s="156"/>
      <c r="IS85" s="156"/>
      <c r="IT85" s="156"/>
      <c r="IU85" s="156"/>
      <c r="IV85" s="156"/>
    </row>
    <row r="86" spans="1:256" ht="13.5" thickBot="1">
      <c r="A86" s="1095"/>
      <c r="B86" s="467"/>
      <c r="C86" s="625" t="s">
        <v>68</v>
      </c>
      <c r="D86" s="235" t="s">
        <v>426</v>
      </c>
      <c r="E86" s="518">
        <v>604.12371134020623</v>
      </c>
      <c r="F86" s="23">
        <f t="shared" si="0"/>
        <v>362.4742268041237</v>
      </c>
      <c r="G86" s="527">
        <f t="shared" si="1"/>
        <v>0</v>
      </c>
      <c r="H86" s="528">
        <f t="shared" si="2"/>
        <v>30.157855670103089</v>
      </c>
      <c r="I86" s="528">
        <f t="shared" si="3"/>
        <v>0</v>
      </c>
      <c r="J86" s="528">
        <f t="shared" si="4"/>
        <v>11.345443298969073</v>
      </c>
      <c r="K86" s="528">
        <f t="shared" si="5"/>
        <v>0</v>
      </c>
      <c r="L86" s="528">
        <f t="shared" si="6"/>
        <v>9.2793402061855677</v>
      </c>
      <c r="M86" s="528">
        <f t="shared" si="7"/>
        <v>0</v>
      </c>
      <c r="N86" s="528">
        <f t="shared" si="8"/>
        <v>7.7207010309278346</v>
      </c>
      <c r="O86" s="528">
        <f t="shared" si="9"/>
        <v>0</v>
      </c>
      <c r="P86" s="735"/>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56"/>
      <c r="CJ86" s="156"/>
      <c r="CK86" s="156"/>
      <c r="CL86" s="156"/>
      <c r="CM86" s="156"/>
      <c r="CN86" s="156"/>
      <c r="CO86" s="156"/>
      <c r="CP86" s="156"/>
      <c r="CQ86" s="156"/>
      <c r="CR86" s="156"/>
      <c r="CS86" s="156"/>
      <c r="CT86" s="156"/>
      <c r="CU86" s="156"/>
      <c r="CV86" s="156"/>
      <c r="CW86" s="156"/>
      <c r="CX86" s="156"/>
      <c r="CY86" s="156"/>
      <c r="CZ86" s="156"/>
      <c r="DA86" s="156"/>
      <c r="DB86" s="156"/>
      <c r="DC86" s="156"/>
      <c r="DD86" s="156"/>
      <c r="DE86" s="156"/>
      <c r="DF86" s="156"/>
      <c r="DG86" s="156"/>
      <c r="DH86" s="156"/>
      <c r="DI86" s="156"/>
      <c r="DJ86" s="156"/>
      <c r="DK86" s="156"/>
      <c r="DL86" s="156"/>
      <c r="DM86" s="156"/>
      <c r="DN86" s="156"/>
      <c r="DO86" s="156"/>
      <c r="DP86" s="156"/>
      <c r="DQ86" s="156"/>
      <c r="DR86" s="156"/>
      <c r="DS86" s="156"/>
      <c r="DT86" s="156"/>
      <c r="DU86" s="156"/>
      <c r="DV86" s="156"/>
      <c r="DW86" s="156"/>
      <c r="DX86" s="156"/>
      <c r="DY86" s="156"/>
      <c r="DZ86" s="156"/>
      <c r="EA86" s="156"/>
      <c r="EB86" s="156"/>
      <c r="EC86" s="156"/>
      <c r="ED86" s="156"/>
      <c r="EE86" s="156"/>
      <c r="EF86" s="156"/>
      <c r="EG86" s="156"/>
      <c r="EH86" s="156"/>
      <c r="EI86" s="156"/>
      <c r="EJ86" s="156"/>
      <c r="EK86" s="156"/>
      <c r="EL86" s="156"/>
      <c r="EM86" s="156"/>
      <c r="EN86" s="156"/>
      <c r="EO86" s="156"/>
      <c r="EP86" s="156"/>
      <c r="EQ86" s="156"/>
      <c r="ER86" s="156"/>
      <c r="ES86" s="156"/>
      <c r="ET86" s="156"/>
      <c r="EU86" s="156"/>
      <c r="EV86" s="156"/>
      <c r="EW86" s="156"/>
      <c r="EX86" s="156"/>
      <c r="EY86" s="156"/>
      <c r="EZ86" s="156"/>
      <c r="FA86" s="156"/>
      <c r="FB86" s="156"/>
      <c r="FC86" s="156"/>
      <c r="FD86" s="156"/>
      <c r="FE86" s="156"/>
      <c r="FF86" s="156"/>
      <c r="FG86" s="156"/>
      <c r="FH86" s="156"/>
      <c r="FI86" s="156"/>
      <c r="FJ86" s="156"/>
      <c r="FK86" s="156"/>
      <c r="FL86" s="156"/>
      <c r="FM86" s="156"/>
      <c r="FN86" s="156"/>
      <c r="FO86" s="156"/>
      <c r="FP86" s="156"/>
      <c r="FQ86" s="156"/>
      <c r="FR86" s="156"/>
      <c r="FS86" s="156"/>
      <c r="FT86" s="156"/>
      <c r="FU86" s="156"/>
      <c r="FV86" s="156"/>
      <c r="FW86" s="156"/>
      <c r="FX86" s="156"/>
      <c r="FY86" s="156"/>
      <c r="FZ86" s="156"/>
      <c r="GA86" s="156"/>
      <c r="GB86" s="156"/>
      <c r="GC86" s="156"/>
      <c r="GD86" s="156"/>
      <c r="GE86" s="156"/>
      <c r="GF86" s="156"/>
      <c r="GG86" s="156"/>
      <c r="GH86" s="156"/>
      <c r="GI86" s="156"/>
      <c r="GJ86" s="156"/>
      <c r="GK86" s="156"/>
      <c r="GL86" s="156"/>
      <c r="GM86" s="156"/>
      <c r="GN86" s="156"/>
      <c r="GO86" s="156"/>
      <c r="GP86" s="156"/>
      <c r="GQ86" s="156"/>
      <c r="GR86" s="156"/>
      <c r="GS86" s="156"/>
      <c r="GT86" s="156"/>
      <c r="GU86" s="156"/>
      <c r="GV86" s="156"/>
      <c r="GW86" s="156"/>
      <c r="GX86" s="156"/>
      <c r="GY86" s="156"/>
      <c r="GZ86" s="156"/>
      <c r="HA86" s="156"/>
      <c r="HB86" s="156"/>
      <c r="HC86" s="156"/>
      <c r="HD86" s="156"/>
      <c r="HE86" s="156"/>
      <c r="HF86" s="156"/>
      <c r="HG86" s="156"/>
      <c r="HH86" s="156"/>
      <c r="HI86" s="156"/>
      <c r="HJ86" s="156"/>
      <c r="HK86" s="156"/>
      <c r="HL86" s="156"/>
      <c r="HM86" s="156"/>
      <c r="HN86" s="156"/>
      <c r="HO86" s="156"/>
      <c r="HP86" s="156"/>
      <c r="HQ86" s="156"/>
      <c r="HR86" s="156"/>
      <c r="HS86" s="156"/>
      <c r="HT86" s="156"/>
      <c r="HU86" s="156"/>
      <c r="HV86" s="156"/>
      <c r="HW86" s="156"/>
      <c r="HX86" s="156"/>
      <c r="HY86" s="156"/>
      <c r="HZ86" s="156"/>
      <c r="IA86" s="156"/>
      <c r="IB86" s="156"/>
      <c r="IC86" s="156"/>
      <c r="ID86" s="156"/>
      <c r="IE86" s="156"/>
      <c r="IF86" s="156"/>
      <c r="IG86" s="156"/>
      <c r="IH86" s="156"/>
      <c r="II86" s="156"/>
      <c r="IJ86" s="156"/>
      <c r="IK86" s="156"/>
      <c r="IL86" s="156"/>
      <c r="IM86" s="156"/>
      <c r="IN86" s="156"/>
      <c r="IO86" s="156"/>
      <c r="IP86" s="156"/>
      <c r="IQ86" s="156"/>
      <c r="IR86" s="156"/>
      <c r="IS86" s="156"/>
      <c r="IT86" s="156"/>
      <c r="IU86" s="156"/>
      <c r="IV86" s="156"/>
    </row>
    <row r="87" spans="1:256" ht="26.25" thickBot="1">
      <c r="A87" s="1095"/>
      <c r="B87" s="467"/>
      <c r="C87" s="90" t="s">
        <v>451</v>
      </c>
      <c r="D87" s="235" t="s">
        <v>427</v>
      </c>
      <c r="E87" s="518">
        <v>216.21649484536081</v>
      </c>
      <c r="F87" s="23">
        <f t="shared" si="0"/>
        <v>129.72989690721647</v>
      </c>
      <c r="G87" s="527">
        <f t="shared" si="1"/>
        <v>0</v>
      </c>
      <c r="H87" s="528">
        <f t="shared" si="2"/>
        <v>10.793527422680411</v>
      </c>
      <c r="I87" s="528">
        <f t="shared" si="3"/>
        <v>0</v>
      </c>
      <c r="J87" s="528">
        <f t="shared" si="4"/>
        <v>4.0605457731958756</v>
      </c>
      <c r="K87" s="528">
        <f t="shared" si="5"/>
        <v>0</v>
      </c>
      <c r="L87" s="528">
        <f t="shared" si="6"/>
        <v>3.3210853608247417</v>
      </c>
      <c r="M87" s="528">
        <f t="shared" si="7"/>
        <v>0</v>
      </c>
      <c r="N87" s="528">
        <f t="shared" si="8"/>
        <v>2.7632468041237108</v>
      </c>
      <c r="O87" s="528">
        <f t="shared" si="9"/>
        <v>0</v>
      </c>
      <c r="P87" s="735"/>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c r="CB87" s="274"/>
      <c r="CC87" s="274"/>
      <c r="CD87" s="274"/>
      <c r="CE87" s="274"/>
      <c r="CF87" s="274"/>
      <c r="CG87" s="274"/>
      <c r="CH87" s="274"/>
      <c r="CI87" s="274"/>
      <c r="CJ87" s="274"/>
      <c r="CK87" s="274"/>
      <c r="CL87" s="274"/>
      <c r="CM87" s="274"/>
      <c r="CN87" s="274"/>
      <c r="CO87" s="274"/>
      <c r="CP87" s="274"/>
      <c r="CQ87" s="274"/>
      <c r="CR87" s="274"/>
      <c r="CS87" s="274"/>
      <c r="CT87" s="274"/>
      <c r="CU87" s="274"/>
      <c r="CV87" s="274"/>
      <c r="CW87" s="274"/>
      <c r="CX87" s="274"/>
      <c r="CY87" s="274"/>
      <c r="CZ87" s="274"/>
      <c r="DA87" s="274"/>
      <c r="DB87" s="274"/>
      <c r="DC87" s="274"/>
      <c r="DD87" s="274"/>
      <c r="DE87" s="274"/>
      <c r="DF87" s="274"/>
      <c r="DG87" s="274"/>
      <c r="DH87" s="274"/>
      <c r="DI87" s="274"/>
      <c r="DJ87" s="274"/>
      <c r="DK87" s="274"/>
      <c r="DL87" s="274"/>
      <c r="DM87" s="274"/>
      <c r="DN87" s="274"/>
      <c r="DO87" s="274"/>
      <c r="DP87" s="274"/>
      <c r="DQ87" s="274"/>
      <c r="DR87" s="274"/>
      <c r="DS87" s="274"/>
      <c r="DT87" s="274"/>
      <c r="DU87" s="274"/>
      <c r="DV87" s="274"/>
      <c r="DW87" s="274"/>
      <c r="DX87" s="274"/>
      <c r="DY87" s="274"/>
      <c r="DZ87" s="274"/>
      <c r="EA87" s="274"/>
      <c r="EB87" s="274"/>
      <c r="EC87" s="274"/>
      <c r="ED87" s="274"/>
      <c r="EE87" s="274"/>
      <c r="EF87" s="274"/>
      <c r="EG87" s="274"/>
      <c r="EH87" s="274"/>
      <c r="EI87" s="274"/>
      <c r="EJ87" s="274"/>
      <c r="EK87" s="274"/>
      <c r="EL87" s="274"/>
      <c r="EM87" s="274"/>
      <c r="EN87" s="274"/>
      <c r="EO87" s="274"/>
      <c r="EP87" s="274"/>
      <c r="EQ87" s="274"/>
      <c r="ER87" s="274"/>
      <c r="ES87" s="274"/>
      <c r="ET87" s="274"/>
      <c r="EU87" s="274"/>
      <c r="EV87" s="274"/>
      <c r="EW87" s="274"/>
      <c r="EX87" s="274"/>
      <c r="EY87" s="274"/>
      <c r="EZ87" s="274"/>
      <c r="FA87" s="274"/>
      <c r="FB87" s="274"/>
      <c r="FC87" s="274"/>
      <c r="FD87" s="274"/>
      <c r="FE87" s="274"/>
      <c r="FF87" s="274"/>
      <c r="FG87" s="274"/>
      <c r="FH87" s="274"/>
      <c r="FI87" s="274"/>
      <c r="FJ87" s="274"/>
      <c r="FK87" s="274"/>
      <c r="FL87" s="274"/>
      <c r="FM87" s="274"/>
      <c r="FN87" s="274"/>
      <c r="FO87" s="274"/>
      <c r="FP87" s="274"/>
      <c r="FQ87" s="274"/>
      <c r="FR87" s="274"/>
      <c r="FS87" s="274"/>
      <c r="FT87" s="274"/>
      <c r="FU87" s="274"/>
      <c r="FV87" s="274"/>
      <c r="FW87" s="274"/>
      <c r="FX87" s="274"/>
      <c r="FY87" s="274"/>
      <c r="FZ87" s="274"/>
      <c r="GA87" s="274"/>
      <c r="GB87" s="274"/>
      <c r="GC87" s="274"/>
      <c r="GD87" s="274"/>
      <c r="GE87" s="274"/>
      <c r="GF87" s="274"/>
      <c r="GG87" s="274"/>
      <c r="GH87" s="274"/>
      <c r="GI87" s="274"/>
      <c r="GJ87" s="274"/>
      <c r="GK87" s="274"/>
      <c r="GL87" s="274"/>
      <c r="GM87" s="274"/>
      <c r="GN87" s="274"/>
      <c r="GO87" s="274"/>
      <c r="GP87" s="274"/>
      <c r="GQ87" s="274"/>
      <c r="GR87" s="274"/>
      <c r="GS87" s="274"/>
      <c r="GT87" s="274"/>
      <c r="GU87" s="274"/>
      <c r="GV87" s="274"/>
      <c r="GW87" s="274"/>
      <c r="GX87" s="274"/>
      <c r="GY87" s="274"/>
      <c r="GZ87" s="274"/>
      <c r="HA87" s="274"/>
      <c r="HB87" s="274"/>
      <c r="HC87" s="274"/>
      <c r="HD87" s="274"/>
      <c r="HE87" s="274"/>
      <c r="HF87" s="274"/>
      <c r="HG87" s="274"/>
      <c r="HH87" s="274"/>
      <c r="HI87" s="274"/>
      <c r="HJ87" s="274"/>
      <c r="HK87" s="274"/>
      <c r="HL87" s="274"/>
      <c r="HM87" s="274"/>
      <c r="HN87" s="274"/>
      <c r="HO87" s="274"/>
      <c r="HP87" s="274"/>
      <c r="HQ87" s="274"/>
      <c r="HR87" s="274"/>
      <c r="HS87" s="274"/>
      <c r="HT87" s="274"/>
      <c r="HU87" s="274"/>
      <c r="HV87" s="274"/>
      <c r="HW87" s="274"/>
      <c r="HX87" s="274"/>
      <c r="HY87" s="274"/>
      <c r="HZ87" s="274"/>
      <c r="IA87" s="274"/>
      <c r="IB87" s="274"/>
      <c r="IC87" s="274"/>
      <c r="ID87" s="274"/>
      <c r="IE87" s="274"/>
      <c r="IF87" s="274"/>
      <c r="IG87" s="274"/>
      <c r="IH87" s="274"/>
      <c r="II87" s="274"/>
      <c r="IJ87" s="274"/>
      <c r="IK87" s="274"/>
      <c r="IL87" s="274"/>
      <c r="IM87" s="274"/>
      <c r="IN87" s="274"/>
      <c r="IO87" s="274"/>
      <c r="IP87" s="274"/>
      <c r="IQ87" s="274"/>
      <c r="IR87" s="274"/>
      <c r="IS87" s="274"/>
      <c r="IT87" s="274"/>
      <c r="IU87" s="274"/>
      <c r="IV87" s="274"/>
    </row>
    <row r="88" spans="1:256" ht="13.5" thickBot="1">
      <c r="A88" s="1095"/>
      <c r="B88" s="467"/>
      <c r="C88" s="90">
        <v>4614506</v>
      </c>
      <c r="D88" s="235" t="s">
        <v>52</v>
      </c>
      <c r="E88" s="518">
        <v>49.175257731958766</v>
      </c>
      <c r="F88" s="23">
        <f t="shared" si="0"/>
        <v>29.505154639175259</v>
      </c>
      <c r="G88" s="527">
        <f t="shared" si="1"/>
        <v>0</v>
      </c>
      <c r="H88" s="528">
        <f t="shared" si="2"/>
        <v>2.4548288659793815</v>
      </c>
      <c r="I88" s="528">
        <f t="shared" si="3"/>
        <v>0</v>
      </c>
      <c r="J88" s="528">
        <f t="shared" si="4"/>
        <v>0.92351134020618564</v>
      </c>
      <c r="K88" s="528">
        <f t="shared" si="5"/>
        <v>0</v>
      </c>
      <c r="L88" s="528">
        <f t="shared" si="6"/>
        <v>0.75533195876288672</v>
      </c>
      <c r="M88" s="528">
        <f t="shared" si="7"/>
        <v>0</v>
      </c>
      <c r="N88" s="528">
        <f t="shared" si="8"/>
        <v>0.62845979381443307</v>
      </c>
      <c r="O88" s="528">
        <f t="shared" si="9"/>
        <v>0</v>
      </c>
      <c r="P88" s="735"/>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c r="DS88" s="156"/>
      <c r="DT88" s="156"/>
      <c r="DU88" s="156"/>
      <c r="DV88" s="156"/>
      <c r="DW88" s="156"/>
      <c r="DX88" s="156"/>
      <c r="DY88" s="156"/>
      <c r="DZ88" s="156"/>
      <c r="EA88" s="156"/>
      <c r="EB88" s="156"/>
      <c r="EC88" s="156"/>
      <c r="ED88" s="156"/>
      <c r="EE88" s="156"/>
      <c r="EF88" s="156"/>
      <c r="EG88" s="156"/>
      <c r="EH88" s="156"/>
      <c r="EI88" s="156"/>
      <c r="EJ88" s="156"/>
      <c r="EK88" s="156"/>
      <c r="EL88" s="156"/>
      <c r="EM88" s="156"/>
      <c r="EN88" s="156"/>
      <c r="EO88" s="156"/>
      <c r="EP88" s="156"/>
      <c r="EQ88" s="156"/>
      <c r="ER88" s="156"/>
      <c r="ES88" s="156"/>
      <c r="ET88" s="156"/>
      <c r="EU88" s="156"/>
      <c r="EV88" s="156"/>
      <c r="EW88" s="156"/>
      <c r="EX88" s="156"/>
      <c r="EY88" s="156"/>
      <c r="EZ88" s="156"/>
      <c r="FA88" s="156"/>
      <c r="FB88" s="156"/>
      <c r="FC88" s="156"/>
      <c r="FD88" s="156"/>
      <c r="FE88" s="156"/>
      <c r="FF88" s="156"/>
      <c r="FG88" s="156"/>
      <c r="FH88" s="156"/>
      <c r="FI88" s="156"/>
      <c r="FJ88" s="156"/>
      <c r="FK88" s="156"/>
      <c r="FL88" s="156"/>
      <c r="FM88" s="156"/>
      <c r="FN88" s="156"/>
      <c r="FO88" s="156"/>
      <c r="FP88" s="156"/>
      <c r="FQ88" s="156"/>
      <c r="FR88" s="156"/>
      <c r="FS88" s="156"/>
      <c r="FT88" s="156"/>
      <c r="FU88" s="156"/>
      <c r="FV88" s="156"/>
      <c r="FW88" s="156"/>
      <c r="FX88" s="156"/>
      <c r="FY88" s="156"/>
      <c r="FZ88" s="156"/>
      <c r="GA88" s="156"/>
      <c r="GB88" s="156"/>
      <c r="GC88" s="156"/>
      <c r="GD88" s="156"/>
      <c r="GE88" s="156"/>
      <c r="GF88" s="156"/>
      <c r="GG88" s="156"/>
      <c r="GH88" s="156"/>
      <c r="GI88" s="156"/>
      <c r="GJ88" s="156"/>
      <c r="GK88" s="156"/>
      <c r="GL88" s="156"/>
      <c r="GM88" s="156"/>
      <c r="GN88" s="156"/>
      <c r="GO88" s="156"/>
      <c r="GP88" s="156"/>
      <c r="GQ88" s="156"/>
      <c r="GR88" s="156"/>
      <c r="GS88" s="156"/>
      <c r="GT88" s="156"/>
      <c r="GU88" s="156"/>
      <c r="GV88" s="156"/>
      <c r="GW88" s="156"/>
      <c r="GX88" s="156"/>
      <c r="GY88" s="156"/>
      <c r="GZ88" s="156"/>
      <c r="HA88" s="156"/>
      <c r="HB88" s="156"/>
      <c r="HC88" s="156"/>
      <c r="HD88" s="156"/>
      <c r="HE88" s="156"/>
      <c r="HF88" s="156"/>
      <c r="HG88" s="156"/>
      <c r="HH88" s="156"/>
      <c r="HI88" s="156"/>
      <c r="HJ88" s="156"/>
      <c r="HK88" s="156"/>
      <c r="HL88" s="156"/>
      <c r="HM88" s="156"/>
      <c r="HN88" s="156"/>
      <c r="HO88" s="156"/>
      <c r="HP88" s="156"/>
      <c r="HQ88" s="156"/>
      <c r="HR88" s="156"/>
      <c r="HS88" s="156"/>
      <c r="HT88" s="156"/>
      <c r="HU88" s="156"/>
      <c r="HV88" s="156"/>
      <c r="HW88" s="156"/>
      <c r="HX88" s="156"/>
      <c r="HY88" s="156"/>
      <c r="HZ88" s="156"/>
      <c r="IA88" s="156"/>
      <c r="IB88" s="156"/>
      <c r="IC88" s="156"/>
      <c r="ID88" s="156"/>
      <c r="IE88" s="156"/>
      <c r="IF88" s="156"/>
      <c r="IG88" s="156"/>
      <c r="IH88" s="156"/>
      <c r="II88" s="156"/>
      <c r="IJ88" s="156"/>
      <c r="IK88" s="156"/>
      <c r="IL88" s="156"/>
      <c r="IM88" s="156"/>
      <c r="IN88" s="156"/>
      <c r="IO88" s="156"/>
      <c r="IP88" s="156"/>
      <c r="IQ88" s="156"/>
      <c r="IR88" s="156"/>
      <c r="IS88" s="156"/>
      <c r="IT88" s="156"/>
      <c r="IU88" s="156"/>
      <c r="IV88" s="156"/>
    </row>
    <row r="89" spans="1:256" ht="13.5" thickBot="1">
      <c r="A89" s="1095"/>
      <c r="B89" s="102"/>
      <c r="C89" s="90">
        <v>4614511</v>
      </c>
      <c r="D89" s="235" t="s">
        <v>107</v>
      </c>
      <c r="E89" s="518">
        <v>27.319587628865982</v>
      </c>
      <c r="F89" s="23">
        <f t="shared" si="0"/>
        <v>16.39175257731959</v>
      </c>
      <c r="G89" s="527">
        <f>F89*B89</f>
        <v>0</v>
      </c>
      <c r="H89" s="528">
        <f t="shared" si="2"/>
        <v>1.3637938144329897</v>
      </c>
      <c r="I89" s="528">
        <f t="shared" si="3"/>
        <v>0</v>
      </c>
      <c r="J89" s="528">
        <f t="shared" si="4"/>
        <v>0.51306185567010321</v>
      </c>
      <c r="K89" s="528">
        <f t="shared" si="5"/>
        <v>0</v>
      </c>
      <c r="L89" s="528">
        <f t="shared" si="6"/>
        <v>0.41962886597938154</v>
      </c>
      <c r="M89" s="528">
        <f t="shared" si="7"/>
        <v>0</v>
      </c>
      <c r="N89" s="528">
        <f t="shared" si="8"/>
        <v>0.34914432989690725</v>
      </c>
      <c r="O89" s="528">
        <f t="shared" si="9"/>
        <v>0</v>
      </c>
      <c r="P89" s="735"/>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c r="GK89" s="162"/>
      <c r="GL89" s="162"/>
      <c r="GM89" s="162"/>
      <c r="GN89" s="162"/>
      <c r="GO89" s="162"/>
      <c r="GP89" s="162"/>
      <c r="GQ89" s="162"/>
      <c r="GR89" s="162"/>
      <c r="GS89" s="162"/>
      <c r="GT89" s="162"/>
      <c r="GU89" s="162"/>
      <c r="GV89" s="162"/>
      <c r="GW89" s="162"/>
      <c r="GX89" s="162"/>
      <c r="GY89" s="162"/>
      <c r="GZ89" s="162"/>
      <c r="HA89" s="162"/>
      <c r="HB89" s="162"/>
      <c r="HC89" s="162"/>
      <c r="HD89" s="162"/>
      <c r="HE89" s="162"/>
      <c r="HF89" s="162"/>
      <c r="HG89" s="162"/>
      <c r="HH89" s="162"/>
      <c r="HI89" s="162"/>
      <c r="HJ89" s="162"/>
      <c r="HK89" s="162"/>
      <c r="HL89" s="162"/>
      <c r="HM89" s="162"/>
      <c r="HN89" s="162"/>
      <c r="HO89" s="162"/>
      <c r="HP89" s="162"/>
      <c r="HQ89" s="162"/>
      <c r="HR89" s="162"/>
      <c r="HS89" s="162"/>
      <c r="HT89" s="162"/>
      <c r="HU89" s="162"/>
      <c r="HV89" s="162"/>
      <c r="HW89" s="162"/>
      <c r="HX89" s="162"/>
      <c r="HY89" s="162"/>
      <c r="HZ89" s="162"/>
      <c r="IA89" s="162"/>
      <c r="IB89" s="162"/>
      <c r="IC89" s="162"/>
      <c r="ID89" s="162"/>
      <c r="IE89" s="162"/>
      <c r="IF89" s="162"/>
      <c r="IG89" s="162"/>
      <c r="IH89" s="162"/>
      <c r="II89" s="162"/>
      <c r="IJ89" s="162"/>
      <c r="IK89" s="162"/>
      <c r="IL89" s="162"/>
      <c r="IM89" s="162"/>
      <c r="IN89" s="162"/>
      <c r="IO89" s="162"/>
      <c r="IP89" s="162"/>
      <c r="IQ89" s="162"/>
      <c r="IR89" s="162"/>
      <c r="IS89" s="162"/>
      <c r="IT89" s="162"/>
      <c r="IU89" s="162"/>
      <c r="IV89" s="162"/>
    </row>
    <row r="90" spans="1:256" ht="13.5" thickBot="1">
      <c r="A90" s="1095"/>
      <c r="B90" s="102"/>
      <c r="C90" s="90" t="s">
        <v>33</v>
      </c>
      <c r="D90" s="235" t="s">
        <v>34</v>
      </c>
      <c r="E90" s="518">
        <v>30.927835051546392</v>
      </c>
      <c r="F90" s="44">
        <f t="shared" si="0"/>
        <v>18.556701030927833</v>
      </c>
      <c r="G90" s="527">
        <f t="shared" si="1"/>
        <v>0</v>
      </c>
      <c r="H90" s="528">
        <f t="shared" si="2"/>
        <v>1.5439175257731956</v>
      </c>
      <c r="I90" s="528">
        <f t="shared" si="3"/>
        <v>0</v>
      </c>
      <c r="J90" s="528">
        <f t="shared" si="4"/>
        <v>0.58082474226804115</v>
      </c>
      <c r="K90" s="528">
        <f t="shared" si="5"/>
        <v>0</v>
      </c>
      <c r="L90" s="528">
        <f t="shared" si="6"/>
        <v>0.47505154639175257</v>
      </c>
      <c r="M90" s="528">
        <f t="shared" si="7"/>
        <v>0</v>
      </c>
      <c r="N90" s="528">
        <f t="shared" si="8"/>
        <v>0.39525773195876285</v>
      </c>
      <c r="O90" s="528">
        <f t="shared" si="9"/>
        <v>0</v>
      </c>
      <c r="P90" s="735"/>
      <c r="Q90" s="502"/>
      <c r="R90" s="502"/>
      <c r="S90" s="502"/>
      <c r="T90" s="502"/>
      <c r="U90" s="502"/>
      <c r="V90" s="502"/>
      <c r="W90" s="502"/>
      <c r="X90" s="502"/>
      <c r="Y90" s="502"/>
      <c r="Z90" s="502"/>
      <c r="AA90" s="502"/>
      <c r="AB90" s="502"/>
      <c r="AC90" s="502"/>
      <c r="AD90" s="502"/>
      <c r="AE90" s="502"/>
      <c r="AF90" s="502"/>
      <c r="AG90" s="502"/>
      <c r="AH90" s="502"/>
      <c r="AI90" s="502"/>
      <c r="AJ90" s="502"/>
      <c r="AK90" s="502"/>
      <c r="AL90" s="502"/>
      <c r="AM90" s="502"/>
      <c r="AN90" s="502"/>
      <c r="AO90" s="502"/>
      <c r="AP90" s="502"/>
      <c r="AQ90" s="502"/>
      <c r="AR90" s="502"/>
      <c r="AS90" s="502"/>
      <c r="AT90" s="502"/>
      <c r="AU90" s="502"/>
      <c r="AV90" s="502"/>
      <c r="AW90" s="502"/>
      <c r="AX90" s="502"/>
      <c r="AY90" s="502"/>
      <c r="AZ90" s="502"/>
      <c r="BA90" s="502"/>
      <c r="BB90" s="502"/>
      <c r="BC90" s="502"/>
      <c r="BD90" s="502"/>
      <c r="BE90" s="502"/>
      <c r="BF90" s="502"/>
      <c r="BG90" s="502"/>
      <c r="BH90" s="502"/>
      <c r="BI90" s="502"/>
      <c r="BJ90" s="502"/>
      <c r="BK90" s="502"/>
      <c r="BL90" s="502"/>
      <c r="BM90" s="502"/>
      <c r="BN90" s="502"/>
      <c r="BO90" s="502"/>
      <c r="BP90" s="502"/>
      <c r="BQ90" s="502"/>
      <c r="BR90" s="502"/>
      <c r="BS90" s="502"/>
      <c r="BT90" s="502"/>
      <c r="BU90" s="502"/>
      <c r="BV90" s="502"/>
      <c r="BW90" s="502"/>
      <c r="BX90" s="502"/>
      <c r="BY90" s="502"/>
      <c r="BZ90" s="502"/>
      <c r="CA90" s="502"/>
      <c r="CB90" s="502"/>
      <c r="CC90" s="502"/>
      <c r="CD90" s="502"/>
      <c r="CE90" s="502"/>
      <c r="CF90" s="502"/>
      <c r="CG90" s="502"/>
      <c r="CH90" s="502"/>
      <c r="CI90" s="502"/>
      <c r="CJ90" s="502"/>
      <c r="CK90" s="502"/>
      <c r="CL90" s="502"/>
      <c r="CM90" s="502"/>
      <c r="CN90" s="502"/>
      <c r="CO90" s="502"/>
      <c r="CP90" s="502"/>
      <c r="CQ90" s="502"/>
      <c r="CR90" s="502"/>
      <c r="CS90" s="502"/>
      <c r="CT90" s="502"/>
      <c r="CU90" s="502"/>
      <c r="CV90" s="502"/>
      <c r="CW90" s="502"/>
      <c r="CX90" s="502"/>
      <c r="CY90" s="502"/>
      <c r="CZ90" s="502"/>
      <c r="DA90" s="502"/>
      <c r="DB90" s="502"/>
      <c r="DC90" s="502"/>
      <c r="DD90" s="502"/>
      <c r="DE90" s="502"/>
      <c r="DF90" s="502"/>
      <c r="DG90" s="502"/>
      <c r="DH90" s="502"/>
      <c r="DI90" s="502"/>
      <c r="DJ90" s="502"/>
      <c r="DK90" s="502"/>
      <c r="DL90" s="502"/>
      <c r="DM90" s="502"/>
      <c r="DN90" s="502"/>
      <c r="DO90" s="502"/>
      <c r="DP90" s="502"/>
      <c r="DQ90" s="502"/>
      <c r="DR90" s="502"/>
      <c r="DS90" s="502"/>
      <c r="DT90" s="502"/>
      <c r="DU90" s="502"/>
      <c r="DV90" s="502"/>
      <c r="DW90" s="502"/>
      <c r="DX90" s="502"/>
      <c r="DY90" s="502"/>
      <c r="DZ90" s="502"/>
      <c r="EA90" s="502"/>
      <c r="EB90" s="502"/>
      <c r="EC90" s="502"/>
      <c r="ED90" s="502"/>
      <c r="EE90" s="502"/>
      <c r="EF90" s="502"/>
      <c r="EG90" s="502"/>
      <c r="EH90" s="502"/>
      <c r="EI90" s="502"/>
      <c r="EJ90" s="502"/>
      <c r="EK90" s="502"/>
      <c r="EL90" s="502"/>
      <c r="EM90" s="502"/>
      <c r="EN90" s="502"/>
      <c r="EO90" s="502"/>
      <c r="EP90" s="502"/>
      <c r="EQ90" s="502"/>
      <c r="ER90" s="502"/>
      <c r="ES90" s="502"/>
      <c r="ET90" s="502"/>
      <c r="EU90" s="502"/>
      <c r="EV90" s="502"/>
      <c r="EW90" s="502"/>
      <c r="EX90" s="502"/>
      <c r="EY90" s="502"/>
      <c r="EZ90" s="502"/>
      <c r="FA90" s="502"/>
      <c r="FB90" s="502"/>
      <c r="FC90" s="502"/>
      <c r="FD90" s="502"/>
      <c r="FE90" s="502"/>
      <c r="FF90" s="502"/>
      <c r="FG90" s="502"/>
      <c r="FH90" s="502"/>
      <c r="FI90" s="502"/>
      <c r="FJ90" s="502"/>
      <c r="FK90" s="502"/>
      <c r="FL90" s="502"/>
      <c r="FM90" s="502"/>
      <c r="FN90" s="502"/>
      <c r="FO90" s="502"/>
      <c r="FP90" s="502"/>
      <c r="FQ90" s="502"/>
      <c r="FR90" s="502"/>
      <c r="FS90" s="502"/>
      <c r="FT90" s="502"/>
      <c r="FU90" s="502"/>
      <c r="FV90" s="502"/>
      <c r="FW90" s="502"/>
      <c r="FX90" s="502"/>
      <c r="FY90" s="502"/>
      <c r="FZ90" s="502"/>
      <c r="GA90" s="502"/>
      <c r="GB90" s="502"/>
      <c r="GC90" s="502"/>
      <c r="GD90" s="502"/>
      <c r="GE90" s="502"/>
      <c r="GF90" s="502"/>
      <c r="GG90" s="502"/>
      <c r="GH90" s="502"/>
      <c r="GI90" s="502"/>
      <c r="GJ90" s="502"/>
      <c r="GK90" s="502"/>
      <c r="GL90" s="502"/>
      <c r="GM90" s="502"/>
      <c r="GN90" s="502"/>
      <c r="GO90" s="502"/>
      <c r="GP90" s="502"/>
      <c r="GQ90" s="502"/>
      <c r="GR90" s="502"/>
      <c r="GS90" s="502"/>
      <c r="GT90" s="502"/>
      <c r="GU90" s="502"/>
      <c r="GV90" s="502"/>
      <c r="GW90" s="502"/>
      <c r="GX90" s="502"/>
      <c r="GY90" s="502"/>
      <c r="GZ90" s="502"/>
      <c r="HA90" s="502"/>
      <c r="HB90" s="502"/>
      <c r="HC90" s="502"/>
      <c r="HD90" s="502"/>
      <c r="HE90" s="502"/>
      <c r="HF90" s="502"/>
      <c r="HG90" s="502"/>
      <c r="HH90" s="502"/>
      <c r="HI90" s="502"/>
      <c r="HJ90" s="502"/>
      <c r="HK90" s="502"/>
      <c r="HL90" s="502"/>
      <c r="HM90" s="502"/>
      <c r="HN90" s="502"/>
      <c r="HO90" s="502"/>
      <c r="HP90" s="502"/>
      <c r="HQ90" s="502"/>
      <c r="HR90" s="502"/>
      <c r="HS90" s="502"/>
      <c r="HT90" s="502"/>
      <c r="HU90" s="502"/>
      <c r="HV90" s="502"/>
      <c r="HW90" s="502"/>
      <c r="HX90" s="502"/>
      <c r="HY90" s="502"/>
      <c r="HZ90" s="502"/>
      <c r="IA90" s="502"/>
      <c r="IB90" s="502"/>
      <c r="IC90" s="502"/>
      <c r="ID90" s="502"/>
      <c r="IE90" s="502"/>
      <c r="IF90" s="502"/>
      <c r="IG90" s="502"/>
      <c r="IH90" s="502"/>
      <c r="II90" s="502"/>
      <c r="IJ90" s="502"/>
      <c r="IK90" s="502"/>
      <c r="IL90" s="502"/>
      <c r="IM90" s="502"/>
      <c r="IN90" s="502"/>
      <c r="IO90" s="502"/>
      <c r="IP90" s="502"/>
      <c r="IQ90" s="502"/>
      <c r="IR90" s="502"/>
      <c r="IS90" s="502"/>
      <c r="IT90" s="502"/>
      <c r="IU90" s="502"/>
      <c r="IV90" s="502"/>
    </row>
    <row r="91" spans="1:256" ht="13.5" thickBot="1">
      <c r="A91" s="1095"/>
      <c r="B91" s="102"/>
      <c r="C91" s="90" t="s">
        <v>452</v>
      </c>
      <c r="D91" s="235" t="s">
        <v>428</v>
      </c>
      <c r="E91" s="518">
        <v>268.04123711340208</v>
      </c>
      <c r="F91" s="23">
        <f t="shared" si="0"/>
        <v>160.82474226804123</v>
      </c>
      <c r="G91" s="527">
        <f t="shared" si="1"/>
        <v>0</v>
      </c>
      <c r="H91" s="528">
        <f t="shared" si="2"/>
        <v>13.38061855670103</v>
      </c>
      <c r="I91" s="528">
        <f t="shared" si="3"/>
        <v>0</v>
      </c>
      <c r="J91" s="528">
        <f t="shared" si="4"/>
        <v>5.0338144329896908</v>
      </c>
      <c r="K91" s="528">
        <f t="shared" si="5"/>
        <v>0</v>
      </c>
      <c r="L91" s="528">
        <f t="shared" si="6"/>
        <v>4.1171134020618556</v>
      </c>
      <c r="M91" s="528">
        <f t="shared" si="7"/>
        <v>0</v>
      </c>
      <c r="N91" s="528">
        <f t="shared" si="8"/>
        <v>3.4255670103092783</v>
      </c>
      <c r="O91" s="528">
        <f t="shared" si="9"/>
        <v>0</v>
      </c>
      <c r="P91" s="735"/>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c r="GL91" s="162"/>
      <c r="GM91" s="162"/>
      <c r="GN91" s="162"/>
      <c r="GO91" s="162"/>
      <c r="GP91" s="162"/>
      <c r="GQ91" s="162"/>
      <c r="GR91" s="162"/>
      <c r="GS91" s="162"/>
      <c r="GT91" s="162"/>
      <c r="GU91" s="162"/>
      <c r="GV91" s="162"/>
      <c r="GW91" s="162"/>
      <c r="GX91" s="162"/>
      <c r="GY91" s="162"/>
      <c r="GZ91" s="162"/>
      <c r="HA91" s="162"/>
      <c r="HB91" s="162"/>
      <c r="HC91" s="162"/>
      <c r="HD91" s="162"/>
      <c r="HE91" s="162"/>
      <c r="HF91" s="162"/>
      <c r="HG91" s="162"/>
      <c r="HH91" s="162"/>
      <c r="HI91" s="162"/>
      <c r="HJ91" s="162"/>
      <c r="HK91" s="162"/>
      <c r="HL91" s="162"/>
      <c r="HM91" s="162"/>
      <c r="HN91" s="162"/>
      <c r="HO91" s="162"/>
      <c r="HP91" s="162"/>
      <c r="HQ91" s="162"/>
      <c r="HR91" s="162"/>
      <c r="HS91" s="162"/>
      <c r="HT91" s="162"/>
      <c r="HU91" s="162"/>
      <c r="HV91" s="162"/>
      <c r="HW91" s="162"/>
      <c r="HX91" s="162"/>
      <c r="HY91" s="162"/>
      <c r="HZ91" s="162"/>
      <c r="IA91" s="162"/>
      <c r="IB91" s="162"/>
      <c r="IC91" s="162"/>
      <c r="ID91" s="162"/>
      <c r="IE91" s="162"/>
      <c r="IF91" s="162"/>
      <c r="IG91" s="162"/>
      <c r="IH91" s="162"/>
      <c r="II91" s="162"/>
      <c r="IJ91" s="162"/>
      <c r="IK91" s="162"/>
      <c r="IL91" s="162"/>
      <c r="IM91" s="162"/>
      <c r="IN91" s="162"/>
      <c r="IO91" s="162"/>
      <c r="IP91" s="162"/>
      <c r="IQ91" s="162"/>
      <c r="IR91" s="162"/>
      <c r="IS91" s="162"/>
      <c r="IT91" s="162"/>
      <c r="IU91" s="162"/>
      <c r="IV91" s="162"/>
    </row>
    <row r="92" spans="1:256" ht="13.5" thickBot="1">
      <c r="A92" s="1096"/>
      <c r="B92" s="102"/>
      <c r="C92" s="90" t="s">
        <v>453</v>
      </c>
      <c r="D92" s="235" t="s">
        <v>32</v>
      </c>
      <c r="E92" s="518">
        <v>115.4639175257732</v>
      </c>
      <c r="F92" s="23">
        <f t="shared" si="0"/>
        <v>69.278350515463913</v>
      </c>
      <c r="G92" s="527">
        <f t="shared" si="1"/>
        <v>0</v>
      </c>
      <c r="H92" s="528">
        <f t="shared" si="2"/>
        <v>5.7639587628865971</v>
      </c>
      <c r="I92" s="528">
        <f t="shared" si="3"/>
        <v>0</v>
      </c>
      <c r="J92" s="528">
        <f t="shared" si="4"/>
        <v>2.1684123711340204</v>
      </c>
      <c r="K92" s="528">
        <f t="shared" si="5"/>
        <v>0</v>
      </c>
      <c r="L92" s="528">
        <f t="shared" si="6"/>
        <v>1.7735257731958762</v>
      </c>
      <c r="M92" s="528">
        <f t="shared" si="7"/>
        <v>0</v>
      </c>
      <c r="N92" s="528">
        <f t="shared" si="8"/>
        <v>1.4756288659793813</v>
      </c>
      <c r="O92" s="528">
        <f t="shared" si="9"/>
        <v>0</v>
      </c>
      <c r="P92" s="735"/>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c r="GL92" s="162"/>
      <c r="GM92" s="162"/>
      <c r="GN92" s="162"/>
      <c r="GO92" s="162"/>
      <c r="GP92" s="162"/>
      <c r="GQ92" s="162"/>
      <c r="GR92" s="162"/>
      <c r="GS92" s="162"/>
      <c r="GT92" s="162"/>
      <c r="GU92" s="162"/>
      <c r="GV92" s="162"/>
      <c r="GW92" s="162"/>
      <c r="GX92" s="162"/>
      <c r="GY92" s="162"/>
      <c r="GZ92" s="162"/>
      <c r="HA92" s="162"/>
      <c r="HB92" s="162"/>
      <c r="HC92" s="162"/>
      <c r="HD92" s="162"/>
      <c r="HE92" s="162"/>
      <c r="HF92" s="162"/>
      <c r="HG92" s="162"/>
      <c r="HH92" s="162"/>
      <c r="HI92" s="162"/>
      <c r="HJ92" s="162"/>
      <c r="HK92" s="162"/>
      <c r="HL92" s="162"/>
      <c r="HM92" s="162"/>
      <c r="HN92" s="162"/>
      <c r="HO92" s="162"/>
      <c r="HP92" s="162"/>
      <c r="HQ92" s="162"/>
      <c r="HR92" s="162"/>
      <c r="HS92" s="162"/>
      <c r="HT92" s="162"/>
      <c r="HU92" s="162"/>
      <c r="HV92" s="162"/>
      <c r="HW92" s="162"/>
      <c r="HX92" s="162"/>
      <c r="HY92" s="162"/>
      <c r="HZ92" s="162"/>
      <c r="IA92" s="162"/>
      <c r="IB92" s="162"/>
      <c r="IC92" s="162"/>
      <c r="ID92" s="162"/>
      <c r="IE92" s="162"/>
      <c r="IF92" s="162"/>
      <c r="IG92" s="162"/>
      <c r="IH92" s="162"/>
      <c r="II92" s="162"/>
      <c r="IJ92" s="162"/>
      <c r="IK92" s="162"/>
      <c r="IL92" s="162"/>
      <c r="IM92" s="162"/>
      <c r="IN92" s="162"/>
      <c r="IO92" s="162"/>
      <c r="IP92" s="162"/>
      <c r="IQ92" s="162"/>
      <c r="IR92" s="162"/>
      <c r="IS92" s="162"/>
      <c r="IT92" s="162"/>
      <c r="IU92" s="162"/>
      <c r="IV92" s="162"/>
    </row>
    <row r="93" spans="1:256" ht="15">
      <c r="A93" s="162"/>
      <c r="B93" s="162"/>
      <c r="C93" s="163"/>
      <c r="D93" s="997" t="s">
        <v>183</v>
      </c>
      <c r="E93" s="998"/>
      <c r="F93" s="998"/>
      <c r="G93" s="9">
        <f t="array" ref="G93">SUM(G55:G92)+G40:G55:G92+G45:G55:G92+G50</f>
        <v>0</v>
      </c>
      <c r="H93" s="143" t="s">
        <v>184</v>
      </c>
      <c r="I93" s="9">
        <f t="array" ref="I93">SUM(I55:I92)+I40:I55:I92+I45:I55:I92+I50</f>
        <v>0</v>
      </c>
      <c r="J93" s="143" t="s">
        <v>185</v>
      </c>
      <c r="K93" s="9">
        <f t="array" ref="K93">SUM(K55:K92)+K40:K55:K92+K45:K55:K92+K50</f>
        <v>0</v>
      </c>
      <c r="L93" s="143" t="s">
        <v>186</v>
      </c>
      <c r="M93" s="9">
        <f t="array" ref="M93">SUM(M55:M92)+M40:M55:M92+M45:M55:M92+M50</f>
        <v>0</v>
      </c>
      <c r="N93" s="143" t="s">
        <v>187</v>
      </c>
      <c r="O93" s="9">
        <f t="array" ref="O93">SUM(O55:O92)+O40:O55:O92+O45:O55:O92+O50</f>
        <v>0</v>
      </c>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c r="GK93" s="162"/>
      <c r="GL93" s="162"/>
      <c r="GM93" s="162"/>
      <c r="GN93" s="162"/>
      <c r="GO93" s="162"/>
      <c r="GP93" s="162"/>
      <c r="GQ93" s="162"/>
      <c r="GR93" s="162"/>
      <c r="GS93" s="162"/>
      <c r="GT93" s="162"/>
      <c r="GU93" s="162"/>
      <c r="GV93" s="162"/>
      <c r="GW93" s="162"/>
      <c r="GX93" s="162"/>
      <c r="GY93" s="162"/>
      <c r="GZ93" s="162"/>
      <c r="HA93" s="162"/>
      <c r="HB93" s="162"/>
      <c r="HC93" s="162"/>
      <c r="HD93" s="162"/>
      <c r="HE93" s="162"/>
      <c r="HF93" s="162"/>
      <c r="HG93" s="162"/>
      <c r="HH93" s="162"/>
      <c r="HI93" s="162"/>
      <c r="HJ93" s="162"/>
      <c r="HK93" s="162"/>
      <c r="HL93" s="162"/>
      <c r="HM93" s="162"/>
      <c r="HN93" s="162"/>
      <c r="HO93" s="162"/>
      <c r="HP93" s="162"/>
      <c r="HQ93" s="162"/>
      <c r="HR93" s="162"/>
      <c r="HS93" s="162"/>
      <c r="HT93" s="162"/>
      <c r="HU93" s="162"/>
      <c r="HV93" s="162"/>
      <c r="HW93" s="162"/>
      <c r="HX93" s="162"/>
      <c r="HY93" s="162"/>
      <c r="HZ93" s="162"/>
      <c r="IA93" s="162"/>
      <c r="IB93" s="162"/>
      <c r="IC93" s="162"/>
      <c r="ID93" s="162"/>
      <c r="IE93" s="162"/>
      <c r="IF93" s="162"/>
      <c r="IG93" s="162"/>
      <c r="IH93" s="162"/>
      <c r="II93" s="162"/>
      <c r="IJ93" s="162"/>
      <c r="IK93" s="162"/>
      <c r="IL93" s="162"/>
      <c r="IM93" s="162"/>
      <c r="IN93" s="162"/>
      <c r="IO93" s="162"/>
      <c r="IP93" s="162"/>
      <c r="IQ93" s="162"/>
      <c r="IR93" s="162"/>
      <c r="IS93" s="162"/>
      <c r="IT93" s="162"/>
      <c r="IU93" s="162"/>
      <c r="IV93" s="162"/>
    </row>
    <row r="94" spans="1:256" ht="14.25">
      <c r="A94" s="162"/>
      <c r="B94" s="162"/>
      <c r="C94" s="171"/>
      <c r="D94" s="162"/>
      <c r="E94" s="162"/>
      <c r="F94" s="626"/>
      <c r="G94" s="504"/>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c r="GK94" s="162"/>
      <c r="GL94" s="162"/>
      <c r="GM94" s="162"/>
      <c r="GN94" s="162"/>
      <c r="GO94" s="162"/>
      <c r="GP94" s="162"/>
      <c r="GQ94" s="162"/>
      <c r="GR94" s="162"/>
      <c r="GS94" s="162"/>
      <c r="GT94" s="162"/>
      <c r="GU94" s="162"/>
      <c r="GV94" s="162"/>
      <c r="GW94" s="162"/>
      <c r="GX94" s="162"/>
      <c r="GY94" s="162"/>
      <c r="GZ94" s="162"/>
      <c r="HA94" s="162"/>
      <c r="HB94" s="162"/>
      <c r="HC94" s="162"/>
      <c r="HD94" s="162"/>
      <c r="HE94" s="162"/>
      <c r="HF94" s="162"/>
      <c r="HG94" s="162"/>
      <c r="HH94" s="162"/>
      <c r="HI94" s="162"/>
      <c r="HJ94" s="162"/>
      <c r="HK94" s="162"/>
      <c r="HL94" s="162"/>
      <c r="HM94" s="162"/>
      <c r="HN94" s="162"/>
      <c r="HO94" s="162"/>
      <c r="HP94" s="162"/>
      <c r="HQ94" s="162"/>
      <c r="HR94" s="162"/>
      <c r="HS94" s="162"/>
      <c r="HT94" s="162"/>
      <c r="HU94" s="162"/>
      <c r="HV94" s="162"/>
      <c r="HW94" s="162"/>
      <c r="HX94" s="162"/>
      <c r="HY94" s="162"/>
      <c r="HZ94" s="162"/>
      <c r="IA94" s="162"/>
      <c r="IB94" s="162"/>
      <c r="IC94" s="162"/>
      <c r="ID94" s="162"/>
      <c r="IE94" s="162"/>
      <c r="IF94" s="162"/>
      <c r="IG94" s="162"/>
      <c r="IH94" s="162"/>
      <c r="II94" s="162"/>
      <c r="IJ94" s="162"/>
      <c r="IK94" s="162"/>
      <c r="IL94" s="162"/>
      <c r="IM94" s="162"/>
      <c r="IN94" s="162"/>
      <c r="IO94" s="162"/>
      <c r="IP94" s="162"/>
      <c r="IQ94" s="162"/>
      <c r="IR94" s="162"/>
      <c r="IS94" s="162"/>
      <c r="IT94" s="162"/>
      <c r="IU94" s="162"/>
      <c r="IV94" s="162"/>
    </row>
    <row r="95" spans="1:256">
      <c r="A95" s="162"/>
      <c r="B95" s="162"/>
      <c r="D95" s="162"/>
      <c r="E95" s="162"/>
      <c r="F95" s="626"/>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c r="GK95" s="162"/>
      <c r="GL95" s="162"/>
      <c r="GM95" s="162"/>
      <c r="GN95" s="162"/>
      <c r="GO95" s="162"/>
      <c r="GP95" s="162"/>
      <c r="GQ95" s="162"/>
      <c r="GR95" s="162"/>
      <c r="GS95" s="162"/>
      <c r="GT95" s="162"/>
      <c r="GU95" s="162"/>
      <c r="GV95" s="162"/>
      <c r="GW95" s="162"/>
      <c r="GX95" s="162"/>
      <c r="GY95" s="162"/>
      <c r="GZ95" s="162"/>
      <c r="HA95" s="162"/>
      <c r="HB95" s="162"/>
      <c r="HC95" s="162"/>
      <c r="HD95" s="162"/>
      <c r="HE95" s="162"/>
      <c r="HF95" s="162"/>
      <c r="HG95" s="162"/>
      <c r="HH95" s="162"/>
      <c r="HI95" s="162"/>
      <c r="HJ95" s="162"/>
      <c r="HK95" s="162"/>
      <c r="HL95" s="162"/>
      <c r="HM95" s="162"/>
      <c r="HN95" s="162"/>
      <c r="HO95" s="162"/>
      <c r="HP95" s="162"/>
      <c r="HQ95" s="162"/>
      <c r="HR95" s="162"/>
      <c r="HS95" s="162"/>
      <c r="HT95" s="162"/>
      <c r="HU95" s="162"/>
      <c r="HV95" s="162"/>
      <c r="HW95" s="162"/>
      <c r="HX95" s="162"/>
      <c r="HY95" s="162"/>
      <c r="HZ95" s="162"/>
      <c r="IA95" s="162"/>
      <c r="IB95" s="162"/>
      <c r="IC95" s="162"/>
      <c r="ID95" s="162"/>
      <c r="IE95" s="162"/>
      <c r="IF95" s="162"/>
      <c r="IG95" s="162"/>
      <c r="IH95" s="162"/>
      <c r="II95" s="162"/>
      <c r="IJ95" s="162"/>
      <c r="IK95" s="162"/>
      <c r="IL95" s="162"/>
      <c r="IM95" s="162"/>
      <c r="IN95" s="162"/>
      <c r="IO95" s="162"/>
      <c r="IP95" s="162"/>
      <c r="IQ95" s="162"/>
      <c r="IR95" s="162"/>
      <c r="IS95" s="162"/>
      <c r="IT95" s="162"/>
      <c r="IU95" s="162"/>
      <c r="IV95" s="162"/>
    </row>
    <row r="96" spans="1:256" ht="18">
      <c r="A96" s="512"/>
    </row>
    <row r="97" spans="1:1" ht="18">
      <c r="A97" s="512"/>
    </row>
    <row r="114" spans="3:3">
      <c r="C114" s="106"/>
    </row>
  </sheetData>
  <mergeCells count="59">
    <mergeCell ref="O50:O53"/>
    <mergeCell ref="A54:O54"/>
    <mergeCell ref="A55:A92"/>
    <mergeCell ref="D93:F93"/>
    <mergeCell ref="A50:A53"/>
    <mergeCell ref="B50:B53"/>
    <mergeCell ref="G50:G53"/>
    <mergeCell ref="I50:I53"/>
    <mergeCell ref="K50:K53"/>
    <mergeCell ref="M50:M53"/>
    <mergeCell ref="O40:O43"/>
    <mergeCell ref="A45:A48"/>
    <mergeCell ref="B45:B48"/>
    <mergeCell ref="G45:G48"/>
    <mergeCell ref="I45:I48"/>
    <mergeCell ref="K45:K48"/>
    <mergeCell ref="M45:M48"/>
    <mergeCell ref="O45:O48"/>
    <mergeCell ref="A40:A43"/>
    <mergeCell ref="B40:B43"/>
    <mergeCell ref="G40:G43"/>
    <mergeCell ref="I40:I43"/>
    <mergeCell ref="K40:K43"/>
    <mergeCell ref="M40:M43"/>
    <mergeCell ref="I34:K36"/>
    <mergeCell ref="A35:D35"/>
    <mergeCell ref="A36:C36"/>
    <mergeCell ref="A37:C37"/>
    <mergeCell ref="A38:C38"/>
    <mergeCell ref="F38:H38"/>
    <mergeCell ref="I38:O38"/>
    <mergeCell ref="A31:C31"/>
    <mergeCell ref="E31:H31"/>
    <mergeCell ref="I31:J31"/>
    <mergeCell ref="K31:M31"/>
    <mergeCell ref="N31:O31"/>
    <mergeCell ref="A32:C32"/>
    <mergeCell ref="E32:H32"/>
    <mergeCell ref="I32:J32"/>
    <mergeCell ref="K32:M32"/>
    <mergeCell ref="N32:O32"/>
    <mergeCell ref="A29:C29"/>
    <mergeCell ref="E29:H29"/>
    <mergeCell ref="I29:J29"/>
    <mergeCell ref="K29:M29"/>
    <mergeCell ref="N29:O29"/>
    <mergeCell ref="A30:C30"/>
    <mergeCell ref="E30:H30"/>
    <mergeCell ref="I30:J30"/>
    <mergeCell ref="K30:M30"/>
    <mergeCell ref="N30:O30"/>
    <mergeCell ref="A28:D28"/>
    <mergeCell ref="E28:J28"/>
    <mergeCell ref="K28:O28"/>
    <mergeCell ref="A4:O4"/>
    <mergeCell ref="A5:O5"/>
    <mergeCell ref="H9:J9"/>
    <mergeCell ref="D23:D24"/>
    <mergeCell ref="A27:O27"/>
  </mergeCells>
  <pageMargins left="0.7" right="0.7" top="0.75" bottom="0.75" header="0.3" footer="0.3"/>
  <pageSetup scale="2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tabColor indexed="44"/>
  </sheetPr>
  <dimension ref="A1:R48"/>
  <sheetViews>
    <sheetView zoomScale="65" zoomScaleNormal="65" workbookViewId="0">
      <selection activeCell="G32" sqref="G32"/>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968</v>
      </c>
      <c r="B4" s="979"/>
      <c r="C4" s="979"/>
      <c r="D4" s="979"/>
      <c r="E4" s="979"/>
      <c r="F4" s="979"/>
      <c r="G4" s="979"/>
      <c r="H4" s="979"/>
      <c r="I4" s="979"/>
      <c r="J4" s="979"/>
      <c r="K4" s="979"/>
      <c r="L4" s="979"/>
      <c r="M4" s="979"/>
      <c r="N4" s="979"/>
      <c r="O4" s="979"/>
    </row>
    <row r="5" spans="1:18" s="114" customFormat="1" ht="41.25" customHeight="1">
      <c r="A5" s="1276" t="s">
        <v>251</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F8" s="249"/>
      <c r="G8" s="249"/>
      <c r="H8" s="1275"/>
      <c r="I8" s="1275"/>
      <c r="J8" s="1275"/>
      <c r="K8" s="173"/>
    </row>
    <row r="9" spans="1:18" s="113" customFormat="1">
      <c r="F9" s="249"/>
      <c r="G9" s="249"/>
      <c r="H9" s="123"/>
    </row>
    <row r="10" spans="1:18" s="113" customFormat="1">
      <c r="F10" s="249"/>
      <c r="G10" s="249"/>
      <c r="H10" s="123"/>
      <c r="J10" s="124"/>
      <c r="L10" s="124"/>
    </row>
    <row r="11" spans="1:18" s="113" customFormat="1" ht="12" customHeight="1">
      <c r="F11" s="249"/>
      <c r="G11" s="249"/>
      <c r="H11" s="123"/>
      <c r="I11" s="124"/>
      <c r="J11" s="124"/>
      <c r="L11" s="124"/>
    </row>
    <row r="12" spans="1:18" s="113" customFormat="1" ht="18.75" thickBot="1">
      <c r="A12" s="1279" t="s">
        <v>23</v>
      </c>
      <c r="B12" s="1245"/>
      <c r="C12" s="1245"/>
      <c r="D12" s="1245"/>
      <c r="E12" s="1245"/>
      <c r="F12" s="1245"/>
      <c r="G12" s="1245"/>
      <c r="H12" s="1245"/>
      <c r="I12" s="1245"/>
      <c r="J12" s="1245"/>
      <c r="K12" s="1245"/>
      <c r="L12" s="1245"/>
      <c r="M12" s="1245"/>
      <c r="N12" s="1245"/>
      <c r="O12" s="1245"/>
      <c r="P12" s="1245"/>
      <c r="Q12" s="1245"/>
    </row>
    <row r="13" spans="1:18" s="113" customFormat="1" ht="18" customHeight="1">
      <c r="A13" s="1280" t="s">
        <v>829</v>
      </c>
      <c r="B13" s="1281"/>
      <c r="C13" s="1281"/>
      <c r="D13" s="1281"/>
      <c r="E13" s="1281"/>
      <c r="F13" s="1281"/>
      <c r="G13" s="1281"/>
      <c r="H13" s="1281"/>
      <c r="I13" s="1281"/>
      <c r="J13" s="1281"/>
      <c r="K13" s="1281"/>
      <c r="L13" s="1281"/>
      <c r="M13" s="1281"/>
      <c r="N13" s="1281"/>
      <c r="O13" s="1281"/>
      <c r="P13" s="1281"/>
      <c r="Q13" s="1282"/>
    </row>
    <row r="14" spans="1:18" s="113" customFormat="1" ht="18" customHeight="1">
      <c r="A14" s="1240" t="s">
        <v>91</v>
      </c>
      <c r="B14" s="1241"/>
      <c r="C14" s="1241"/>
      <c r="D14" s="1241"/>
      <c r="E14" s="1241"/>
      <c r="F14" s="1241"/>
      <c r="G14" s="1241"/>
      <c r="H14" s="1241"/>
      <c r="I14" s="1264">
        <v>600</v>
      </c>
      <c r="J14" s="1264"/>
      <c r="K14" s="1264"/>
      <c r="L14" s="1264"/>
      <c r="M14" s="1264"/>
      <c r="N14" s="1264"/>
      <c r="O14" s="1264"/>
      <c r="P14" s="1264"/>
      <c r="Q14" s="1283"/>
    </row>
    <row r="15" spans="1:18" s="113" customFormat="1" ht="18" customHeight="1" thickBot="1">
      <c r="A15" s="1234" t="s">
        <v>0</v>
      </c>
      <c r="B15" s="1235"/>
      <c r="C15" s="1235"/>
      <c r="D15" s="1235"/>
      <c r="E15" s="1235"/>
      <c r="F15" s="1235"/>
      <c r="G15" s="1235"/>
      <c r="H15" s="1235"/>
      <c r="I15" s="1235"/>
      <c r="J15" s="1235"/>
      <c r="K15" s="1235"/>
      <c r="L15" s="1235"/>
      <c r="M15" s="1235"/>
      <c r="N15" s="1235"/>
      <c r="O15" s="1235"/>
      <c r="P15" s="1235"/>
      <c r="Q15" s="1236"/>
    </row>
    <row r="16" spans="1:18" s="113" customFormat="1" ht="15" thickBot="1">
      <c r="D16" s="136"/>
      <c r="E16" s="136"/>
      <c r="F16" s="135"/>
      <c r="G16" s="135"/>
      <c r="I16" s="150"/>
      <c r="J16" s="150"/>
      <c r="K16" s="150"/>
      <c r="L16" s="150"/>
    </row>
    <row r="17" spans="1:18" s="113" customFormat="1" ht="13.5" thickBot="1">
      <c r="F17" s="1217" t="s">
        <v>167</v>
      </c>
      <c r="G17" s="1008"/>
      <c r="H17" s="1277" t="s">
        <v>168</v>
      </c>
      <c r="I17" s="1278"/>
      <c r="J17" s="1278"/>
      <c r="K17" s="1278"/>
      <c r="L17" s="1278"/>
      <c r="M17" s="1278"/>
      <c r="N17" s="1278"/>
      <c r="O17" s="1278"/>
      <c r="P17" s="1278"/>
      <c r="Q17" s="1278"/>
    </row>
    <row r="18" spans="1:18" s="113" customFormat="1" ht="57.75" customHeight="1" thickBot="1">
      <c r="A18" s="254" t="s">
        <v>122</v>
      </c>
      <c r="B18" s="254" t="s">
        <v>169</v>
      </c>
      <c r="C18" s="255" t="s">
        <v>170</v>
      </c>
      <c r="D18" s="255" t="s">
        <v>171</v>
      </c>
      <c r="E18" s="255" t="s">
        <v>172</v>
      </c>
      <c r="F18" s="255" t="s">
        <v>173</v>
      </c>
      <c r="G18" s="254" t="s">
        <v>174</v>
      </c>
      <c r="H18" s="255" t="s">
        <v>176</v>
      </c>
      <c r="I18" s="254" t="s">
        <v>174</v>
      </c>
      <c r="J18" s="255" t="s">
        <v>177</v>
      </c>
      <c r="K18" s="254" t="s">
        <v>174</v>
      </c>
      <c r="L18" s="255" t="s">
        <v>178</v>
      </c>
      <c r="M18" s="254" t="s">
        <v>174</v>
      </c>
      <c r="N18" s="255" t="s">
        <v>157</v>
      </c>
      <c r="O18" s="254" t="s">
        <v>174</v>
      </c>
      <c r="P18" s="255" t="s">
        <v>824</v>
      </c>
      <c r="Q18" s="254" t="s">
        <v>174</v>
      </c>
    </row>
    <row r="19" spans="1:18" s="113" customFormat="1" ht="46.5" customHeight="1" thickBot="1">
      <c r="A19" s="563">
        <v>48</v>
      </c>
      <c r="B19" s="257"/>
      <c r="C19" s="258" t="s">
        <v>969</v>
      </c>
      <c r="D19" s="281" t="s">
        <v>970</v>
      </c>
      <c r="E19" s="260">
        <v>17319.59</v>
      </c>
      <c r="F19" s="19">
        <f>SUM(E19:E19)*(1-22%)</f>
        <v>13509.280200000001</v>
      </c>
      <c r="G19" s="20">
        <f>F19*B19</f>
        <v>0</v>
      </c>
      <c r="H19" s="19">
        <f>F19*0.03137+I14/12</f>
        <v>473.78611987400006</v>
      </c>
      <c r="I19" s="20">
        <f>H19*B19</f>
        <v>0</v>
      </c>
      <c r="J19" s="19">
        <f>F19*0.0274+I14/12</f>
        <v>420.15427748000002</v>
      </c>
      <c r="K19" s="20">
        <f>J19*B19</f>
        <v>0</v>
      </c>
      <c r="L19" s="20">
        <f>F19*0.0228+I14/12</f>
        <v>358.01158856000001</v>
      </c>
      <c r="M19" s="20">
        <f>L19*B19</f>
        <v>0</v>
      </c>
      <c r="N19" s="20">
        <f>F19*0.0204+I14/12</f>
        <v>325.58931608000006</v>
      </c>
      <c r="O19" s="20">
        <f>N19*B19</f>
        <v>0</v>
      </c>
      <c r="P19" s="20">
        <f>F19*0.0185+I14/12</f>
        <v>299.92168370000002</v>
      </c>
      <c r="Q19" s="20">
        <f>P19*B19</f>
        <v>0</v>
      </c>
    </row>
    <row r="20" spans="1:18" s="266" customFormat="1" ht="15.75" customHeight="1" thickBot="1">
      <c r="A20" s="1271" t="s">
        <v>182</v>
      </c>
      <c r="B20" s="1272"/>
      <c r="C20" s="1272"/>
      <c r="D20" s="1272"/>
      <c r="E20" s="1272"/>
      <c r="F20" s="1272"/>
      <c r="G20" s="1272"/>
      <c r="H20" s="1272"/>
      <c r="I20" s="1272"/>
      <c r="J20" s="1272"/>
      <c r="K20" s="1272"/>
      <c r="L20" s="1272"/>
      <c r="M20" s="1272"/>
      <c r="N20" s="1272"/>
      <c r="O20" s="1272"/>
      <c r="P20" s="1272"/>
      <c r="Q20" s="1273"/>
    </row>
    <row r="21" spans="1:18" s="266" customFormat="1" ht="26.25" thickBot="1">
      <c r="A21" s="1005"/>
      <c r="B21" s="568"/>
      <c r="C21" s="569" t="s">
        <v>956</v>
      </c>
      <c r="D21" s="569" t="s">
        <v>961</v>
      </c>
      <c r="E21" s="570">
        <v>716.4948453608248</v>
      </c>
      <c r="F21" s="43">
        <f t="shared" ref="F21:F27" si="0">E21*(1-20%)</f>
        <v>573.19587628865986</v>
      </c>
      <c r="G21" s="74">
        <f t="shared" ref="G21:G27" si="1">F21*B21</f>
        <v>0</v>
      </c>
      <c r="H21" s="43">
        <f>F21*0.0325</f>
        <v>18.628865979381445</v>
      </c>
      <c r="I21" s="74">
        <f t="shared" ref="I21:I27" si="2">H21*B21</f>
        <v>0</v>
      </c>
      <c r="J21" s="43">
        <f>F21*0.0254</f>
        <v>14.55917525773196</v>
      </c>
      <c r="K21" s="74">
        <f t="shared" ref="K21:K27" si="3">J21*B21</f>
        <v>0</v>
      </c>
      <c r="L21" s="43">
        <f>F21*0.0211</f>
        <v>12.094432989690723</v>
      </c>
      <c r="M21" s="43">
        <f t="shared" ref="M21:M27" si="4">L21*B21</f>
        <v>0</v>
      </c>
      <c r="N21" s="43">
        <f>F21*0.0185</f>
        <v>10.604123711340208</v>
      </c>
      <c r="O21" s="43">
        <f t="shared" ref="O21:O27" si="5">N21*B21</f>
        <v>0</v>
      </c>
      <c r="P21" s="43">
        <f t="shared" ref="P21:P27" si="6">F21*0.0185</f>
        <v>10.604123711340208</v>
      </c>
      <c r="Q21" s="43">
        <f t="shared" ref="Q21:Q27" si="7">P21*B21</f>
        <v>0</v>
      </c>
      <c r="R21" s="740"/>
    </row>
    <row r="22" spans="1:18" s="266" customFormat="1" ht="13.5" thickBot="1">
      <c r="A22" s="1005"/>
      <c r="B22" s="229"/>
      <c r="C22" s="261" t="s">
        <v>957</v>
      </c>
      <c r="D22" s="262" t="s">
        <v>962</v>
      </c>
      <c r="E22" s="263">
        <v>1025.7731958762886</v>
      </c>
      <c r="F22" s="44">
        <f t="shared" si="0"/>
        <v>820.61855670103091</v>
      </c>
      <c r="G22" s="74">
        <f t="shared" si="1"/>
        <v>0</v>
      </c>
      <c r="H22" s="43">
        <f t="shared" ref="H22:H27" si="8">F22*0.03137</f>
        <v>25.742804123711341</v>
      </c>
      <c r="I22" s="74">
        <f t="shared" si="2"/>
        <v>0</v>
      </c>
      <c r="J22" s="43">
        <f t="shared" ref="J22:J27" si="9">F22*0.0274</f>
        <v>22.484948453608247</v>
      </c>
      <c r="K22" s="74">
        <f t="shared" si="3"/>
        <v>0</v>
      </c>
      <c r="L22" s="43">
        <f t="shared" ref="L22:L27" si="10">F22*0.0228</f>
        <v>18.710103092783505</v>
      </c>
      <c r="M22" s="43">
        <f t="shared" si="4"/>
        <v>0</v>
      </c>
      <c r="N22" s="43">
        <f t="shared" ref="N22:N27" si="11">F22*0.0204</f>
        <v>16.740618556701033</v>
      </c>
      <c r="O22" s="43">
        <f t="shared" si="5"/>
        <v>0</v>
      </c>
      <c r="P22" s="43">
        <f t="shared" si="6"/>
        <v>15.181443298969072</v>
      </c>
      <c r="Q22" s="43">
        <f t="shared" si="7"/>
        <v>0</v>
      </c>
      <c r="R22" s="740"/>
    </row>
    <row r="23" spans="1:18" s="156" customFormat="1" ht="13.5" thickBot="1">
      <c r="A23" s="1156"/>
      <c r="B23" s="221"/>
      <c r="C23" s="282" t="s">
        <v>958</v>
      </c>
      <c r="D23" s="282" t="s">
        <v>963</v>
      </c>
      <c r="E23" s="283">
        <v>1958.7628865979382</v>
      </c>
      <c r="F23" s="44">
        <f t="shared" si="0"/>
        <v>1567.0103092783506</v>
      </c>
      <c r="G23" s="3">
        <f>F23*B23</f>
        <v>0</v>
      </c>
      <c r="H23" s="21">
        <f t="shared" si="8"/>
        <v>49.15711340206186</v>
      </c>
      <c r="I23" s="2">
        <f>H23*B23</f>
        <v>0</v>
      </c>
      <c r="J23" s="21">
        <f t="shared" si="9"/>
        <v>42.936082474226808</v>
      </c>
      <c r="K23" s="22">
        <f>J23*B23</f>
        <v>0</v>
      </c>
      <c r="L23" s="21">
        <f t="shared" si="10"/>
        <v>35.727835051546393</v>
      </c>
      <c r="M23" s="21">
        <f>L23*B23</f>
        <v>0</v>
      </c>
      <c r="N23" s="21">
        <f t="shared" si="11"/>
        <v>31.967010309278354</v>
      </c>
      <c r="O23" s="21">
        <f>N23*B23</f>
        <v>0</v>
      </c>
      <c r="P23" s="43">
        <f t="shared" si="6"/>
        <v>28.989690721649485</v>
      </c>
      <c r="Q23" s="43">
        <f t="shared" si="7"/>
        <v>0</v>
      </c>
      <c r="R23" s="740"/>
    </row>
    <row r="24" spans="1:18" s="151" customFormat="1" ht="26.25" thickBot="1">
      <c r="A24" s="1156"/>
      <c r="B24" s="221"/>
      <c r="C24" s="282" t="s">
        <v>959</v>
      </c>
      <c r="D24" s="282" t="s">
        <v>964</v>
      </c>
      <c r="E24" s="283">
        <v>2056.7010309278353</v>
      </c>
      <c r="F24" s="44">
        <f t="shared" si="0"/>
        <v>1645.3608247422683</v>
      </c>
      <c r="G24" s="3">
        <f t="shared" si="1"/>
        <v>0</v>
      </c>
      <c r="H24" s="21">
        <f t="shared" si="8"/>
        <v>51.614969072164961</v>
      </c>
      <c r="I24" s="2">
        <f t="shared" si="2"/>
        <v>0</v>
      </c>
      <c r="J24" s="21">
        <f t="shared" si="9"/>
        <v>45.082886597938149</v>
      </c>
      <c r="K24" s="22">
        <f t="shared" si="3"/>
        <v>0</v>
      </c>
      <c r="L24" s="21">
        <f t="shared" si="10"/>
        <v>37.514226804123716</v>
      </c>
      <c r="M24" s="21">
        <f t="shared" si="4"/>
        <v>0</v>
      </c>
      <c r="N24" s="21">
        <f t="shared" si="11"/>
        <v>33.565360824742278</v>
      </c>
      <c r="O24" s="21">
        <f t="shared" si="5"/>
        <v>0</v>
      </c>
      <c r="P24" s="43">
        <f t="shared" si="6"/>
        <v>30.439175257731961</v>
      </c>
      <c r="Q24" s="43">
        <f t="shared" si="7"/>
        <v>0</v>
      </c>
      <c r="R24" s="740"/>
    </row>
    <row r="25" spans="1:18" s="151" customFormat="1" ht="12.6" customHeight="1" thickBot="1">
      <c r="A25" s="1156"/>
      <c r="B25" s="221"/>
      <c r="C25" s="282" t="s">
        <v>511</v>
      </c>
      <c r="D25" s="282" t="s">
        <v>965</v>
      </c>
      <c r="E25" s="283">
        <v>298.96907216494844</v>
      </c>
      <c r="F25" s="44">
        <f t="shared" si="0"/>
        <v>239.17525773195877</v>
      </c>
      <c r="G25" s="3">
        <f t="shared" si="1"/>
        <v>0</v>
      </c>
      <c r="H25" s="21">
        <f t="shared" si="8"/>
        <v>7.5029278350515467</v>
      </c>
      <c r="I25" s="2">
        <f t="shared" si="2"/>
        <v>0</v>
      </c>
      <c r="J25" s="21">
        <f t="shared" si="9"/>
        <v>6.5534020618556701</v>
      </c>
      <c r="K25" s="22">
        <f t="shared" si="3"/>
        <v>0</v>
      </c>
      <c r="L25" s="21">
        <f t="shared" si="10"/>
        <v>5.4531958762886603</v>
      </c>
      <c r="M25" s="21">
        <f t="shared" si="4"/>
        <v>0</v>
      </c>
      <c r="N25" s="21">
        <f t="shared" si="11"/>
        <v>4.8791752577319594</v>
      </c>
      <c r="O25" s="21">
        <f t="shared" si="5"/>
        <v>0</v>
      </c>
      <c r="P25" s="43">
        <f t="shared" si="6"/>
        <v>4.4247422680412374</v>
      </c>
      <c r="Q25" s="43">
        <f t="shared" si="7"/>
        <v>0</v>
      </c>
      <c r="R25" s="740"/>
    </row>
    <row r="26" spans="1:18" s="151" customFormat="1" ht="13.5" thickBot="1">
      <c r="A26" s="1156"/>
      <c r="B26" s="221"/>
      <c r="C26" s="282" t="s">
        <v>960</v>
      </c>
      <c r="D26" s="282" t="s">
        <v>966</v>
      </c>
      <c r="E26" s="283">
        <v>819.58762886597935</v>
      </c>
      <c r="F26" s="44">
        <f t="shared" si="0"/>
        <v>655.67010309278351</v>
      </c>
      <c r="G26" s="3">
        <f t="shared" si="1"/>
        <v>0</v>
      </c>
      <c r="H26" s="21">
        <f t="shared" si="8"/>
        <v>20.568371134020619</v>
      </c>
      <c r="I26" s="2">
        <f t="shared" si="2"/>
        <v>0</v>
      </c>
      <c r="J26" s="21">
        <f t="shared" si="9"/>
        <v>17.96536082474227</v>
      </c>
      <c r="K26" s="22">
        <f t="shared" si="3"/>
        <v>0</v>
      </c>
      <c r="L26" s="21">
        <f t="shared" si="10"/>
        <v>14.949278350515465</v>
      </c>
      <c r="M26" s="21">
        <f t="shared" si="4"/>
        <v>0</v>
      </c>
      <c r="N26" s="21">
        <f t="shared" si="11"/>
        <v>13.375670103092785</v>
      </c>
      <c r="O26" s="21">
        <f t="shared" si="5"/>
        <v>0</v>
      </c>
      <c r="P26" s="43">
        <f t="shared" si="6"/>
        <v>12.129896907216494</v>
      </c>
      <c r="Q26" s="43">
        <f t="shared" si="7"/>
        <v>0</v>
      </c>
      <c r="R26" s="740"/>
    </row>
    <row r="27" spans="1:18" s="151" customFormat="1" ht="13.5" thickBot="1">
      <c r="A27" s="1227"/>
      <c r="B27" s="221"/>
      <c r="C27" s="282" t="s">
        <v>519</v>
      </c>
      <c r="D27" s="282" t="s">
        <v>967</v>
      </c>
      <c r="E27" s="283">
        <v>613.40206185567013</v>
      </c>
      <c r="F27" s="44">
        <f t="shared" si="0"/>
        <v>490.7216494845361</v>
      </c>
      <c r="G27" s="3">
        <f t="shared" si="1"/>
        <v>0</v>
      </c>
      <c r="H27" s="21">
        <f t="shared" si="8"/>
        <v>15.393938144329898</v>
      </c>
      <c r="I27" s="2">
        <f t="shared" si="2"/>
        <v>0</v>
      </c>
      <c r="J27" s="21">
        <f t="shared" si="9"/>
        <v>13.44577319587629</v>
      </c>
      <c r="K27" s="22">
        <f t="shared" si="3"/>
        <v>0</v>
      </c>
      <c r="L27" s="21">
        <f t="shared" si="10"/>
        <v>11.188453608247423</v>
      </c>
      <c r="M27" s="21">
        <f t="shared" si="4"/>
        <v>0</v>
      </c>
      <c r="N27" s="21">
        <f t="shared" si="11"/>
        <v>10.010721649484537</v>
      </c>
      <c r="O27" s="21">
        <f t="shared" si="5"/>
        <v>0</v>
      </c>
      <c r="P27" s="43">
        <f t="shared" si="6"/>
        <v>9.0783505154639172</v>
      </c>
      <c r="Q27" s="43">
        <f t="shared" si="7"/>
        <v>0</v>
      </c>
      <c r="R27" s="740"/>
    </row>
    <row r="28" spans="1:18" s="151" customFormat="1" ht="15">
      <c r="A28" s="156"/>
      <c r="B28" s="106"/>
      <c r="C28" s="106"/>
      <c r="D28" s="997" t="s">
        <v>183</v>
      </c>
      <c r="E28" s="998"/>
      <c r="F28" s="1274"/>
      <c r="G28" s="9">
        <f>SUM(G21:G27)+G19</f>
        <v>0</v>
      </c>
      <c r="H28" s="10" t="s">
        <v>185</v>
      </c>
      <c r="I28" s="9">
        <f>SUM(I21:I27)+I19</f>
        <v>0</v>
      </c>
      <c r="J28" s="10" t="s">
        <v>186</v>
      </c>
      <c r="K28" s="9">
        <f>SUM(K21:K27)+K19</f>
        <v>0</v>
      </c>
      <c r="L28" s="10" t="s">
        <v>187</v>
      </c>
      <c r="M28" s="9">
        <f>SUM(M21:M27)+M19</f>
        <v>0</v>
      </c>
      <c r="N28" s="10" t="s">
        <v>94</v>
      </c>
      <c r="O28" s="9">
        <f>SUM(O21:O27)+O19</f>
        <v>0</v>
      </c>
      <c r="P28" s="10" t="s">
        <v>826</v>
      </c>
      <c r="Q28" s="9">
        <f>SUM(Q21:Q27)+Q19</f>
        <v>0</v>
      </c>
    </row>
    <row r="29" spans="1:18" s="151" customFormat="1">
      <c r="A29" s="162"/>
      <c r="B29" s="104"/>
      <c r="C29" s="104"/>
      <c r="D29" s="162"/>
      <c r="E29" s="162"/>
      <c r="F29" s="24"/>
      <c r="G29" s="24"/>
      <c r="H29" s="26"/>
      <c r="I29" s="26"/>
      <c r="J29" s="26"/>
      <c r="K29" s="26"/>
      <c r="L29" s="26"/>
      <c r="M29" s="26"/>
      <c r="N29" s="26"/>
      <c r="O29" s="26"/>
      <c r="P29" s="26"/>
      <c r="Q29" s="26"/>
    </row>
    <row r="30" spans="1:18" s="151" customFormat="1" ht="15.75">
      <c r="A30" s="104"/>
      <c r="B30" s="271"/>
      <c r="C30" s="271"/>
      <c r="D30" s="272"/>
      <c r="E30" s="272"/>
      <c r="F30" s="25"/>
      <c r="G30" s="7"/>
      <c r="H30" s="8"/>
      <c r="I30" s="8"/>
      <c r="J30" s="8"/>
      <c r="K30" s="8"/>
      <c r="L30" s="8"/>
      <c r="M30" s="8"/>
      <c r="N30" s="8"/>
      <c r="O30" s="8"/>
      <c r="P30" s="8"/>
      <c r="Q30" s="8"/>
    </row>
    <row r="31" spans="1:18" s="156" customFormat="1">
      <c r="A31" s="104"/>
      <c r="B31" s="104"/>
      <c r="C31" s="104"/>
      <c r="D31" s="104"/>
      <c r="E31" s="104"/>
      <c r="F31" s="25"/>
      <c r="G31" s="7"/>
      <c r="H31" s="8"/>
      <c r="I31" s="8"/>
      <c r="J31" s="8"/>
      <c r="K31" s="8"/>
      <c r="L31" s="8"/>
      <c r="M31" s="8"/>
      <c r="N31" s="8"/>
      <c r="O31" s="8"/>
      <c r="P31" s="8"/>
      <c r="Q31" s="8"/>
    </row>
    <row r="32" spans="1:18" s="156" customFormat="1">
      <c r="A32" s="104"/>
      <c r="B32" s="104"/>
      <c r="C32" s="104"/>
      <c r="D32" s="104"/>
      <c r="E32" s="104"/>
      <c r="F32" s="7"/>
      <c r="G32" s="7"/>
      <c r="H32" s="8"/>
      <c r="I32" s="8"/>
      <c r="J32" s="8"/>
      <c r="K32" s="8"/>
      <c r="L32" s="8"/>
      <c r="M32" s="8"/>
      <c r="N32" s="8"/>
      <c r="O32" s="8"/>
      <c r="P32" s="8"/>
      <c r="Q32" s="8"/>
    </row>
    <row r="33" spans="1:17" s="274" customFormat="1" hidden="1">
      <c r="A33" s="104"/>
      <c r="B33" s="104"/>
      <c r="C33" s="104"/>
      <c r="D33" s="104"/>
      <c r="E33" s="104"/>
      <c r="F33" s="7"/>
      <c r="G33" s="7"/>
      <c r="H33" s="8"/>
      <c r="I33" s="8"/>
      <c r="J33" s="8"/>
      <c r="K33" s="8"/>
      <c r="L33" s="8"/>
      <c r="M33" s="8"/>
      <c r="N33" s="8"/>
      <c r="O33" s="8"/>
      <c r="P33" s="8"/>
      <c r="Q33" s="8"/>
    </row>
    <row r="34" spans="1:17" s="156" customFormat="1">
      <c r="A34" s="104"/>
      <c r="B34" s="104"/>
      <c r="C34" s="104"/>
      <c r="D34" s="104"/>
      <c r="E34" s="104"/>
      <c r="F34" s="165"/>
      <c r="G34" s="7"/>
      <c r="H34" s="104"/>
      <c r="I34" s="8"/>
      <c r="J34" s="104"/>
      <c r="K34" s="8"/>
      <c r="L34" s="104"/>
      <c r="M34" s="8"/>
      <c r="N34" s="104"/>
      <c r="O34" s="8"/>
      <c r="P34" s="104"/>
      <c r="Q34" s="8"/>
    </row>
    <row r="35" spans="1:17" s="162" customFormat="1">
      <c r="A35" s="104"/>
      <c r="B35" s="104"/>
      <c r="C35" s="104"/>
      <c r="D35" s="104"/>
      <c r="E35" s="104"/>
      <c r="F35" s="165"/>
      <c r="G35" s="165"/>
      <c r="H35" s="104"/>
      <c r="I35" s="104"/>
      <c r="J35" s="104"/>
      <c r="K35" s="104"/>
      <c r="L35" s="104"/>
      <c r="M35" s="104"/>
      <c r="N35" s="104"/>
      <c r="O35" s="104"/>
      <c r="P35" s="104"/>
      <c r="Q35" s="104"/>
    </row>
    <row r="39" spans="1:17">
      <c r="L39" s="665">
        <f>F39*0.0256</f>
        <v>0</v>
      </c>
    </row>
    <row r="48" spans="1:17">
      <c r="B48" s="106"/>
      <c r="C48" s="106"/>
    </row>
  </sheetData>
  <mergeCells count="13">
    <mergeCell ref="A4:O4"/>
    <mergeCell ref="A5:O5"/>
    <mergeCell ref="H8:J8"/>
    <mergeCell ref="A12:Q12"/>
    <mergeCell ref="A13:Q13"/>
    <mergeCell ref="A20:Q20"/>
    <mergeCell ref="A21:A27"/>
    <mergeCell ref="D28:F28"/>
    <mergeCell ref="A14:H14"/>
    <mergeCell ref="I14:Q14"/>
    <mergeCell ref="A15:Q15"/>
    <mergeCell ref="F17:G17"/>
    <mergeCell ref="H17:Q17"/>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0">
    <tabColor rgb="FFFF0000"/>
  </sheetPr>
  <dimension ref="A1:R42"/>
  <sheetViews>
    <sheetView zoomScale="65" zoomScaleNormal="65" workbookViewId="0">
      <selection activeCell="H41" sqref="H41"/>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3797</v>
      </c>
      <c r="B4" s="979"/>
      <c r="C4" s="979"/>
      <c r="D4" s="979"/>
      <c r="E4" s="979"/>
      <c r="F4" s="979"/>
      <c r="G4" s="979"/>
      <c r="H4" s="979"/>
      <c r="I4" s="979"/>
      <c r="J4" s="979"/>
      <c r="K4" s="979"/>
      <c r="L4" s="979"/>
      <c r="M4" s="979"/>
      <c r="N4" s="979"/>
      <c r="O4" s="979"/>
    </row>
    <row r="5" spans="1:18" s="114" customFormat="1" ht="41.25" customHeight="1">
      <c r="A5" s="1276" t="s">
        <v>3801</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F8" s="249"/>
      <c r="G8" s="249"/>
      <c r="H8" s="1275"/>
      <c r="I8" s="1275"/>
      <c r="J8" s="1275"/>
      <c r="K8" s="173"/>
    </row>
    <row r="9" spans="1:18" s="113" customFormat="1">
      <c r="F9" s="249"/>
      <c r="G9" s="249"/>
      <c r="H9" s="123"/>
    </row>
    <row r="10" spans="1:18" s="113" customFormat="1">
      <c r="F10" s="249"/>
      <c r="G10" s="249"/>
      <c r="H10" s="123"/>
      <c r="J10" s="124"/>
      <c r="L10" s="124"/>
    </row>
    <row r="11" spans="1:18" s="113" customFormat="1" ht="12" customHeight="1">
      <c r="F11" s="249"/>
      <c r="G11" s="249"/>
      <c r="H11" s="123"/>
      <c r="I11" s="124"/>
      <c r="J11" s="124"/>
      <c r="L11" s="124"/>
    </row>
    <row r="12" spans="1:18" s="113" customFormat="1" ht="18.75" thickBot="1">
      <c r="A12" s="1279" t="s">
        <v>23</v>
      </c>
      <c r="B12" s="1245"/>
      <c r="C12" s="1245"/>
      <c r="D12" s="1245"/>
      <c r="E12" s="1245"/>
      <c r="F12" s="1245"/>
      <c r="G12" s="1245"/>
      <c r="H12" s="1245"/>
      <c r="I12" s="1245"/>
      <c r="J12" s="1245"/>
      <c r="K12" s="1245"/>
      <c r="L12" s="1245"/>
      <c r="M12" s="1245"/>
      <c r="N12" s="1245"/>
      <c r="O12" s="1245"/>
      <c r="P12" s="1245"/>
      <c r="Q12" s="1245"/>
    </row>
    <row r="13" spans="1:18" s="113" customFormat="1" ht="18" customHeight="1">
      <c r="A13" s="1280" t="s">
        <v>829</v>
      </c>
      <c r="B13" s="1281"/>
      <c r="C13" s="1281"/>
      <c r="D13" s="1281"/>
      <c r="E13" s="1281"/>
      <c r="F13" s="1281"/>
      <c r="G13" s="1281"/>
      <c r="H13" s="1281"/>
      <c r="I13" s="1281"/>
      <c r="J13" s="1281"/>
      <c r="K13" s="1281"/>
      <c r="L13" s="1281"/>
      <c r="M13" s="1281"/>
      <c r="N13" s="1281"/>
      <c r="O13" s="1281"/>
      <c r="P13" s="1281"/>
      <c r="Q13" s="1282"/>
    </row>
    <row r="14" spans="1:18" s="113" customFormat="1" ht="18" customHeight="1">
      <c r="A14" s="1240" t="s">
        <v>91</v>
      </c>
      <c r="B14" s="1241"/>
      <c r="C14" s="1241"/>
      <c r="D14" s="1241"/>
      <c r="E14" s="1241"/>
      <c r="F14" s="1241"/>
      <c r="G14" s="1241"/>
      <c r="H14" s="1241"/>
      <c r="I14" s="1264">
        <v>600</v>
      </c>
      <c r="J14" s="1264"/>
      <c r="K14" s="1264"/>
      <c r="L14" s="1264"/>
      <c r="M14" s="1264"/>
      <c r="N14" s="1264"/>
      <c r="O14" s="1264"/>
      <c r="P14" s="1264"/>
      <c r="Q14" s="1283"/>
    </row>
    <row r="15" spans="1:18" s="113" customFormat="1" ht="18" customHeight="1" thickBot="1">
      <c r="A15" s="1234" t="s">
        <v>0</v>
      </c>
      <c r="B15" s="1235"/>
      <c r="C15" s="1235"/>
      <c r="D15" s="1235"/>
      <c r="E15" s="1235"/>
      <c r="F15" s="1235"/>
      <c r="G15" s="1235"/>
      <c r="H15" s="1235"/>
      <c r="I15" s="1235"/>
      <c r="J15" s="1235"/>
      <c r="K15" s="1235"/>
      <c r="L15" s="1235"/>
      <c r="M15" s="1235"/>
      <c r="N15" s="1235"/>
      <c r="O15" s="1235"/>
      <c r="P15" s="1235"/>
      <c r="Q15" s="1236"/>
    </row>
    <row r="16" spans="1:18" s="113" customFormat="1" ht="15" thickBot="1">
      <c r="D16" s="136"/>
      <c r="E16" s="136"/>
      <c r="F16" s="135"/>
      <c r="G16" s="135"/>
      <c r="I16" s="150"/>
      <c r="J16" s="150"/>
      <c r="K16" s="150"/>
      <c r="L16" s="150"/>
    </row>
    <row r="17" spans="1:17" s="113" customFormat="1" ht="13.5" thickBot="1">
      <c r="F17" s="1217" t="s">
        <v>167</v>
      </c>
      <c r="G17" s="1008"/>
      <c r="H17" s="1009" t="s">
        <v>168</v>
      </c>
      <c r="I17" s="1010"/>
      <c r="J17" s="1010"/>
      <c r="K17" s="1010"/>
      <c r="L17" s="1010"/>
      <c r="M17" s="1010"/>
      <c r="N17" s="1010"/>
      <c r="O17" s="1010"/>
      <c r="P17" s="1010"/>
      <c r="Q17" s="1301"/>
    </row>
    <row r="18" spans="1:17" s="113" customFormat="1" ht="57.75" customHeight="1" thickBot="1">
      <c r="A18" s="254" t="s">
        <v>122</v>
      </c>
      <c r="B18" s="254" t="s">
        <v>169</v>
      </c>
      <c r="C18" s="255" t="s">
        <v>170</v>
      </c>
      <c r="D18" s="255" t="s">
        <v>171</v>
      </c>
      <c r="E18" s="255" t="s">
        <v>172</v>
      </c>
      <c r="F18" s="255" t="s">
        <v>173</v>
      </c>
      <c r="G18" s="254" t="s">
        <v>174</v>
      </c>
      <c r="H18" s="255" t="s">
        <v>176</v>
      </c>
      <c r="I18" s="254" t="s">
        <v>174</v>
      </c>
      <c r="J18" s="255" t="s">
        <v>177</v>
      </c>
      <c r="K18" s="254" t="s">
        <v>174</v>
      </c>
      <c r="L18" s="255" t="s">
        <v>178</v>
      </c>
      <c r="M18" s="254" t="s">
        <v>174</v>
      </c>
      <c r="N18" s="255" t="s">
        <v>157</v>
      </c>
      <c r="O18" s="254" t="s">
        <v>174</v>
      </c>
      <c r="P18" s="255" t="s">
        <v>824</v>
      </c>
      <c r="Q18" s="254" t="s">
        <v>174</v>
      </c>
    </row>
    <row r="19" spans="1:17" s="113" customFormat="1" ht="46.5" customHeight="1" thickBot="1">
      <c r="A19" s="1287">
        <v>48</v>
      </c>
      <c r="B19" s="1288"/>
      <c r="C19" s="258" t="s">
        <v>3798</v>
      </c>
      <c r="D19" s="281" t="s">
        <v>3797</v>
      </c>
      <c r="E19" s="260">
        <v>6145</v>
      </c>
      <c r="F19" s="19">
        <f>SUM(E19:E20)*(1-20%)</f>
        <v>5123.2000000000007</v>
      </c>
      <c r="G19" s="1162">
        <f>F19*B19</f>
        <v>0</v>
      </c>
      <c r="H19" s="19">
        <f>F19*0.03137+I14/12</f>
        <v>210.71478400000004</v>
      </c>
      <c r="I19" s="1162">
        <f>H19*B19</f>
        <v>0</v>
      </c>
      <c r="J19" s="19">
        <f>F19*0.0274+I14/12</f>
        <v>190.37568000000002</v>
      </c>
      <c r="K19" s="1162">
        <f>J19*B19</f>
        <v>0</v>
      </c>
      <c r="L19" s="20">
        <f>F19*0.0228+I14/12</f>
        <v>166.80896000000001</v>
      </c>
      <c r="M19" s="1162">
        <f>L19*B19</f>
        <v>0</v>
      </c>
      <c r="N19" s="20">
        <f>F19*0.0204+I14/12</f>
        <v>154.51328000000001</v>
      </c>
      <c r="O19" s="1162">
        <f>N19*B19</f>
        <v>0</v>
      </c>
      <c r="P19" s="20">
        <f>F19*0.0185+I14/12</f>
        <v>144.7792</v>
      </c>
      <c r="Q19" s="1162">
        <f>P19*B19</f>
        <v>0</v>
      </c>
    </row>
    <row r="20" spans="1:17" s="113" customFormat="1" ht="13.5" thickBot="1">
      <c r="A20" s="1287"/>
      <c r="B20" s="1288"/>
      <c r="C20" s="261" t="s">
        <v>104</v>
      </c>
      <c r="D20" s="262" t="s">
        <v>180</v>
      </c>
      <c r="E20" s="263">
        <v>259</v>
      </c>
      <c r="F20" s="264" t="s">
        <v>162</v>
      </c>
      <c r="G20" s="1284"/>
      <c r="H20" s="265" t="s">
        <v>162</v>
      </c>
      <c r="I20" s="1284"/>
      <c r="J20" s="265" t="s">
        <v>162</v>
      </c>
      <c r="K20" s="1284"/>
      <c r="L20" s="265" t="s">
        <v>162</v>
      </c>
      <c r="M20" s="1284"/>
      <c r="N20" s="265" t="s">
        <v>162</v>
      </c>
      <c r="O20" s="1284"/>
      <c r="P20" s="265" t="s">
        <v>162</v>
      </c>
      <c r="Q20" s="1167"/>
    </row>
    <row r="21" spans="1:17" s="266" customFormat="1" ht="15.75" customHeight="1" thickBot="1">
      <c r="A21" s="1285" t="s">
        <v>182</v>
      </c>
      <c r="B21" s="1286"/>
      <c r="C21" s="1272"/>
      <c r="D21" s="1272"/>
      <c r="E21" s="1272"/>
      <c r="F21" s="1272"/>
      <c r="G21" s="1272"/>
      <c r="H21" s="1272"/>
      <c r="I21" s="1272"/>
      <c r="J21" s="1272"/>
      <c r="K21" s="1272"/>
      <c r="L21" s="1272"/>
      <c r="M21" s="1272"/>
      <c r="N21" s="1272"/>
      <c r="O21" s="1272"/>
      <c r="P21" s="1272"/>
      <c r="Q21" s="1273"/>
    </row>
    <row r="22" spans="1:17" s="151" customFormat="1" ht="15">
      <c r="A22" s="156"/>
      <c r="B22" s="106"/>
      <c r="C22" s="106"/>
      <c r="D22" s="997" t="s">
        <v>183</v>
      </c>
      <c r="E22" s="998"/>
      <c r="F22" s="1274"/>
      <c r="G22" s="9">
        <f>G19</f>
        <v>0</v>
      </c>
      <c r="H22" s="10" t="s">
        <v>185</v>
      </c>
      <c r="I22" s="9">
        <f>I19</f>
        <v>0</v>
      </c>
      <c r="J22" s="10" t="s">
        <v>186</v>
      </c>
      <c r="K22" s="9">
        <f>K19</f>
        <v>0</v>
      </c>
      <c r="L22" s="10" t="s">
        <v>187</v>
      </c>
      <c r="M22" s="9">
        <f>M19</f>
        <v>0</v>
      </c>
      <c r="N22" s="10" t="s">
        <v>94</v>
      </c>
      <c r="O22" s="9">
        <f>O19</f>
        <v>0</v>
      </c>
      <c r="P22" s="10" t="s">
        <v>826</v>
      </c>
      <c r="Q22" s="9">
        <f>Q19</f>
        <v>0</v>
      </c>
    </row>
    <row r="23" spans="1:17" s="151" customFormat="1">
      <c r="A23" s="162"/>
      <c r="B23" s="104"/>
      <c r="C23" s="104"/>
      <c r="D23" s="162"/>
      <c r="E23" s="162"/>
      <c r="F23" s="24"/>
      <c r="G23" s="24"/>
      <c r="H23" s="26"/>
      <c r="I23" s="26"/>
      <c r="J23" s="26"/>
      <c r="K23" s="26"/>
      <c r="L23" s="26"/>
      <c r="M23" s="26"/>
      <c r="N23" s="26"/>
      <c r="O23" s="26"/>
      <c r="P23" s="26"/>
      <c r="Q23" s="26"/>
    </row>
    <row r="24" spans="1:17" s="151" customFormat="1" ht="15.75">
      <c r="A24" s="104"/>
      <c r="B24" s="271"/>
      <c r="C24" s="271"/>
      <c r="D24" s="272"/>
      <c r="E24" s="272"/>
      <c r="F24" s="25"/>
      <c r="G24" s="7"/>
      <c r="H24" s="8"/>
      <c r="I24" s="8"/>
      <c r="J24" s="8"/>
      <c r="K24" s="8"/>
      <c r="L24" s="8"/>
      <c r="M24" s="8"/>
      <c r="N24" s="8"/>
      <c r="O24" s="8"/>
      <c r="P24" s="8"/>
      <c r="Q24" s="8"/>
    </row>
    <row r="25" spans="1:17" s="156" customFormat="1">
      <c r="A25" s="104"/>
      <c r="B25" s="104"/>
      <c r="C25" s="104"/>
      <c r="D25" s="104"/>
      <c r="E25" s="104"/>
      <c r="F25" s="25"/>
      <c r="G25" s="7"/>
      <c r="H25" s="8"/>
      <c r="I25" s="8"/>
      <c r="J25" s="8"/>
      <c r="K25" s="8"/>
      <c r="L25" s="8"/>
      <c r="M25" s="8"/>
      <c r="N25" s="8"/>
      <c r="O25" s="8"/>
      <c r="P25" s="8"/>
      <c r="Q25" s="8"/>
    </row>
    <row r="26" spans="1:17" s="156" customFormat="1">
      <c r="A26" s="104"/>
      <c r="B26" s="104"/>
      <c r="C26" s="104"/>
      <c r="D26" s="104"/>
      <c r="E26" s="104"/>
      <c r="F26" s="7"/>
      <c r="G26" s="7"/>
      <c r="H26" s="8"/>
      <c r="I26" s="8"/>
      <c r="J26" s="8"/>
      <c r="K26" s="8"/>
      <c r="L26" s="8"/>
      <c r="M26" s="8"/>
      <c r="N26" s="8"/>
      <c r="O26" s="8"/>
      <c r="P26" s="8"/>
      <c r="Q26" s="8"/>
    </row>
    <row r="27" spans="1:17" s="274" customFormat="1" hidden="1">
      <c r="A27" s="104"/>
      <c r="B27" s="104"/>
      <c r="C27" s="104"/>
      <c r="D27" s="104"/>
      <c r="E27" s="104"/>
      <c r="F27" s="7"/>
      <c r="G27" s="7"/>
      <c r="H27" s="8"/>
      <c r="I27" s="8"/>
      <c r="J27" s="8"/>
      <c r="K27" s="8"/>
      <c r="L27" s="8"/>
      <c r="M27" s="8"/>
      <c r="N27" s="8"/>
      <c r="O27" s="8"/>
      <c r="P27" s="8"/>
      <c r="Q27" s="8"/>
    </row>
    <row r="28" spans="1:17" s="156" customFormat="1">
      <c r="A28" s="104"/>
      <c r="B28" s="104"/>
      <c r="C28" s="104"/>
      <c r="D28" s="104"/>
      <c r="E28" s="104"/>
      <c r="F28" s="165"/>
      <c r="G28" s="7"/>
      <c r="H28" s="104"/>
      <c r="I28" s="8"/>
      <c r="J28" s="104"/>
      <c r="K28" s="8"/>
      <c r="L28" s="104"/>
      <c r="M28" s="8"/>
      <c r="N28" s="104"/>
      <c r="O28" s="8"/>
      <c r="P28" s="104"/>
      <c r="Q28" s="8"/>
    </row>
    <row r="29" spans="1:17" s="162" customFormat="1">
      <c r="A29" s="104"/>
      <c r="B29" s="104"/>
      <c r="C29" s="104"/>
      <c r="D29" s="104"/>
      <c r="E29" s="104"/>
      <c r="F29" s="165"/>
      <c r="G29" s="165"/>
      <c r="H29" s="104"/>
      <c r="I29" s="104"/>
      <c r="J29" s="104"/>
      <c r="K29" s="104"/>
      <c r="L29" s="104"/>
      <c r="M29" s="104"/>
      <c r="N29" s="104"/>
      <c r="O29" s="104"/>
      <c r="P29" s="104"/>
      <c r="Q29" s="104"/>
    </row>
    <row r="33" spans="2:12">
      <c r="L33" s="665">
        <f>F33*0.0256</f>
        <v>0</v>
      </c>
    </row>
    <row r="42" spans="2:12">
      <c r="B42" s="106"/>
      <c r="C42" s="106"/>
    </row>
  </sheetData>
  <mergeCells count="20">
    <mergeCell ref="A15:Q15"/>
    <mergeCell ref="A4:O4"/>
    <mergeCell ref="A5:O5"/>
    <mergeCell ref="H8:J8"/>
    <mergeCell ref="A12:Q12"/>
    <mergeCell ref="A13:Q13"/>
    <mergeCell ref="A14:H14"/>
    <mergeCell ref="I14:Q14"/>
    <mergeCell ref="D22:F22"/>
    <mergeCell ref="F17:G17"/>
    <mergeCell ref="H17:Q17"/>
    <mergeCell ref="A19:A20"/>
    <mergeCell ref="B19:B20"/>
    <mergeCell ref="G19:G20"/>
    <mergeCell ref="I19:I20"/>
    <mergeCell ref="A21:Q21"/>
    <mergeCell ref="K19:K20"/>
    <mergeCell ref="M19:M20"/>
    <mergeCell ref="O19:O20"/>
    <mergeCell ref="Q19:Q20"/>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1">
    <tabColor rgb="FFFF0000"/>
  </sheetPr>
  <dimension ref="A1:R42"/>
  <sheetViews>
    <sheetView zoomScale="65" zoomScaleNormal="65" workbookViewId="0">
      <selection activeCell="H41" sqref="H41"/>
    </sheetView>
  </sheetViews>
  <sheetFormatPr defaultColWidth="8.85546875" defaultRowHeight="12.75"/>
  <cols>
    <col min="1" max="1" width="15" style="104" customWidth="1"/>
    <col min="2" max="2" width="10" style="104" customWidth="1"/>
    <col min="3" max="3" width="17.140625" style="104" customWidth="1"/>
    <col min="4" max="4" width="44.42578125" style="104" customWidth="1"/>
    <col min="5" max="5" width="17.42578125" style="104" customWidth="1"/>
    <col min="6" max="6" width="15.5703125" style="165" customWidth="1"/>
    <col min="7" max="7" width="23.42578125" style="165" customWidth="1"/>
    <col min="8" max="8" width="28.28515625" style="104" customWidth="1"/>
    <col min="9" max="9" width="19" style="104" customWidth="1"/>
    <col min="10" max="10" width="25" style="104" customWidth="1"/>
    <col min="11" max="11" width="19" style="104" customWidth="1"/>
    <col min="12" max="12" width="25" style="104" customWidth="1"/>
    <col min="13" max="13" width="18.42578125" style="104" customWidth="1"/>
    <col min="14" max="14" width="25" style="104" customWidth="1"/>
    <col min="15" max="15" width="19.28515625" style="104" customWidth="1"/>
    <col min="16" max="16" width="25" style="104" bestFit="1" customWidth="1"/>
    <col min="17" max="17" width="19.28515625" style="104" customWidth="1"/>
    <col min="18"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3799</v>
      </c>
      <c r="B4" s="979"/>
      <c r="C4" s="979"/>
      <c r="D4" s="979"/>
      <c r="E4" s="979"/>
      <c r="F4" s="979"/>
      <c r="G4" s="979"/>
      <c r="H4" s="979"/>
      <c r="I4" s="979"/>
      <c r="J4" s="979"/>
      <c r="K4" s="979"/>
      <c r="L4" s="979"/>
      <c r="M4" s="979"/>
      <c r="N4" s="979"/>
      <c r="O4" s="979"/>
    </row>
    <row r="5" spans="1:18" s="114" customFormat="1" ht="41.25" customHeight="1">
      <c r="A5" s="1276" t="s">
        <v>3802</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F8" s="249"/>
      <c r="G8" s="249"/>
      <c r="H8" s="1275"/>
      <c r="I8" s="1275"/>
      <c r="J8" s="1275"/>
      <c r="K8" s="173"/>
    </row>
    <row r="9" spans="1:18" s="113" customFormat="1">
      <c r="F9" s="249"/>
      <c r="G9" s="249"/>
      <c r="H9" s="123"/>
    </row>
    <row r="10" spans="1:18" s="113" customFormat="1">
      <c r="F10" s="249"/>
      <c r="G10" s="249"/>
      <c r="H10" s="123"/>
      <c r="J10" s="124"/>
      <c r="L10" s="124"/>
    </row>
    <row r="11" spans="1:18" s="113" customFormat="1" ht="12" customHeight="1">
      <c r="F11" s="249"/>
      <c r="G11" s="249"/>
      <c r="H11" s="123"/>
      <c r="I11" s="124"/>
      <c r="J11" s="124"/>
      <c r="L11" s="124"/>
    </row>
    <row r="12" spans="1:18" s="113" customFormat="1" ht="18.75" thickBot="1">
      <c r="A12" s="1279" t="s">
        <v>23</v>
      </c>
      <c r="B12" s="1245"/>
      <c r="C12" s="1245"/>
      <c r="D12" s="1245"/>
      <c r="E12" s="1245"/>
      <c r="F12" s="1245"/>
      <c r="G12" s="1245"/>
      <c r="H12" s="1245"/>
      <c r="I12" s="1245"/>
      <c r="J12" s="1245"/>
      <c r="K12" s="1245"/>
      <c r="L12" s="1245"/>
      <c r="M12" s="1245"/>
      <c r="N12" s="1245"/>
      <c r="O12" s="1245"/>
      <c r="P12" s="1245"/>
      <c r="Q12" s="1245"/>
    </row>
    <row r="13" spans="1:18" s="113" customFormat="1" ht="18" customHeight="1">
      <c r="A13" s="1280" t="s">
        <v>829</v>
      </c>
      <c r="B13" s="1281"/>
      <c r="C13" s="1281"/>
      <c r="D13" s="1281"/>
      <c r="E13" s="1281"/>
      <c r="F13" s="1281"/>
      <c r="G13" s="1281"/>
      <c r="H13" s="1281"/>
      <c r="I13" s="1281"/>
      <c r="J13" s="1281"/>
      <c r="K13" s="1281"/>
      <c r="L13" s="1281"/>
      <c r="M13" s="1281"/>
      <c r="N13" s="1281"/>
      <c r="O13" s="1281"/>
      <c r="P13" s="1281"/>
      <c r="Q13" s="1282"/>
    </row>
    <row r="14" spans="1:18" s="113" customFormat="1" ht="18" customHeight="1">
      <c r="A14" s="1240" t="s">
        <v>91</v>
      </c>
      <c r="B14" s="1241"/>
      <c r="C14" s="1241"/>
      <c r="D14" s="1241"/>
      <c r="E14" s="1241"/>
      <c r="F14" s="1241"/>
      <c r="G14" s="1241"/>
      <c r="H14" s="1241"/>
      <c r="I14" s="1264">
        <v>600</v>
      </c>
      <c r="J14" s="1264"/>
      <c r="K14" s="1264"/>
      <c r="L14" s="1264"/>
      <c r="M14" s="1264"/>
      <c r="N14" s="1264"/>
      <c r="O14" s="1264"/>
      <c r="P14" s="1264"/>
      <c r="Q14" s="1283"/>
    </row>
    <row r="15" spans="1:18" s="113" customFormat="1" ht="18" customHeight="1" thickBot="1">
      <c r="A15" s="1234" t="s">
        <v>0</v>
      </c>
      <c r="B15" s="1235"/>
      <c r="C15" s="1235"/>
      <c r="D15" s="1235"/>
      <c r="E15" s="1235"/>
      <c r="F15" s="1235"/>
      <c r="G15" s="1235"/>
      <c r="H15" s="1235"/>
      <c r="I15" s="1235"/>
      <c r="J15" s="1235"/>
      <c r="K15" s="1235"/>
      <c r="L15" s="1235"/>
      <c r="M15" s="1235"/>
      <c r="N15" s="1235"/>
      <c r="O15" s="1235"/>
      <c r="P15" s="1235"/>
      <c r="Q15" s="1236"/>
    </row>
    <row r="16" spans="1:18" s="113" customFormat="1" ht="15" thickBot="1">
      <c r="D16" s="136"/>
      <c r="E16" s="136"/>
      <c r="F16" s="135"/>
      <c r="G16" s="135"/>
      <c r="I16" s="150"/>
      <c r="J16" s="150"/>
      <c r="K16" s="150"/>
      <c r="L16" s="150"/>
    </row>
    <row r="17" spans="1:17" s="113" customFormat="1" ht="13.5" thickBot="1">
      <c r="F17" s="1217" t="s">
        <v>167</v>
      </c>
      <c r="G17" s="1008"/>
      <c r="H17" s="1009" t="s">
        <v>168</v>
      </c>
      <c r="I17" s="1010"/>
      <c r="J17" s="1010"/>
      <c r="K17" s="1010"/>
      <c r="L17" s="1010"/>
      <c r="M17" s="1010"/>
      <c r="N17" s="1010"/>
      <c r="O17" s="1010"/>
      <c r="P17" s="1010"/>
      <c r="Q17" s="1301"/>
    </row>
    <row r="18" spans="1:17" s="113" customFormat="1" ht="57.75" customHeight="1" thickBot="1">
      <c r="A18" s="254" t="s">
        <v>122</v>
      </c>
      <c r="B18" s="254" t="s">
        <v>169</v>
      </c>
      <c r="C18" s="255" t="s">
        <v>170</v>
      </c>
      <c r="D18" s="255" t="s">
        <v>171</v>
      </c>
      <c r="E18" s="255" t="s">
        <v>172</v>
      </c>
      <c r="F18" s="255" t="s">
        <v>173</v>
      </c>
      <c r="G18" s="254" t="s">
        <v>174</v>
      </c>
      <c r="H18" s="255" t="s">
        <v>176</v>
      </c>
      <c r="I18" s="254" t="s">
        <v>174</v>
      </c>
      <c r="J18" s="255" t="s">
        <v>177</v>
      </c>
      <c r="K18" s="254" t="s">
        <v>174</v>
      </c>
      <c r="L18" s="255" t="s">
        <v>178</v>
      </c>
      <c r="M18" s="254" t="s">
        <v>174</v>
      </c>
      <c r="N18" s="255" t="s">
        <v>157</v>
      </c>
      <c r="O18" s="254" t="s">
        <v>174</v>
      </c>
      <c r="P18" s="255" t="s">
        <v>824</v>
      </c>
      <c r="Q18" s="254" t="s">
        <v>174</v>
      </c>
    </row>
    <row r="19" spans="1:17" s="113" customFormat="1" ht="46.5" customHeight="1" thickBot="1">
      <c r="A19" s="1287">
        <v>48</v>
      </c>
      <c r="B19" s="1288"/>
      <c r="C19" s="258" t="s">
        <v>3800</v>
      </c>
      <c r="D19" s="281" t="s">
        <v>3799</v>
      </c>
      <c r="E19" s="260">
        <v>8395</v>
      </c>
      <c r="F19" s="19">
        <f>SUM(E19:E20)*(1-20%)</f>
        <v>6923.2000000000007</v>
      </c>
      <c r="G19" s="1162">
        <f>F19*B19</f>
        <v>0</v>
      </c>
      <c r="H19" s="19">
        <f>F19*0.03137+I14/12</f>
        <v>267.18078400000002</v>
      </c>
      <c r="I19" s="1162">
        <f>H19*B19</f>
        <v>0</v>
      </c>
      <c r="J19" s="19">
        <f>F19*0.0274+I14/12</f>
        <v>239.69568000000004</v>
      </c>
      <c r="K19" s="1162">
        <f>J19*B19</f>
        <v>0</v>
      </c>
      <c r="L19" s="20">
        <f>F19*0.0228+I14/12</f>
        <v>207.84896000000003</v>
      </c>
      <c r="M19" s="1162">
        <f>L19*B19</f>
        <v>0</v>
      </c>
      <c r="N19" s="20">
        <f>F19*0.0204+I14/12</f>
        <v>191.23328000000004</v>
      </c>
      <c r="O19" s="1162">
        <f>N19*B19</f>
        <v>0</v>
      </c>
      <c r="P19" s="20">
        <f>F19*0.0185+I14/12</f>
        <v>178.07920000000001</v>
      </c>
      <c r="Q19" s="1162">
        <f>P19*B19</f>
        <v>0</v>
      </c>
    </row>
    <row r="20" spans="1:17" s="113" customFormat="1" ht="13.5" thickBot="1">
      <c r="A20" s="1287"/>
      <c r="B20" s="1288"/>
      <c r="C20" s="261" t="s">
        <v>104</v>
      </c>
      <c r="D20" s="262" t="s">
        <v>180</v>
      </c>
      <c r="E20" s="263">
        <v>259</v>
      </c>
      <c r="F20" s="264" t="s">
        <v>162</v>
      </c>
      <c r="G20" s="1284"/>
      <c r="H20" s="265" t="s">
        <v>162</v>
      </c>
      <c r="I20" s="1284"/>
      <c r="J20" s="265" t="s">
        <v>162</v>
      </c>
      <c r="K20" s="1284"/>
      <c r="L20" s="265" t="s">
        <v>162</v>
      </c>
      <c r="M20" s="1284"/>
      <c r="N20" s="265" t="s">
        <v>162</v>
      </c>
      <c r="O20" s="1284"/>
      <c r="P20" s="265" t="s">
        <v>162</v>
      </c>
      <c r="Q20" s="1167"/>
    </row>
    <row r="21" spans="1:17" s="266" customFormat="1" ht="15.75" customHeight="1" thickBot="1">
      <c r="A21" s="1285" t="s">
        <v>182</v>
      </c>
      <c r="B21" s="1286"/>
      <c r="C21" s="1272"/>
      <c r="D21" s="1272"/>
      <c r="E21" s="1272"/>
      <c r="F21" s="1272"/>
      <c r="G21" s="1272"/>
      <c r="H21" s="1272"/>
      <c r="I21" s="1272"/>
      <c r="J21" s="1272"/>
      <c r="K21" s="1272"/>
      <c r="L21" s="1272"/>
      <c r="M21" s="1272"/>
      <c r="N21" s="1272"/>
      <c r="O21" s="1272"/>
      <c r="P21" s="1272"/>
      <c r="Q21" s="1273"/>
    </row>
    <row r="22" spans="1:17" s="151" customFormat="1" ht="15">
      <c r="A22" s="156"/>
      <c r="B22" s="106"/>
      <c r="C22" s="106"/>
      <c r="D22" s="997" t="s">
        <v>183</v>
      </c>
      <c r="E22" s="998"/>
      <c r="F22" s="1274"/>
      <c r="G22" s="9">
        <f>G19</f>
        <v>0</v>
      </c>
      <c r="H22" s="10" t="s">
        <v>185</v>
      </c>
      <c r="I22" s="9">
        <f>I19</f>
        <v>0</v>
      </c>
      <c r="J22" s="10" t="s">
        <v>186</v>
      </c>
      <c r="K22" s="9">
        <f>K19</f>
        <v>0</v>
      </c>
      <c r="L22" s="10" t="s">
        <v>187</v>
      </c>
      <c r="M22" s="9">
        <f>M19</f>
        <v>0</v>
      </c>
      <c r="N22" s="10" t="s">
        <v>94</v>
      </c>
      <c r="O22" s="9">
        <f>O19</f>
        <v>0</v>
      </c>
      <c r="P22" s="10" t="s">
        <v>826</v>
      </c>
      <c r="Q22" s="9">
        <f>Q19</f>
        <v>0</v>
      </c>
    </row>
    <row r="23" spans="1:17" s="151" customFormat="1">
      <c r="A23" s="162"/>
      <c r="B23" s="104"/>
      <c r="C23" s="104"/>
      <c r="D23" s="162"/>
      <c r="E23" s="162"/>
      <c r="F23" s="24"/>
      <c r="G23" s="24"/>
      <c r="H23" s="26"/>
      <c r="I23" s="26"/>
      <c r="J23" s="26"/>
      <c r="K23" s="26"/>
      <c r="L23" s="26"/>
      <c r="M23" s="26"/>
      <c r="N23" s="26"/>
      <c r="O23" s="26"/>
      <c r="P23" s="26"/>
      <c r="Q23" s="26"/>
    </row>
    <row r="24" spans="1:17" s="151" customFormat="1" ht="15.75">
      <c r="A24" s="104"/>
      <c r="B24" s="271"/>
      <c r="C24" s="271"/>
      <c r="D24" s="272"/>
      <c r="E24" s="272"/>
      <c r="F24" s="25"/>
      <c r="G24" s="7"/>
      <c r="H24" s="8"/>
      <c r="I24" s="8"/>
      <c r="J24" s="8"/>
      <c r="K24" s="8"/>
      <c r="L24" s="8"/>
      <c r="M24" s="8"/>
      <c r="N24" s="8"/>
      <c r="O24" s="8"/>
      <c r="P24" s="8"/>
      <c r="Q24" s="8"/>
    </row>
    <row r="25" spans="1:17" s="156" customFormat="1">
      <c r="A25" s="104"/>
      <c r="B25" s="104"/>
      <c r="C25" s="104"/>
      <c r="D25" s="104"/>
      <c r="E25" s="104"/>
      <c r="F25" s="25"/>
      <c r="G25" s="7"/>
      <c r="H25" s="8"/>
      <c r="I25" s="8"/>
      <c r="J25" s="8"/>
      <c r="K25" s="8"/>
      <c r="L25" s="8"/>
      <c r="M25" s="8"/>
      <c r="N25" s="8"/>
      <c r="O25" s="8"/>
      <c r="P25" s="8"/>
      <c r="Q25" s="8"/>
    </row>
    <row r="26" spans="1:17" s="156" customFormat="1">
      <c r="A26" s="104"/>
      <c r="B26" s="104"/>
      <c r="C26" s="104"/>
      <c r="D26" s="104"/>
      <c r="E26" s="104"/>
      <c r="F26" s="7"/>
      <c r="G26" s="7"/>
      <c r="H26" s="8"/>
      <c r="I26" s="8"/>
      <c r="J26" s="8"/>
      <c r="K26" s="8"/>
      <c r="L26" s="8"/>
      <c r="M26" s="8"/>
      <c r="N26" s="8"/>
      <c r="O26" s="8"/>
      <c r="P26" s="8"/>
      <c r="Q26" s="8"/>
    </row>
    <row r="27" spans="1:17" s="274" customFormat="1" hidden="1">
      <c r="A27" s="104"/>
      <c r="B27" s="104"/>
      <c r="C27" s="104"/>
      <c r="D27" s="104"/>
      <c r="E27" s="104"/>
      <c r="F27" s="7"/>
      <c r="G27" s="7"/>
      <c r="H27" s="8"/>
      <c r="I27" s="8"/>
      <c r="J27" s="8"/>
      <c r="K27" s="8"/>
      <c r="L27" s="8"/>
      <c r="M27" s="8"/>
      <c r="N27" s="8"/>
      <c r="O27" s="8"/>
      <c r="P27" s="8"/>
      <c r="Q27" s="8"/>
    </row>
    <row r="28" spans="1:17" s="156" customFormat="1">
      <c r="A28" s="104"/>
      <c r="B28" s="104"/>
      <c r="C28" s="104"/>
      <c r="D28" s="104"/>
      <c r="E28" s="104"/>
      <c r="F28" s="165"/>
      <c r="G28" s="7"/>
      <c r="H28" s="104"/>
      <c r="I28" s="8"/>
      <c r="J28" s="104"/>
      <c r="K28" s="8"/>
      <c r="L28" s="104"/>
      <c r="M28" s="8"/>
      <c r="N28" s="104"/>
      <c r="O28" s="8"/>
      <c r="P28" s="104"/>
      <c r="Q28" s="8"/>
    </row>
    <row r="29" spans="1:17" s="162" customFormat="1">
      <c r="A29" s="104"/>
      <c r="B29" s="104"/>
      <c r="C29" s="104"/>
      <c r="D29" s="104"/>
      <c r="E29" s="104"/>
      <c r="F29" s="165"/>
      <c r="G29" s="165"/>
      <c r="H29" s="104"/>
      <c r="I29" s="104"/>
      <c r="J29" s="104"/>
      <c r="K29" s="104"/>
      <c r="L29" s="104"/>
      <c r="M29" s="104"/>
      <c r="N29" s="104"/>
      <c r="O29" s="104"/>
      <c r="P29" s="104"/>
      <c r="Q29" s="104"/>
    </row>
    <row r="33" spans="2:12">
      <c r="L33" s="665">
        <f>F33*0.0256</f>
        <v>0</v>
      </c>
    </row>
    <row r="42" spans="2:12">
      <c r="B42" s="106"/>
      <c r="C42" s="106"/>
    </row>
  </sheetData>
  <mergeCells count="20">
    <mergeCell ref="A14:H14"/>
    <mergeCell ref="I14:Q14"/>
    <mergeCell ref="Q19:Q20"/>
    <mergeCell ref="A4:O4"/>
    <mergeCell ref="A5:O5"/>
    <mergeCell ref="H8:J8"/>
    <mergeCell ref="A12:Q12"/>
    <mergeCell ref="A13:Q13"/>
    <mergeCell ref="A21:Q21"/>
    <mergeCell ref="D22:F22"/>
    <mergeCell ref="A15:Q15"/>
    <mergeCell ref="F17:G17"/>
    <mergeCell ref="H17:Q17"/>
    <mergeCell ref="A19:A20"/>
    <mergeCell ref="B19:B20"/>
    <mergeCell ref="G19:G20"/>
    <mergeCell ref="I19:I20"/>
    <mergeCell ref="K19:K20"/>
    <mergeCell ref="M19:M20"/>
    <mergeCell ref="O19:O20"/>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tabColor rgb="FFFF0000"/>
  </sheetPr>
  <dimension ref="A1:N39"/>
  <sheetViews>
    <sheetView topLeftCell="A4" zoomScale="65" zoomScaleNormal="65" workbookViewId="0">
      <selection activeCell="P39" sqref="P38:P39"/>
    </sheetView>
  </sheetViews>
  <sheetFormatPr defaultColWidth="8.85546875" defaultRowHeight="12.75"/>
  <cols>
    <col min="1" max="1" width="15.28515625" style="104" customWidth="1"/>
    <col min="2" max="2" width="9.85546875" style="104" customWidth="1"/>
    <col min="3" max="3" width="14" style="104" customWidth="1"/>
    <col min="4" max="4" width="33.140625" style="104" customWidth="1"/>
    <col min="5" max="5" width="23.7109375" style="104" bestFit="1" customWidth="1"/>
    <col min="6" max="6" width="21.5703125" style="165" customWidth="1"/>
    <col min="7" max="7" width="54.5703125" style="165" customWidth="1"/>
    <col min="8" max="8" width="22.42578125" style="104" customWidth="1"/>
    <col min="9" max="9" width="20.85546875" style="104" customWidth="1"/>
    <col min="10" max="10" width="23" style="104" customWidth="1"/>
    <col min="11" max="11" width="20.42578125" style="104" customWidth="1"/>
    <col min="12" max="12" width="23.28515625" style="104" customWidth="1"/>
    <col min="13" max="13" width="20.85546875" style="104" customWidth="1"/>
    <col min="14" max="14" width="23.5703125" style="104" customWidth="1"/>
    <col min="15" max="16384" width="8.85546875" style="104"/>
  </cols>
  <sheetData>
    <row r="1" spans="1:14" ht="13.5" thickBot="1">
      <c r="B1" s="105"/>
      <c r="C1" s="105"/>
      <c r="D1" s="106"/>
      <c r="E1" s="106"/>
      <c r="F1" s="107"/>
      <c r="G1" s="107"/>
      <c r="H1" s="107"/>
      <c r="I1" s="107"/>
      <c r="J1" s="107"/>
      <c r="K1" s="107"/>
      <c r="L1" s="107"/>
    </row>
    <row r="2" spans="1:14" ht="9" customHeight="1">
      <c r="A2" s="108"/>
      <c r="B2" s="109"/>
      <c r="C2" s="109"/>
      <c r="D2" s="110"/>
      <c r="E2" s="110"/>
      <c r="F2" s="111"/>
      <c r="G2" s="111"/>
      <c r="H2" s="111"/>
      <c r="I2" s="112"/>
      <c r="J2" s="112"/>
      <c r="K2" s="112"/>
      <c r="L2" s="112"/>
      <c r="M2" s="108"/>
      <c r="N2" s="108"/>
    </row>
    <row r="3" spans="1:14" ht="10.5" customHeight="1">
      <c r="B3" s="105"/>
      <c r="C3" s="105"/>
      <c r="D3" s="106"/>
      <c r="E3" s="106"/>
      <c r="F3" s="107"/>
      <c r="G3" s="107"/>
      <c r="H3" s="107"/>
      <c r="I3" s="113"/>
      <c r="J3" s="113"/>
      <c r="K3" s="113"/>
      <c r="L3" s="113"/>
    </row>
    <row r="4" spans="1:14" ht="34.5">
      <c r="A4" s="1242" t="s">
        <v>982</v>
      </c>
      <c r="B4" s="979"/>
      <c r="C4" s="979"/>
      <c r="D4" s="979"/>
      <c r="E4" s="979"/>
      <c r="F4" s="979"/>
      <c r="G4" s="979"/>
      <c r="H4" s="979"/>
      <c r="I4" s="979"/>
      <c r="J4" s="979"/>
      <c r="K4" s="979"/>
      <c r="L4" s="979"/>
      <c r="M4" s="979"/>
      <c r="N4" s="979"/>
    </row>
    <row r="5" spans="1:14" s="114" customFormat="1" ht="58.5" customHeight="1">
      <c r="A5" s="1243" t="s">
        <v>987</v>
      </c>
      <c r="B5" s="1244"/>
      <c r="C5" s="1244"/>
      <c r="D5" s="1244"/>
      <c r="E5" s="1244"/>
      <c r="F5" s="1244"/>
      <c r="G5" s="1244"/>
      <c r="H5" s="1244"/>
      <c r="I5" s="1244"/>
      <c r="J5" s="1244"/>
      <c r="K5" s="1244"/>
      <c r="L5" s="1244"/>
      <c r="M5" s="1244"/>
      <c r="N5" s="1244"/>
    </row>
    <row r="6" spans="1:14" ht="9" customHeight="1" thickBot="1">
      <c r="A6" s="115"/>
      <c r="B6" s="116"/>
      <c r="C6" s="116"/>
      <c r="D6" s="117"/>
      <c r="E6" s="117"/>
      <c r="F6" s="118"/>
      <c r="G6" s="118"/>
      <c r="H6" s="118"/>
      <c r="I6" s="119"/>
      <c r="J6" s="119"/>
      <c r="K6" s="119"/>
      <c r="L6" s="119"/>
      <c r="M6" s="115"/>
      <c r="N6" s="115"/>
    </row>
    <row r="9" spans="1:14" s="113" customFormat="1" ht="14.25">
      <c r="B9" s="120"/>
      <c r="C9" s="120"/>
      <c r="D9" s="121"/>
      <c r="E9" s="121"/>
      <c r="F9" s="121"/>
      <c r="G9" s="121"/>
      <c r="H9" s="121"/>
      <c r="I9" s="121"/>
      <c r="J9" s="121"/>
      <c r="K9" s="121"/>
      <c r="L9" s="121"/>
    </row>
    <row r="10" spans="1:14" s="113" customFormat="1" ht="18">
      <c r="F10" s="173"/>
      <c r="G10" s="1245" t="s">
        <v>3</v>
      </c>
      <c r="H10" s="1245"/>
      <c r="I10" s="1245"/>
    </row>
    <row r="11" spans="1:14" s="113" customFormat="1" ht="18">
      <c r="F11" s="156"/>
      <c r="G11" s="146" t="s">
        <v>4</v>
      </c>
      <c r="H11" s="284" t="s">
        <v>989</v>
      </c>
      <c r="I11" s="285"/>
    </row>
    <row r="12" spans="1:14" s="113" customFormat="1" ht="18">
      <c r="F12" s="156"/>
      <c r="G12" s="146" t="s">
        <v>5</v>
      </c>
      <c r="H12" s="284" t="s">
        <v>988</v>
      </c>
      <c r="I12" s="285"/>
      <c r="K12" s="124"/>
    </row>
    <row r="13" spans="1:14" s="113" customFormat="1" ht="18">
      <c r="F13" s="286"/>
      <c r="G13" s="146" t="s">
        <v>8</v>
      </c>
      <c r="H13" s="287">
        <v>500</v>
      </c>
      <c r="I13" s="288"/>
      <c r="K13" s="129"/>
      <c r="L13" s="130"/>
      <c r="M13" s="104"/>
      <c r="N13" s="104"/>
    </row>
    <row r="14" spans="1:14" s="113" customFormat="1" ht="18">
      <c r="F14" s="286"/>
      <c r="G14" s="146" t="s">
        <v>9</v>
      </c>
      <c r="H14" s="284" t="s">
        <v>991</v>
      </c>
      <c r="I14" s="285"/>
      <c r="L14" s="130"/>
      <c r="M14" s="104"/>
      <c r="N14" s="104"/>
    </row>
    <row r="15" spans="1:14" s="113" customFormat="1" ht="18">
      <c r="A15" s="128"/>
      <c r="B15" s="104"/>
      <c r="C15" s="104"/>
      <c r="D15" s="104"/>
      <c r="E15" s="104"/>
      <c r="F15" s="162"/>
      <c r="G15" s="146" t="s">
        <v>10</v>
      </c>
      <c r="H15" s="284" t="s">
        <v>128</v>
      </c>
      <c r="I15" s="285"/>
      <c r="L15" s="130"/>
      <c r="M15" s="104"/>
      <c r="N15" s="104"/>
    </row>
    <row r="16" spans="1:14" s="113" customFormat="1" ht="18">
      <c r="A16" s="130"/>
      <c r="B16" s="104"/>
      <c r="C16" s="104"/>
      <c r="E16" s="104"/>
      <c r="F16" s="162"/>
      <c r="G16" s="146" t="s">
        <v>12</v>
      </c>
      <c r="H16" s="284" t="s">
        <v>990</v>
      </c>
      <c r="I16" s="285"/>
      <c r="L16" s="130"/>
      <c r="M16" s="104"/>
      <c r="N16" s="104"/>
    </row>
    <row r="17" spans="1:14" s="113" customFormat="1" ht="18">
      <c r="F17" s="286"/>
      <c r="G17" s="146" t="s">
        <v>16</v>
      </c>
      <c r="H17" s="284" t="s">
        <v>992</v>
      </c>
      <c r="I17" s="285"/>
    </row>
    <row r="18" spans="1:14" s="113" customFormat="1" ht="18">
      <c r="F18" s="286"/>
      <c r="G18" s="146" t="s">
        <v>19</v>
      </c>
      <c r="H18" s="284" t="s">
        <v>993</v>
      </c>
      <c r="I18" s="285"/>
    </row>
    <row r="19" spans="1:14" s="113" customFormat="1" ht="18">
      <c r="F19" s="121"/>
      <c r="G19" s="146" t="s">
        <v>20</v>
      </c>
      <c r="H19" s="284" t="s">
        <v>996</v>
      </c>
      <c r="I19" s="285"/>
      <c r="K19" s="124"/>
    </row>
    <row r="20" spans="1:14" s="113" customFormat="1" ht="15.75" customHeight="1">
      <c r="D20" s="136"/>
      <c r="E20" s="136"/>
      <c r="F20" s="121"/>
      <c r="G20" s="146" t="s">
        <v>21</v>
      </c>
      <c r="H20" s="284" t="s">
        <v>994</v>
      </c>
      <c r="I20" s="285"/>
    </row>
    <row r="21" spans="1:14" s="113" customFormat="1" ht="18">
      <c r="D21" s="136"/>
      <c r="E21" s="136"/>
      <c r="F21" s="121"/>
      <c r="G21" s="146" t="s">
        <v>22</v>
      </c>
      <c r="H21" s="284" t="s">
        <v>995</v>
      </c>
      <c r="I21" s="285"/>
    </row>
    <row r="22" spans="1:14" s="113" customFormat="1" ht="18">
      <c r="D22" s="136"/>
      <c r="E22" s="136"/>
      <c r="F22" s="121"/>
      <c r="G22" s="146"/>
      <c r="H22" s="284"/>
      <c r="I22" s="285"/>
    </row>
    <row r="23" spans="1:14" s="113" customFormat="1" ht="19.5" customHeight="1" thickBot="1">
      <c r="A23" s="1311" t="s">
        <v>23</v>
      </c>
      <c r="B23" s="1312"/>
      <c r="C23" s="1312"/>
      <c r="D23" s="1312"/>
      <c r="E23" s="1312"/>
      <c r="F23" s="1312"/>
      <c r="G23" s="1312"/>
      <c r="H23" s="1312"/>
      <c r="I23" s="1312"/>
      <c r="J23" s="1312"/>
      <c r="K23" s="1312"/>
      <c r="L23" s="1312"/>
      <c r="M23" s="1312"/>
      <c r="N23" s="1312"/>
    </row>
    <row r="24" spans="1:14" s="113" customFormat="1" ht="19.5" customHeight="1">
      <c r="A24" s="1313" t="s">
        <v>829</v>
      </c>
      <c r="B24" s="1314"/>
      <c r="C24" s="1314"/>
      <c r="D24" s="1314"/>
      <c r="E24" s="1314"/>
      <c r="F24" s="1314"/>
      <c r="G24" s="1314"/>
      <c r="H24" s="595"/>
      <c r="I24" s="595"/>
      <c r="J24" s="595"/>
      <c r="K24" s="595"/>
      <c r="L24" s="595"/>
      <c r="M24" s="595"/>
      <c r="N24" s="595"/>
    </row>
    <row r="25" spans="1:14" s="113" customFormat="1" ht="19.5" customHeight="1">
      <c r="A25" s="1240" t="s">
        <v>91</v>
      </c>
      <c r="B25" s="1241"/>
      <c r="C25" s="1241"/>
      <c r="D25" s="1241"/>
      <c r="E25" s="1241"/>
      <c r="F25" s="1241"/>
      <c r="G25" s="1241"/>
      <c r="H25" s="1264">
        <v>58</v>
      </c>
      <c r="I25" s="1264"/>
      <c r="J25" s="594"/>
      <c r="K25" s="594"/>
      <c r="L25" s="594"/>
      <c r="M25" s="594"/>
      <c r="N25" s="594"/>
    </row>
    <row r="26" spans="1:14" s="113" customFormat="1" ht="19.5" customHeight="1" thickBot="1">
      <c r="A26" s="1234" t="s">
        <v>0</v>
      </c>
      <c r="B26" s="1235"/>
      <c r="C26" s="1235"/>
      <c r="D26" s="1235"/>
      <c r="E26" s="1235"/>
      <c r="F26" s="1235"/>
      <c r="G26" s="1235"/>
      <c r="H26" s="1235"/>
      <c r="I26" s="1235"/>
      <c r="J26" s="1235"/>
      <c r="K26" s="1235"/>
      <c r="L26" s="1235"/>
      <c r="M26" s="1235"/>
      <c r="N26" s="1235"/>
    </row>
    <row r="27" spans="1:14" s="113" customFormat="1" ht="18" customHeight="1" thickBot="1">
      <c r="C27" s="136"/>
      <c r="D27" s="135"/>
      <c r="E27" s="146"/>
      <c r="F27" s="104"/>
      <c r="G27" s="1013"/>
      <c r="H27" s="998"/>
      <c r="I27" s="149"/>
      <c r="J27" s="150"/>
    </row>
    <row r="28" spans="1:14" s="113" customFormat="1" ht="15.75" customHeight="1" thickBot="1">
      <c r="E28" s="1007" t="s">
        <v>167</v>
      </c>
      <c r="F28" s="1089"/>
      <c r="G28" s="1002"/>
      <c r="H28" s="1002"/>
      <c r="I28" s="1002"/>
      <c r="J28" s="1003"/>
    </row>
    <row r="29" spans="1:14" s="291" customFormat="1" ht="59.25" thickBot="1">
      <c r="D29" s="292" t="s">
        <v>123</v>
      </c>
      <c r="E29" s="292" t="s">
        <v>169</v>
      </c>
      <c r="F29" s="292" t="s">
        <v>170</v>
      </c>
      <c r="G29" s="292" t="s">
        <v>171</v>
      </c>
      <c r="H29" s="292" t="s">
        <v>172</v>
      </c>
      <c r="I29" s="292" t="s">
        <v>984</v>
      </c>
      <c r="J29" s="292" t="s">
        <v>174</v>
      </c>
    </row>
    <row r="30" spans="1:14" s="293" customFormat="1" ht="91.9" customHeight="1" thickBot="1">
      <c r="D30" s="294">
        <v>49</v>
      </c>
      <c r="E30" s="294"/>
      <c r="F30" s="295" t="s">
        <v>983</v>
      </c>
      <c r="G30" s="580" t="s">
        <v>982</v>
      </c>
      <c r="H30" s="297">
        <v>378.35</v>
      </c>
      <c r="I30" s="76">
        <f>SUM(H30:H30)*(1-20%)+H25</f>
        <v>360.68</v>
      </c>
      <c r="J30" s="76">
        <f>I30*E30</f>
        <v>0</v>
      </c>
      <c r="K30" s="298"/>
    </row>
    <row r="31" spans="1:14" s="301" customFormat="1" ht="19.5" thickBot="1">
      <c r="A31" s="299"/>
      <c r="B31" s="300"/>
      <c r="C31" s="300"/>
      <c r="D31" s="1308" t="s">
        <v>182</v>
      </c>
      <c r="E31" s="1309"/>
      <c r="F31" s="1309"/>
      <c r="G31" s="1309"/>
      <c r="H31" s="1309"/>
      <c r="I31" s="1309"/>
      <c r="J31" s="1310"/>
    </row>
    <row r="32" spans="1:14" s="589" customFormat="1" ht="21" thickBot="1">
      <c r="A32" s="581"/>
      <c r="B32" s="582"/>
      <c r="C32" s="582"/>
      <c r="D32" s="583"/>
      <c r="E32" s="584"/>
      <c r="F32" s="585" t="s">
        <v>985</v>
      </c>
      <c r="G32" s="586" t="s">
        <v>986</v>
      </c>
      <c r="H32" s="587">
        <v>82.463917525773198</v>
      </c>
      <c r="I32" s="588">
        <f>H32*(1-20%)</f>
        <v>65.971134020618564</v>
      </c>
      <c r="J32" s="588">
        <f>I32*E32</f>
        <v>0</v>
      </c>
      <c r="K32" s="755">
        <f>H32/0.97</f>
        <v>85.014347964714645</v>
      </c>
    </row>
    <row r="33" spans="2:12" ht="23.25">
      <c r="C33" s="166"/>
      <c r="D33" s="308"/>
      <c r="E33" s="1258" t="s">
        <v>183</v>
      </c>
      <c r="F33" s="979"/>
      <c r="G33" s="979"/>
      <c r="H33" s="979"/>
      <c r="I33" s="979"/>
      <c r="J33" s="29">
        <f>SUM(J32:J32)+J30</f>
        <v>0</v>
      </c>
    </row>
    <row r="34" spans="2:12" ht="15.75">
      <c r="C34" s="166"/>
      <c r="D34" s="167"/>
      <c r="E34" s="168"/>
      <c r="F34" s="168"/>
    </row>
    <row r="35" spans="2:12" ht="15.75">
      <c r="C35" s="166"/>
      <c r="D35" s="167"/>
      <c r="E35" s="168"/>
      <c r="F35" s="168"/>
    </row>
    <row r="39" spans="2:12">
      <c r="B39" s="106"/>
      <c r="C39" s="106"/>
      <c r="L39" s="665">
        <f>F39*0.0256</f>
        <v>0</v>
      </c>
    </row>
  </sheetData>
  <mergeCells count="12">
    <mergeCell ref="A4:N4"/>
    <mergeCell ref="A5:N5"/>
    <mergeCell ref="G10:I10"/>
    <mergeCell ref="G27:H27"/>
    <mergeCell ref="E28:J28"/>
    <mergeCell ref="E33:I33"/>
    <mergeCell ref="D31:J31"/>
    <mergeCell ref="A23:N23"/>
    <mergeCell ref="A24:G24"/>
    <mergeCell ref="A25:G25"/>
    <mergeCell ref="A26:N26"/>
    <mergeCell ref="H25:I25"/>
  </mergeCells>
  <pageMargins left="0.52" right="0.19" top="0.47" bottom="0.43" header="0.3" footer="0.22"/>
  <pageSetup scale="41" firstPageNumber="6" orientation="landscape" useFirstPageNumber="1" r:id="rId1"/>
  <headerFooter alignWithMargins="0">
    <oddHeader>&amp;L&amp;"Arial,Bold"VITA CONTRACT #: VA-191121-VBS</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4">
    <tabColor indexed="62"/>
  </sheetPr>
  <dimension ref="A1:S113"/>
  <sheetViews>
    <sheetView topLeftCell="A29" zoomScale="112" zoomScaleNormal="112" workbookViewId="0">
      <selection activeCell="D33" sqref="D33"/>
    </sheetView>
  </sheetViews>
  <sheetFormatPr defaultColWidth="8.85546875" defaultRowHeight="12.75"/>
  <cols>
    <col min="1" max="1" width="15" style="104" customWidth="1"/>
    <col min="2" max="2" width="10" style="104" customWidth="1"/>
    <col min="3" max="3" width="20.7109375" style="104" customWidth="1"/>
    <col min="4" max="4" width="44.42578125" style="104" customWidth="1"/>
    <col min="5" max="5" width="17.42578125" style="104" customWidth="1"/>
    <col min="6" max="6" width="15.5703125" style="165" customWidth="1"/>
    <col min="7" max="7" width="23.42578125" style="165" customWidth="1"/>
    <col min="8" max="8" width="28.28515625" style="104" bestFit="1" customWidth="1"/>
    <col min="9" max="9" width="19" style="104" customWidth="1"/>
    <col min="10" max="10" width="25" style="104" bestFit="1" customWidth="1"/>
    <col min="11" max="11" width="19" style="104" customWidth="1"/>
    <col min="12" max="12" width="25" style="104" bestFit="1" customWidth="1"/>
    <col min="13" max="13" width="18.42578125" style="104" customWidth="1"/>
    <col min="14" max="14" width="25" style="104" bestFit="1" customWidth="1"/>
    <col min="15" max="15" width="19.28515625" style="104" customWidth="1"/>
    <col min="16" max="16" width="25" style="104" bestFit="1" customWidth="1"/>
    <col min="17" max="17" width="19.28515625" style="104" customWidth="1"/>
    <col min="18" max="18" width="10.28515625" style="104" bestFit="1" customWidth="1"/>
    <col min="19" max="16384" width="8.85546875" style="104"/>
  </cols>
  <sheetData>
    <row r="1" spans="1:18" ht="13.5" thickBot="1">
      <c r="B1" s="105"/>
      <c r="C1" s="105"/>
      <c r="D1" s="106"/>
      <c r="E1" s="106"/>
      <c r="F1" s="107"/>
      <c r="G1" s="107"/>
      <c r="H1" s="107"/>
      <c r="I1" s="107"/>
      <c r="J1" s="107"/>
      <c r="K1" s="106"/>
      <c r="L1" s="107"/>
    </row>
    <row r="2" spans="1:18" ht="9" customHeight="1">
      <c r="A2" s="108"/>
      <c r="B2" s="109"/>
      <c r="C2" s="109"/>
      <c r="D2" s="110"/>
      <c r="E2" s="110"/>
      <c r="F2" s="111"/>
      <c r="G2" s="111"/>
      <c r="H2" s="111"/>
      <c r="I2" s="112"/>
      <c r="J2" s="112"/>
      <c r="K2" s="112"/>
      <c r="L2" s="112"/>
      <c r="M2" s="108"/>
      <c r="N2" s="108"/>
      <c r="O2" s="108"/>
      <c r="P2" s="108"/>
      <c r="Q2" s="108"/>
    </row>
    <row r="3" spans="1:18" ht="10.5" customHeight="1">
      <c r="B3" s="105"/>
      <c r="C3" s="105"/>
      <c r="D3" s="106"/>
      <c r="E3" s="106"/>
      <c r="F3" s="107"/>
      <c r="G3" s="107"/>
      <c r="H3" s="107"/>
      <c r="I3" s="113"/>
      <c r="J3" s="113"/>
      <c r="K3" s="113"/>
      <c r="L3" s="113"/>
    </row>
    <row r="4" spans="1:18" ht="36" customHeight="1">
      <c r="A4" s="1175" t="s">
        <v>4063</v>
      </c>
      <c r="B4" s="979"/>
      <c r="C4" s="979"/>
      <c r="D4" s="979"/>
      <c r="E4" s="979"/>
      <c r="F4" s="979"/>
      <c r="G4" s="979"/>
      <c r="H4" s="979"/>
      <c r="I4" s="979"/>
      <c r="J4" s="979"/>
      <c r="K4" s="979"/>
      <c r="L4" s="979"/>
      <c r="M4" s="979"/>
      <c r="N4" s="979"/>
      <c r="O4" s="979"/>
    </row>
    <row r="5" spans="1:18" s="114" customFormat="1" ht="41.25" customHeight="1">
      <c r="A5" s="1276" t="s">
        <v>466</v>
      </c>
      <c r="B5" s="1213"/>
      <c r="C5" s="1213"/>
      <c r="D5" s="1213"/>
      <c r="E5" s="1213"/>
      <c r="F5" s="1213"/>
      <c r="G5" s="1213"/>
      <c r="H5" s="1213"/>
      <c r="I5" s="1213"/>
      <c r="J5" s="1213"/>
      <c r="K5" s="1213"/>
      <c r="L5" s="1213"/>
      <c r="M5" s="1213"/>
      <c r="N5" s="1213"/>
      <c r="O5" s="1213"/>
    </row>
    <row r="6" spans="1:18" ht="9" customHeight="1" thickBot="1">
      <c r="A6" s="115"/>
      <c r="B6" s="115"/>
      <c r="C6" s="115"/>
      <c r="D6" s="115"/>
      <c r="E6" s="115"/>
      <c r="F6" s="115"/>
      <c r="G6" s="115"/>
      <c r="H6" s="115"/>
      <c r="I6" s="115"/>
      <c r="J6" s="115"/>
      <c r="K6" s="115"/>
      <c r="L6" s="119"/>
      <c r="M6" s="115"/>
      <c r="N6" s="115"/>
      <c r="O6" s="115"/>
      <c r="P6" s="115"/>
      <c r="Q6" s="115"/>
    </row>
    <row r="7" spans="1:18" s="113" customFormat="1" ht="14.25">
      <c r="B7" s="120"/>
      <c r="C7" s="120"/>
      <c r="D7" s="121"/>
      <c r="E7" s="121"/>
      <c r="F7" s="121"/>
      <c r="G7" s="121"/>
      <c r="H7" s="121"/>
      <c r="I7" s="121"/>
      <c r="J7" s="121"/>
      <c r="K7" s="121"/>
      <c r="L7" s="121"/>
      <c r="M7" s="121"/>
      <c r="N7" s="121"/>
      <c r="O7" s="121"/>
      <c r="P7" s="121"/>
      <c r="Q7" s="121"/>
      <c r="R7" s="121"/>
    </row>
    <row r="8" spans="1:18" s="113" customFormat="1" ht="14.25">
      <c r="F8" s="249"/>
      <c r="G8" s="249"/>
      <c r="H8" s="980" t="s">
        <v>3</v>
      </c>
      <c r="I8" s="980"/>
      <c r="J8" s="980"/>
      <c r="K8" s="173"/>
    </row>
    <row r="9" spans="1:18" s="113" customFormat="1" ht="14.25">
      <c r="H9" s="122" t="s">
        <v>4</v>
      </c>
      <c r="I9" s="124" t="s">
        <v>127</v>
      </c>
      <c r="J9" s="124"/>
      <c r="L9" s="124"/>
    </row>
    <row r="10" spans="1:18" s="113" customFormat="1">
      <c r="H10" s="123" t="s">
        <v>143</v>
      </c>
      <c r="I10" s="124" t="s">
        <v>144</v>
      </c>
      <c r="J10" s="124"/>
      <c r="L10" s="124"/>
    </row>
    <row r="11" spans="1:18" s="113" customFormat="1">
      <c r="F11" s="249"/>
      <c r="G11" s="1315" t="s">
        <v>214</v>
      </c>
      <c r="H11" s="979"/>
      <c r="I11" s="124" t="s">
        <v>145</v>
      </c>
      <c r="J11" s="124"/>
      <c r="K11" s="131"/>
      <c r="L11" s="124"/>
    </row>
    <row r="12" spans="1:18" s="113" customFormat="1">
      <c r="F12" s="249"/>
      <c r="G12" s="249"/>
      <c r="H12" s="123" t="s">
        <v>8</v>
      </c>
      <c r="I12" s="124" t="s">
        <v>146</v>
      </c>
      <c r="J12" s="124"/>
      <c r="L12" s="124"/>
    </row>
    <row r="13" spans="1:18" s="113" customFormat="1">
      <c r="F13" s="249"/>
      <c r="G13" s="249"/>
      <c r="H13" s="123" t="s">
        <v>9</v>
      </c>
      <c r="I13" s="124" t="s">
        <v>467</v>
      </c>
      <c r="J13" s="124"/>
      <c r="L13" s="124"/>
    </row>
    <row r="14" spans="1:18" s="113" customFormat="1">
      <c r="B14" s="252"/>
      <c r="C14" s="252"/>
      <c r="F14" s="249"/>
      <c r="G14" s="249"/>
      <c r="H14" s="123" t="s">
        <v>10</v>
      </c>
      <c r="I14" s="124" t="s">
        <v>148</v>
      </c>
      <c r="J14" s="124"/>
      <c r="L14" s="124"/>
    </row>
    <row r="15" spans="1:18" s="113" customFormat="1">
      <c r="F15" s="253"/>
      <c r="G15" s="253"/>
      <c r="H15" s="123" t="s">
        <v>11</v>
      </c>
      <c r="I15" s="124" t="s">
        <v>149</v>
      </c>
      <c r="J15" s="124"/>
      <c r="L15" s="124"/>
    </row>
    <row r="16" spans="1:18" s="113" customFormat="1">
      <c r="F16" s="249"/>
      <c r="G16" s="249"/>
      <c r="H16" s="123" t="s">
        <v>12</v>
      </c>
      <c r="I16" s="124" t="s">
        <v>468</v>
      </c>
      <c r="J16" s="124"/>
      <c r="L16" s="124"/>
    </row>
    <row r="17" spans="1:19" s="113" customFormat="1">
      <c r="F17" s="249"/>
      <c r="G17" s="249"/>
      <c r="H17" s="123" t="s">
        <v>13</v>
      </c>
      <c r="I17" s="124" t="s">
        <v>150</v>
      </c>
      <c r="J17" s="124"/>
      <c r="L17" s="124"/>
    </row>
    <row r="18" spans="1:19" s="113" customFormat="1">
      <c r="I18" s="113" t="s">
        <v>151</v>
      </c>
    </row>
    <row r="19" spans="1:19" s="113" customFormat="1">
      <c r="I19" s="113" t="s">
        <v>152</v>
      </c>
    </row>
    <row r="20" spans="1:19" s="113" customFormat="1">
      <c r="H20" s="123" t="s">
        <v>15</v>
      </c>
      <c r="I20" s="113" t="s">
        <v>153</v>
      </c>
    </row>
    <row r="21" spans="1:19" s="113" customFormat="1">
      <c r="H21" s="123" t="s">
        <v>16</v>
      </c>
      <c r="I21" s="113" t="s">
        <v>154</v>
      </c>
    </row>
    <row r="22" spans="1:19" s="113" customFormat="1" ht="14.25">
      <c r="D22" s="1071"/>
      <c r="E22" s="136"/>
      <c r="H22" s="123" t="s">
        <v>18</v>
      </c>
      <c r="I22" s="113" t="s">
        <v>155</v>
      </c>
    </row>
    <row r="23" spans="1:19" s="113" customFormat="1" ht="14.25">
      <c r="D23" s="1071"/>
      <c r="E23" s="136"/>
      <c r="H23" s="123" t="s">
        <v>19</v>
      </c>
      <c r="I23" s="113" t="s">
        <v>469</v>
      </c>
    </row>
    <row r="24" spans="1:19" s="113" customFormat="1">
      <c r="F24" s="249"/>
      <c r="G24" s="249"/>
      <c r="H24" s="123" t="s">
        <v>20</v>
      </c>
      <c r="I24" s="113" t="s">
        <v>156</v>
      </c>
    </row>
    <row r="25" spans="1:19" s="113" customFormat="1">
      <c r="F25" s="249"/>
      <c r="G25" s="249"/>
      <c r="H25" s="123" t="s">
        <v>21</v>
      </c>
      <c r="I25" s="124" t="s">
        <v>470</v>
      </c>
      <c r="J25" s="124"/>
      <c r="L25" s="124"/>
    </row>
    <row r="26" spans="1:19" s="113" customFormat="1" ht="12" customHeight="1">
      <c r="F26" s="249"/>
      <c r="G26" s="249"/>
      <c r="H26" s="123" t="s">
        <v>22</v>
      </c>
      <c r="I26" s="124" t="s">
        <v>471</v>
      </c>
      <c r="J26" s="124"/>
      <c r="L26" s="124"/>
    </row>
    <row r="27" spans="1:19" s="387" customFormat="1" ht="15.6" customHeight="1" thickBot="1">
      <c r="A27" s="1188" t="s">
        <v>23</v>
      </c>
      <c r="B27" s="1188"/>
      <c r="C27" s="1188"/>
      <c r="D27" s="1188"/>
      <c r="E27" s="1188"/>
      <c r="F27" s="1188"/>
      <c r="G27" s="1188"/>
      <c r="H27" s="1188"/>
      <c r="I27" s="1188"/>
      <c r="J27" s="1188"/>
      <c r="K27" s="1188"/>
      <c r="L27" s="1188"/>
      <c r="M27" s="1188"/>
      <c r="N27" s="1188"/>
      <c r="O27" s="1188"/>
      <c r="P27" s="1188"/>
      <c r="Q27" s="1188"/>
      <c r="R27" s="378"/>
      <c r="S27" s="378"/>
    </row>
    <row r="28" spans="1:19" s="387" customFormat="1" ht="30.4" customHeight="1" thickBot="1">
      <c r="A28" s="1316" t="s">
        <v>887</v>
      </c>
      <c r="B28" s="1317"/>
      <c r="C28" s="1317"/>
      <c r="D28" s="1317"/>
      <c r="E28" s="1317"/>
      <c r="F28" s="1317"/>
      <c r="G28" s="1317"/>
      <c r="H28" s="1317"/>
      <c r="I28" s="1317"/>
      <c r="J28" s="1317"/>
      <c r="K28" s="1317"/>
      <c r="L28" s="1317"/>
      <c r="M28" s="1317"/>
      <c r="N28" s="1317"/>
      <c r="O28" s="1317"/>
      <c r="P28" s="1317"/>
      <c r="Q28" s="1318"/>
      <c r="R28" s="564"/>
      <c r="S28" s="564"/>
    </row>
    <row r="29" spans="1:19" s="387" customFormat="1" ht="13.9" customHeight="1">
      <c r="A29" s="564"/>
      <c r="B29" s="564"/>
      <c r="C29" s="564"/>
      <c r="D29" s="564"/>
      <c r="E29" s="564"/>
      <c r="F29" s="564"/>
      <c r="G29" s="564"/>
      <c r="H29" s="564"/>
      <c r="I29" s="564"/>
      <c r="J29" s="564"/>
      <c r="K29" s="564"/>
      <c r="L29" s="564"/>
      <c r="M29" s="564"/>
      <c r="N29" s="564"/>
      <c r="O29" s="564"/>
      <c r="P29" s="564"/>
      <c r="Q29" s="564"/>
      <c r="R29" s="564"/>
      <c r="S29" s="564"/>
    </row>
    <row r="30" spans="1:19" s="113" customFormat="1" ht="15" thickBot="1">
      <c r="D30" s="136"/>
      <c r="E30" s="136"/>
      <c r="F30" s="135"/>
      <c r="G30" s="135"/>
      <c r="I30" s="150"/>
      <c r="J30" s="150"/>
      <c r="K30" s="150"/>
      <c r="L30" s="150"/>
    </row>
    <row r="31" spans="1:19" s="113" customFormat="1" ht="13.5" thickBot="1">
      <c r="F31" s="1217" t="s">
        <v>167</v>
      </c>
      <c r="G31" s="1008"/>
      <c r="H31" s="1009" t="s">
        <v>168</v>
      </c>
      <c r="I31" s="1010"/>
      <c r="J31" s="1010"/>
      <c r="K31" s="1010"/>
      <c r="L31" s="1010"/>
      <c r="M31" s="1010"/>
      <c r="N31" s="1010"/>
      <c r="O31" s="1010"/>
      <c r="P31" s="1010"/>
      <c r="Q31" s="1301"/>
    </row>
    <row r="32" spans="1:19" s="113" customFormat="1" ht="57.75" customHeight="1" thickBot="1">
      <c r="A32" s="254" t="s">
        <v>122</v>
      </c>
      <c r="B32" s="254" t="s">
        <v>169</v>
      </c>
      <c r="C32" s="255" t="s">
        <v>170</v>
      </c>
      <c r="D32" s="255" t="s">
        <v>171</v>
      </c>
      <c r="E32" s="255" t="s">
        <v>172</v>
      </c>
      <c r="F32" s="255" t="s">
        <v>173</v>
      </c>
      <c r="G32" s="254" t="s">
        <v>174</v>
      </c>
      <c r="H32" s="255" t="s">
        <v>176</v>
      </c>
      <c r="I32" s="254" t="s">
        <v>174</v>
      </c>
      <c r="J32" s="255" t="s">
        <v>177</v>
      </c>
      <c r="K32" s="254" t="s">
        <v>174</v>
      </c>
      <c r="L32" s="255" t="s">
        <v>178</v>
      </c>
      <c r="M32" s="254" t="s">
        <v>174</v>
      </c>
      <c r="N32" s="255" t="s">
        <v>157</v>
      </c>
      <c r="O32" s="254" t="s">
        <v>174</v>
      </c>
      <c r="P32" s="255" t="s">
        <v>824</v>
      </c>
      <c r="Q32" s="254" t="s">
        <v>174</v>
      </c>
    </row>
    <row r="33" spans="1:18" s="113" customFormat="1" ht="38.25" customHeight="1" thickBot="1">
      <c r="A33" s="1287" t="s">
        <v>997</v>
      </c>
      <c r="B33" s="1288"/>
      <c r="C33" s="258" t="s">
        <v>4062</v>
      </c>
      <c r="D33" s="259" t="s">
        <v>4061</v>
      </c>
      <c r="E33" s="260">
        <v>44100</v>
      </c>
      <c r="F33" s="19">
        <f>SUM(E33:E34)*(1-65%)</f>
        <v>15525.65</v>
      </c>
      <c r="G33" s="1162">
        <f>F33*B33</f>
        <v>0</v>
      </c>
      <c r="H33" s="19">
        <f>F33*0.03137</f>
        <v>487.03964050000002</v>
      </c>
      <c r="I33" s="1162">
        <f>H33*B33</f>
        <v>0</v>
      </c>
      <c r="J33" s="19">
        <f>F33*0.0274</f>
        <v>425.40280999999999</v>
      </c>
      <c r="K33" s="1162">
        <f>J33*B33</f>
        <v>0</v>
      </c>
      <c r="L33" s="20">
        <f>F33*0.0228</f>
        <v>353.98482000000001</v>
      </c>
      <c r="M33" s="1162">
        <f>L33*B33</f>
        <v>0</v>
      </c>
      <c r="N33" s="20">
        <f>F33*0.0204</f>
        <v>316.72326000000004</v>
      </c>
      <c r="O33" s="1162">
        <f>N33*B33</f>
        <v>0</v>
      </c>
      <c r="P33" s="20">
        <f>F33*0.0185</f>
        <v>287.22452499999997</v>
      </c>
      <c r="Q33" s="1162">
        <f>P33*B33</f>
        <v>0</v>
      </c>
    </row>
    <row r="34" spans="1:18" s="113" customFormat="1" ht="12.75" customHeight="1" thickBot="1">
      <c r="A34" s="1319"/>
      <c r="B34" s="1320"/>
      <c r="C34" s="261" t="s">
        <v>104</v>
      </c>
      <c r="D34" s="262" t="s">
        <v>180</v>
      </c>
      <c r="E34" s="263">
        <v>259</v>
      </c>
      <c r="F34" s="264" t="s">
        <v>162</v>
      </c>
      <c r="G34" s="1284"/>
      <c r="H34" s="265" t="s">
        <v>162</v>
      </c>
      <c r="I34" s="1284"/>
      <c r="J34" s="265" t="s">
        <v>162</v>
      </c>
      <c r="K34" s="1284"/>
      <c r="L34" s="265" t="s">
        <v>162</v>
      </c>
      <c r="M34" s="1284"/>
      <c r="N34" s="265" t="s">
        <v>162</v>
      </c>
      <c r="O34" s="1284"/>
      <c r="P34" s="265" t="s">
        <v>162</v>
      </c>
      <c r="Q34" s="1167"/>
    </row>
    <row r="35" spans="1:18" s="266" customFormat="1" ht="15.75" customHeight="1" thickBot="1">
      <c r="A35" s="1001" t="s">
        <v>182</v>
      </c>
      <c r="B35" s="1304"/>
      <c r="C35" s="1304"/>
      <c r="D35" s="1304"/>
      <c r="E35" s="1304"/>
      <c r="F35" s="1304"/>
      <c r="G35" s="1304"/>
      <c r="H35" s="1304"/>
      <c r="I35" s="1304"/>
      <c r="J35" s="1304"/>
      <c r="K35" s="1304"/>
      <c r="L35" s="1304"/>
      <c r="M35" s="1304"/>
      <c r="N35" s="1304"/>
      <c r="O35" s="1304"/>
      <c r="P35" s="1304"/>
      <c r="Q35" s="1305"/>
    </row>
    <row r="36" spans="1:18" s="266" customFormat="1" ht="15" thickBot="1">
      <c r="A36" s="1321"/>
      <c r="B36" s="646"/>
      <c r="C36" s="647" t="s">
        <v>604</v>
      </c>
      <c r="D36" s="648" t="s">
        <v>4076</v>
      </c>
      <c r="E36" s="649">
        <v>1629.7422680412371</v>
      </c>
      <c r="F36" s="2">
        <f t="shared" ref="F36:F67" si="0">E36*(1-45%)</f>
        <v>896.35824742268051</v>
      </c>
      <c r="G36" s="2">
        <f t="shared" ref="G36:G67" si="1">F36*B36</f>
        <v>0</v>
      </c>
      <c r="H36" s="21">
        <f t="shared" ref="H36:H67" si="2">F36*0.03137</f>
        <v>28.11875822164949</v>
      </c>
      <c r="I36" s="2">
        <f t="shared" ref="I36:I67" si="3">H36*B36</f>
        <v>0</v>
      </c>
      <c r="J36" s="21">
        <f t="shared" ref="J36:J67" si="4">F36*0.0274</f>
        <v>24.560215979381447</v>
      </c>
      <c r="K36" s="22">
        <f t="shared" ref="K36:K67" si="5">J36*B36</f>
        <v>0</v>
      </c>
      <c r="L36" s="21">
        <f t="shared" ref="L36:L67" si="6">F36*0.0228</f>
        <v>20.436968041237115</v>
      </c>
      <c r="M36" s="21">
        <f t="shared" ref="M36:M67" si="7">L36*B36</f>
        <v>0</v>
      </c>
      <c r="N36" s="21">
        <f t="shared" ref="N36:N67" si="8">F36*0.0204</f>
        <v>18.285708247422683</v>
      </c>
      <c r="O36" s="21">
        <f t="shared" ref="O36:O67" si="9">N36*B36</f>
        <v>0</v>
      </c>
      <c r="P36" s="21">
        <f t="shared" ref="P36:P67" si="10">F36*0.0185</f>
        <v>16.582627577319588</v>
      </c>
      <c r="Q36" s="576">
        <f t="shared" ref="Q36:Q67" si="11">P36*B36</f>
        <v>0</v>
      </c>
      <c r="R36" s="740"/>
    </row>
    <row r="37" spans="1:18" s="266" customFormat="1" ht="15" thickBot="1">
      <c r="A37" s="1321"/>
      <c r="B37" s="221"/>
      <c r="C37" s="275" t="s">
        <v>605</v>
      </c>
      <c r="D37" s="276" t="s">
        <v>4077</v>
      </c>
      <c r="E37" s="277">
        <v>1629.7422680412371</v>
      </c>
      <c r="F37" s="3">
        <f t="shared" si="0"/>
        <v>896.35824742268051</v>
      </c>
      <c r="G37" s="3">
        <f t="shared" si="1"/>
        <v>0</v>
      </c>
      <c r="H37" s="21">
        <f t="shared" si="2"/>
        <v>28.11875822164949</v>
      </c>
      <c r="I37" s="2">
        <f t="shared" si="3"/>
        <v>0</v>
      </c>
      <c r="J37" s="21">
        <f t="shared" si="4"/>
        <v>24.560215979381447</v>
      </c>
      <c r="K37" s="22">
        <f t="shared" si="5"/>
        <v>0</v>
      </c>
      <c r="L37" s="21">
        <f t="shared" si="6"/>
        <v>20.436968041237115</v>
      </c>
      <c r="M37" s="21">
        <f t="shared" si="7"/>
        <v>0</v>
      </c>
      <c r="N37" s="21">
        <f t="shared" si="8"/>
        <v>18.285708247422683</v>
      </c>
      <c r="O37" s="21">
        <f t="shared" si="9"/>
        <v>0</v>
      </c>
      <c r="P37" s="21">
        <f t="shared" si="10"/>
        <v>16.582627577319588</v>
      </c>
      <c r="Q37" s="576">
        <f t="shared" si="11"/>
        <v>0</v>
      </c>
      <c r="R37" s="740"/>
    </row>
    <row r="38" spans="1:18" s="266" customFormat="1" ht="15" thickBot="1">
      <c r="A38" s="1321"/>
      <c r="B38" s="221"/>
      <c r="C38" s="275" t="s">
        <v>606</v>
      </c>
      <c r="D38" s="276" t="s">
        <v>4078</v>
      </c>
      <c r="E38" s="277">
        <v>1629.7422680412371</v>
      </c>
      <c r="F38" s="3">
        <f t="shared" si="0"/>
        <v>896.35824742268051</v>
      </c>
      <c r="G38" s="3">
        <f t="shared" si="1"/>
        <v>0</v>
      </c>
      <c r="H38" s="21">
        <f t="shared" si="2"/>
        <v>28.11875822164949</v>
      </c>
      <c r="I38" s="2">
        <f t="shared" si="3"/>
        <v>0</v>
      </c>
      <c r="J38" s="21">
        <f t="shared" si="4"/>
        <v>24.560215979381447</v>
      </c>
      <c r="K38" s="22">
        <f t="shared" si="5"/>
        <v>0</v>
      </c>
      <c r="L38" s="21">
        <f t="shared" si="6"/>
        <v>20.436968041237115</v>
      </c>
      <c r="M38" s="21">
        <f t="shared" si="7"/>
        <v>0</v>
      </c>
      <c r="N38" s="21">
        <f t="shared" si="8"/>
        <v>18.285708247422683</v>
      </c>
      <c r="O38" s="21">
        <f t="shared" si="9"/>
        <v>0</v>
      </c>
      <c r="P38" s="21">
        <f t="shared" si="10"/>
        <v>16.582627577319588</v>
      </c>
      <c r="Q38" s="576">
        <f t="shared" si="11"/>
        <v>0</v>
      </c>
      <c r="R38" s="740"/>
    </row>
    <row r="39" spans="1:18" s="266" customFormat="1" ht="15" thickBot="1">
      <c r="A39" s="1321"/>
      <c r="B39" s="221"/>
      <c r="C39" s="275" t="s">
        <v>607</v>
      </c>
      <c r="D39" s="276" t="s">
        <v>4079</v>
      </c>
      <c r="E39" s="277">
        <v>1547.2268041237114</v>
      </c>
      <c r="F39" s="3">
        <f t="shared" si="0"/>
        <v>850.97474226804138</v>
      </c>
      <c r="G39" s="3">
        <f t="shared" si="1"/>
        <v>0</v>
      </c>
      <c r="H39" s="21">
        <f t="shared" si="2"/>
        <v>26.69507766494846</v>
      </c>
      <c r="I39" s="2">
        <f t="shared" si="3"/>
        <v>0</v>
      </c>
      <c r="J39" s="21">
        <f>F39*0.02564</f>
        <v>21.81899239175258</v>
      </c>
      <c r="K39" s="22">
        <f t="shared" si="5"/>
        <v>0</v>
      </c>
      <c r="L39" s="21">
        <f>F39*0.0256</f>
        <v>21.784953402061859</v>
      </c>
      <c r="M39" s="21">
        <f t="shared" si="7"/>
        <v>0</v>
      </c>
      <c r="N39" s="21">
        <f t="shared" si="8"/>
        <v>17.359884742268047</v>
      </c>
      <c r="O39" s="21">
        <f t="shared" si="9"/>
        <v>0</v>
      </c>
      <c r="P39" s="21">
        <f t="shared" si="10"/>
        <v>15.743032731958765</v>
      </c>
      <c r="Q39" s="576">
        <f t="shared" si="11"/>
        <v>0</v>
      </c>
      <c r="R39" s="740"/>
    </row>
    <row r="40" spans="1:18" s="266" customFormat="1" ht="15" thickBot="1">
      <c r="A40" s="1321"/>
      <c r="B40" s="221"/>
      <c r="C40" s="275" t="s">
        <v>608</v>
      </c>
      <c r="D40" s="276" t="s">
        <v>4080</v>
      </c>
      <c r="E40" s="277">
        <v>1547.2268041237114</v>
      </c>
      <c r="F40" s="3">
        <f t="shared" si="0"/>
        <v>850.97474226804138</v>
      </c>
      <c r="G40" s="3">
        <f t="shared" si="1"/>
        <v>0</v>
      </c>
      <c r="H40" s="21">
        <f t="shared" si="2"/>
        <v>26.69507766494846</v>
      </c>
      <c r="I40" s="2">
        <f t="shared" si="3"/>
        <v>0</v>
      </c>
      <c r="J40" s="21">
        <f>F40*0.02564</f>
        <v>21.81899239175258</v>
      </c>
      <c r="K40" s="22">
        <f t="shared" si="5"/>
        <v>0</v>
      </c>
      <c r="L40" s="21">
        <f t="shared" si="6"/>
        <v>19.402224123711346</v>
      </c>
      <c r="M40" s="21">
        <f t="shared" si="7"/>
        <v>0</v>
      </c>
      <c r="N40" s="21">
        <f t="shared" si="8"/>
        <v>17.359884742268047</v>
      </c>
      <c r="O40" s="21">
        <f t="shared" si="9"/>
        <v>0</v>
      </c>
      <c r="P40" s="21">
        <f t="shared" si="10"/>
        <v>15.743032731958765</v>
      </c>
      <c r="Q40" s="576">
        <f t="shared" si="11"/>
        <v>0</v>
      </c>
      <c r="R40" s="740"/>
    </row>
    <row r="41" spans="1:18" s="156" customFormat="1" ht="13.5" customHeight="1" thickBot="1">
      <c r="A41" s="1321"/>
      <c r="B41" s="221"/>
      <c r="C41" s="275" t="s">
        <v>609</v>
      </c>
      <c r="D41" s="276" t="s">
        <v>4081</v>
      </c>
      <c r="E41" s="277">
        <v>1547.2268041237114</v>
      </c>
      <c r="F41" s="3">
        <f t="shared" si="0"/>
        <v>850.97474226804138</v>
      </c>
      <c r="G41" s="3">
        <f t="shared" si="1"/>
        <v>0</v>
      </c>
      <c r="H41" s="21">
        <f t="shared" si="2"/>
        <v>26.69507766494846</v>
      </c>
      <c r="I41" s="2">
        <f t="shared" si="3"/>
        <v>0</v>
      </c>
      <c r="J41" s="21">
        <f t="shared" si="4"/>
        <v>23.316707938144333</v>
      </c>
      <c r="K41" s="22">
        <f t="shared" si="5"/>
        <v>0</v>
      </c>
      <c r="L41" s="21">
        <f t="shared" si="6"/>
        <v>19.402224123711346</v>
      </c>
      <c r="M41" s="21">
        <f t="shared" si="7"/>
        <v>0</v>
      </c>
      <c r="N41" s="21">
        <f t="shared" si="8"/>
        <v>17.359884742268047</v>
      </c>
      <c r="O41" s="21">
        <f t="shared" si="9"/>
        <v>0</v>
      </c>
      <c r="P41" s="21">
        <f t="shared" si="10"/>
        <v>15.743032731958765</v>
      </c>
      <c r="Q41" s="576">
        <f t="shared" si="11"/>
        <v>0</v>
      </c>
      <c r="R41" s="740"/>
    </row>
    <row r="42" spans="1:18" s="151" customFormat="1" ht="13.5" thickBot="1">
      <c r="A42" s="1321"/>
      <c r="B42" s="221"/>
      <c r="C42" s="278" t="s">
        <v>610</v>
      </c>
      <c r="D42" s="279" t="s">
        <v>4082</v>
      </c>
      <c r="E42" s="263">
        <v>1629.7422680412371</v>
      </c>
      <c r="F42" s="3">
        <f t="shared" si="0"/>
        <v>896.35824742268051</v>
      </c>
      <c r="G42" s="3">
        <f t="shared" si="1"/>
        <v>0</v>
      </c>
      <c r="H42" s="21">
        <f t="shared" si="2"/>
        <v>28.11875822164949</v>
      </c>
      <c r="I42" s="2">
        <f t="shared" si="3"/>
        <v>0</v>
      </c>
      <c r="J42" s="21">
        <f t="shared" si="4"/>
        <v>24.560215979381447</v>
      </c>
      <c r="K42" s="22">
        <f t="shared" si="5"/>
        <v>0</v>
      </c>
      <c r="L42" s="21">
        <f t="shared" si="6"/>
        <v>20.436968041237115</v>
      </c>
      <c r="M42" s="21">
        <f t="shared" si="7"/>
        <v>0</v>
      </c>
      <c r="N42" s="21">
        <f t="shared" si="8"/>
        <v>18.285708247422683</v>
      </c>
      <c r="O42" s="21">
        <f t="shared" si="9"/>
        <v>0</v>
      </c>
      <c r="P42" s="21">
        <f t="shared" si="10"/>
        <v>16.582627577319588</v>
      </c>
      <c r="Q42" s="576">
        <f t="shared" si="11"/>
        <v>0</v>
      </c>
      <c r="R42" s="740"/>
    </row>
    <row r="43" spans="1:18" s="151" customFormat="1" ht="15" thickBot="1">
      <c r="A43" s="1321"/>
      <c r="B43" s="221"/>
      <c r="C43" s="275" t="s">
        <v>611</v>
      </c>
      <c r="D43" s="276" t="s">
        <v>4083</v>
      </c>
      <c r="E43" s="277">
        <v>1423.4639175257732</v>
      </c>
      <c r="F43" s="3">
        <f t="shared" si="0"/>
        <v>782.90515463917529</v>
      </c>
      <c r="G43" s="3">
        <f t="shared" si="1"/>
        <v>0</v>
      </c>
      <c r="H43" s="21">
        <f t="shared" si="2"/>
        <v>24.55973470103093</v>
      </c>
      <c r="I43" s="2">
        <f t="shared" si="3"/>
        <v>0</v>
      </c>
      <c r="J43" s="21">
        <f t="shared" si="4"/>
        <v>21.451601237113405</v>
      </c>
      <c r="K43" s="22">
        <f t="shared" si="5"/>
        <v>0</v>
      </c>
      <c r="L43" s="21">
        <f t="shared" si="6"/>
        <v>17.850237525773199</v>
      </c>
      <c r="M43" s="21">
        <f t="shared" si="7"/>
        <v>0</v>
      </c>
      <c r="N43" s="21">
        <f t="shared" si="8"/>
        <v>15.971265154639177</v>
      </c>
      <c r="O43" s="21">
        <f t="shared" si="9"/>
        <v>0</v>
      </c>
      <c r="P43" s="21">
        <f t="shared" si="10"/>
        <v>14.483745360824742</v>
      </c>
      <c r="Q43" s="576">
        <f t="shared" si="11"/>
        <v>0</v>
      </c>
      <c r="R43" s="740"/>
    </row>
    <row r="44" spans="1:18" s="151" customFormat="1" ht="15" thickBot="1">
      <c r="A44" s="1321"/>
      <c r="B44" s="221"/>
      <c r="C44" s="275" t="s">
        <v>612</v>
      </c>
      <c r="D44" s="276" t="s">
        <v>4084</v>
      </c>
      <c r="E44" s="277">
        <v>1547.2268041237114</v>
      </c>
      <c r="F44" s="3">
        <f t="shared" si="0"/>
        <v>850.97474226804138</v>
      </c>
      <c r="G44" s="3">
        <f t="shared" si="1"/>
        <v>0</v>
      </c>
      <c r="H44" s="21">
        <f t="shared" si="2"/>
        <v>26.69507766494846</v>
      </c>
      <c r="I44" s="2">
        <f t="shared" si="3"/>
        <v>0</v>
      </c>
      <c r="J44" s="21">
        <f t="shared" si="4"/>
        <v>23.316707938144333</v>
      </c>
      <c r="K44" s="22">
        <f t="shared" si="5"/>
        <v>0</v>
      </c>
      <c r="L44" s="21">
        <f t="shared" si="6"/>
        <v>19.402224123711346</v>
      </c>
      <c r="M44" s="21">
        <f t="shared" si="7"/>
        <v>0</v>
      </c>
      <c r="N44" s="21">
        <f t="shared" si="8"/>
        <v>17.359884742268047</v>
      </c>
      <c r="O44" s="21">
        <f t="shared" si="9"/>
        <v>0</v>
      </c>
      <c r="P44" s="21">
        <f t="shared" si="10"/>
        <v>15.743032731958765</v>
      </c>
      <c r="Q44" s="576">
        <f t="shared" si="11"/>
        <v>0</v>
      </c>
      <c r="R44" s="740"/>
    </row>
    <row r="45" spans="1:18" s="151" customFormat="1" ht="15" thickBot="1">
      <c r="A45" s="1321"/>
      <c r="B45" s="221"/>
      <c r="C45" s="275" t="s">
        <v>613</v>
      </c>
      <c r="D45" s="276" t="s">
        <v>4085</v>
      </c>
      <c r="E45" s="277">
        <v>1547.2268041237114</v>
      </c>
      <c r="F45" s="3">
        <f t="shared" si="0"/>
        <v>850.97474226804138</v>
      </c>
      <c r="G45" s="3">
        <f t="shared" si="1"/>
        <v>0</v>
      </c>
      <c r="H45" s="21">
        <f t="shared" si="2"/>
        <v>26.69507766494846</v>
      </c>
      <c r="I45" s="2">
        <f t="shared" si="3"/>
        <v>0</v>
      </c>
      <c r="J45" s="21">
        <f t="shared" si="4"/>
        <v>23.316707938144333</v>
      </c>
      <c r="K45" s="22">
        <f t="shared" si="5"/>
        <v>0</v>
      </c>
      <c r="L45" s="21">
        <f t="shared" si="6"/>
        <v>19.402224123711346</v>
      </c>
      <c r="M45" s="21">
        <f t="shared" si="7"/>
        <v>0</v>
      </c>
      <c r="N45" s="21">
        <f t="shared" si="8"/>
        <v>17.359884742268047</v>
      </c>
      <c r="O45" s="21">
        <f t="shared" si="9"/>
        <v>0</v>
      </c>
      <c r="P45" s="21">
        <f t="shared" si="10"/>
        <v>15.743032731958765</v>
      </c>
      <c r="Q45" s="576">
        <f t="shared" si="11"/>
        <v>0</v>
      </c>
      <c r="R45" s="740"/>
    </row>
    <row r="46" spans="1:18" s="151" customFormat="1" ht="13.5" thickBot="1">
      <c r="A46" s="1321"/>
      <c r="B46" s="221"/>
      <c r="C46" s="280" t="s">
        <v>614</v>
      </c>
      <c r="D46" s="279" t="s">
        <v>4086</v>
      </c>
      <c r="E46" s="263">
        <v>3610.2164948453606</v>
      </c>
      <c r="F46" s="3">
        <f t="shared" si="0"/>
        <v>1985.6190721649484</v>
      </c>
      <c r="G46" s="3">
        <f t="shared" si="1"/>
        <v>0</v>
      </c>
      <c r="H46" s="21">
        <f t="shared" si="2"/>
        <v>62.288870293814433</v>
      </c>
      <c r="I46" s="2">
        <f t="shared" si="3"/>
        <v>0</v>
      </c>
      <c r="J46" s="21">
        <f t="shared" si="4"/>
        <v>54.405962577319585</v>
      </c>
      <c r="K46" s="22">
        <f t="shared" si="5"/>
        <v>0</v>
      </c>
      <c r="L46" s="21">
        <f t="shared" si="6"/>
        <v>45.272114845360825</v>
      </c>
      <c r="M46" s="21">
        <f t="shared" si="7"/>
        <v>0</v>
      </c>
      <c r="N46" s="21">
        <f t="shared" si="8"/>
        <v>40.506629072164948</v>
      </c>
      <c r="O46" s="21">
        <f t="shared" si="9"/>
        <v>0</v>
      </c>
      <c r="P46" s="21">
        <f t="shared" si="10"/>
        <v>36.733952835051547</v>
      </c>
      <c r="Q46" s="576">
        <f t="shared" si="11"/>
        <v>0</v>
      </c>
      <c r="R46" s="740"/>
    </row>
    <row r="47" spans="1:18" s="151" customFormat="1" ht="15" thickBot="1">
      <c r="A47" s="1321"/>
      <c r="B47" s="221"/>
      <c r="C47" s="275" t="s">
        <v>797</v>
      </c>
      <c r="D47" s="276" t="s">
        <v>4087</v>
      </c>
      <c r="E47" s="277">
        <v>1650.3814432989691</v>
      </c>
      <c r="F47" s="3">
        <f t="shared" si="0"/>
        <v>907.70979381443306</v>
      </c>
      <c r="G47" s="3">
        <f t="shared" si="1"/>
        <v>0</v>
      </c>
      <c r="H47" s="21">
        <f t="shared" si="2"/>
        <v>28.474856231958768</v>
      </c>
      <c r="I47" s="2">
        <f t="shared" si="3"/>
        <v>0</v>
      </c>
      <c r="J47" s="21">
        <f t="shared" si="4"/>
        <v>24.871248350515465</v>
      </c>
      <c r="K47" s="22">
        <f t="shared" si="5"/>
        <v>0</v>
      </c>
      <c r="L47" s="21">
        <f t="shared" si="6"/>
        <v>20.695783298969076</v>
      </c>
      <c r="M47" s="21">
        <f t="shared" si="7"/>
        <v>0</v>
      </c>
      <c r="N47" s="21">
        <f t="shared" si="8"/>
        <v>18.517279793814435</v>
      </c>
      <c r="O47" s="21">
        <f t="shared" si="9"/>
        <v>0</v>
      </c>
      <c r="P47" s="21">
        <f t="shared" si="10"/>
        <v>16.792631185567011</v>
      </c>
      <c r="Q47" s="576">
        <f t="shared" si="11"/>
        <v>0</v>
      </c>
      <c r="R47" s="740"/>
    </row>
    <row r="48" spans="1:18" s="156" customFormat="1" ht="13.5" customHeight="1" thickBot="1">
      <c r="A48" s="1321"/>
      <c r="B48" s="221"/>
      <c r="C48" s="275" t="s">
        <v>798</v>
      </c>
      <c r="D48" s="276" t="s">
        <v>4088</v>
      </c>
      <c r="E48" s="277">
        <v>1650.3814432989691</v>
      </c>
      <c r="F48" s="3">
        <f t="shared" si="0"/>
        <v>907.70979381443306</v>
      </c>
      <c r="G48" s="3">
        <f t="shared" si="1"/>
        <v>0</v>
      </c>
      <c r="H48" s="21">
        <f t="shared" si="2"/>
        <v>28.474856231958768</v>
      </c>
      <c r="I48" s="2">
        <f t="shared" si="3"/>
        <v>0</v>
      </c>
      <c r="J48" s="21">
        <f t="shared" si="4"/>
        <v>24.871248350515465</v>
      </c>
      <c r="K48" s="22">
        <f t="shared" si="5"/>
        <v>0</v>
      </c>
      <c r="L48" s="21">
        <f t="shared" si="6"/>
        <v>20.695783298969076</v>
      </c>
      <c r="M48" s="21">
        <f t="shared" si="7"/>
        <v>0</v>
      </c>
      <c r="N48" s="21">
        <f t="shared" si="8"/>
        <v>18.517279793814435</v>
      </c>
      <c r="O48" s="21">
        <f t="shared" si="9"/>
        <v>0</v>
      </c>
      <c r="P48" s="21">
        <f t="shared" si="10"/>
        <v>16.792631185567011</v>
      </c>
      <c r="Q48" s="576">
        <f t="shared" si="11"/>
        <v>0</v>
      </c>
      <c r="R48" s="740"/>
    </row>
    <row r="49" spans="1:18" s="151" customFormat="1" ht="15" thickBot="1">
      <c r="A49" s="1321"/>
      <c r="B49" s="221"/>
      <c r="C49" s="275" t="s">
        <v>615</v>
      </c>
      <c r="D49" s="276" t="s">
        <v>4089</v>
      </c>
      <c r="E49" s="277">
        <v>4641.7216494845361</v>
      </c>
      <c r="F49" s="3">
        <f t="shared" si="0"/>
        <v>2552.9469072164952</v>
      </c>
      <c r="G49" s="3">
        <f t="shared" si="1"/>
        <v>0</v>
      </c>
      <c r="H49" s="21">
        <f t="shared" si="2"/>
        <v>80.085944479381453</v>
      </c>
      <c r="I49" s="2">
        <f t="shared" si="3"/>
        <v>0</v>
      </c>
      <c r="J49" s="21">
        <f t="shared" si="4"/>
        <v>69.950745257731967</v>
      </c>
      <c r="K49" s="22">
        <f t="shared" si="5"/>
        <v>0</v>
      </c>
      <c r="L49" s="21">
        <f t="shared" si="6"/>
        <v>58.207189484536094</v>
      </c>
      <c r="M49" s="21">
        <f t="shared" si="7"/>
        <v>0</v>
      </c>
      <c r="N49" s="21">
        <f t="shared" si="8"/>
        <v>52.080116907216507</v>
      </c>
      <c r="O49" s="21">
        <f t="shared" si="9"/>
        <v>0</v>
      </c>
      <c r="P49" s="21">
        <f t="shared" si="10"/>
        <v>47.229517783505159</v>
      </c>
      <c r="Q49" s="576">
        <f t="shared" si="11"/>
        <v>0</v>
      </c>
      <c r="R49" s="740"/>
    </row>
    <row r="50" spans="1:18" s="151" customFormat="1" ht="15" thickBot="1">
      <c r="A50" s="1321"/>
      <c r="B50" s="221"/>
      <c r="C50" s="275" t="s">
        <v>616</v>
      </c>
      <c r="D50" s="276" t="s">
        <v>4090</v>
      </c>
      <c r="E50" s="277">
        <v>2681.8659793814431</v>
      </c>
      <c r="F50" s="3">
        <f t="shared" si="0"/>
        <v>1475.0262886597939</v>
      </c>
      <c r="G50" s="3">
        <f t="shared" si="1"/>
        <v>0</v>
      </c>
      <c r="H50" s="21">
        <f t="shared" si="2"/>
        <v>46.271574675257739</v>
      </c>
      <c r="I50" s="2">
        <f t="shared" si="3"/>
        <v>0</v>
      </c>
      <c r="J50" s="21">
        <f t="shared" si="4"/>
        <v>40.415720309278356</v>
      </c>
      <c r="K50" s="22">
        <f t="shared" si="5"/>
        <v>0</v>
      </c>
      <c r="L50" s="21">
        <f t="shared" si="6"/>
        <v>33.630599381443304</v>
      </c>
      <c r="M50" s="21">
        <f t="shared" si="7"/>
        <v>0</v>
      </c>
      <c r="N50" s="21">
        <f t="shared" si="8"/>
        <v>30.090536288659798</v>
      </c>
      <c r="O50" s="21">
        <f t="shared" si="9"/>
        <v>0</v>
      </c>
      <c r="P50" s="21">
        <f t="shared" si="10"/>
        <v>27.287986340206185</v>
      </c>
      <c r="Q50" s="576">
        <f t="shared" si="11"/>
        <v>0</v>
      </c>
      <c r="R50" s="740"/>
    </row>
    <row r="51" spans="1:18" s="151" customFormat="1" ht="15" thickBot="1">
      <c r="A51" s="1321"/>
      <c r="B51" s="221"/>
      <c r="C51" s="275" t="s">
        <v>617</v>
      </c>
      <c r="D51" s="276" t="s">
        <v>4091</v>
      </c>
      <c r="E51" s="277">
        <v>5157.4639175257735</v>
      </c>
      <c r="F51" s="3">
        <f t="shared" si="0"/>
        <v>2836.6051546391755</v>
      </c>
      <c r="G51" s="3">
        <f t="shared" si="1"/>
        <v>0</v>
      </c>
      <c r="H51" s="21">
        <f t="shared" si="2"/>
        <v>88.984303701030939</v>
      </c>
      <c r="I51" s="2">
        <f t="shared" si="3"/>
        <v>0</v>
      </c>
      <c r="J51" s="21">
        <f t="shared" si="4"/>
        <v>77.722981237113416</v>
      </c>
      <c r="K51" s="22">
        <f t="shared" si="5"/>
        <v>0</v>
      </c>
      <c r="L51" s="21">
        <f t="shared" si="6"/>
        <v>64.674597525773208</v>
      </c>
      <c r="M51" s="21">
        <f t="shared" si="7"/>
        <v>0</v>
      </c>
      <c r="N51" s="21">
        <f t="shared" si="8"/>
        <v>57.866745154639183</v>
      </c>
      <c r="O51" s="21">
        <f t="shared" si="9"/>
        <v>0</v>
      </c>
      <c r="P51" s="21">
        <f t="shared" si="10"/>
        <v>52.477195360824744</v>
      </c>
      <c r="Q51" s="576">
        <f t="shared" si="11"/>
        <v>0</v>
      </c>
      <c r="R51" s="740"/>
    </row>
    <row r="52" spans="1:18" s="151" customFormat="1" ht="15" thickBot="1">
      <c r="A52" s="1321"/>
      <c r="B52" s="221"/>
      <c r="C52" s="275" t="s">
        <v>3713</v>
      </c>
      <c r="D52" s="276" t="s">
        <v>4092</v>
      </c>
      <c r="E52" s="277">
        <v>145.57731958762889</v>
      </c>
      <c r="F52" s="3">
        <f t="shared" si="0"/>
        <v>80.067525773195896</v>
      </c>
      <c r="G52" s="3">
        <f t="shared" si="1"/>
        <v>0</v>
      </c>
      <c r="H52" s="21">
        <f t="shared" si="2"/>
        <v>2.5117182835051555</v>
      </c>
      <c r="I52" s="2">
        <f t="shared" si="3"/>
        <v>0</v>
      </c>
      <c r="J52" s="21">
        <f t="shared" si="4"/>
        <v>2.1938502061855676</v>
      </c>
      <c r="K52" s="22">
        <f t="shared" si="5"/>
        <v>0</v>
      </c>
      <c r="L52" s="21">
        <f t="shared" si="6"/>
        <v>1.8255395876288665</v>
      </c>
      <c r="M52" s="21">
        <f t="shared" si="7"/>
        <v>0</v>
      </c>
      <c r="N52" s="21">
        <f t="shared" si="8"/>
        <v>1.6333775257731964</v>
      </c>
      <c r="O52" s="21">
        <f t="shared" si="9"/>
        <v>0</v>
      </c>
      <c r="P52" s="21">
        <f t="shared" si="10"/>
        <v>1.481249226804124</v>
      </c>
      <c r="Q52" s="576">
        <f t="shared" si="11"/>
        <v>0</v>
      </c>
      <c r="R52" s="740"/>
    </row>
    <row r="53" spans="1:18" s="151" customFormat="1" ht="15" thickBot="1">
      <c r="A53" s="1321"/>
      <c r="B53" s="221"/>
      <c r="C53" s="275" t="s">
        <v>3714</v>
      </c>
      <c r="D53" s="276" t="s">
        <v>4093</v>
      </c>
      <c r="E53" s="277">
        <v>126.69072164948454</v>
      </c>
      <c r="F53" s="3">
        <f t="shared" si="0"/>
        <v>69.679896907216502</v>
      </c>
      <c r="G53" s="3">
        <f t="shared" si="1"/>
        <v>0</v>
      </c>
      <c r="H53" s="21">
        <f t="shared" si="2"/>
        <v>2.185858365979382</v>
      </c>
      <c r="I53" s="2">
        <f t="shared" si="3"/>
        <v>0</v>
      </c>
      <c r="J53" s="21">
        <f t="shared" si="4"/>
        <v>1.9092291752577322</v>
      </c>
      <c r="K53" s="22">
        <f t="shared" si="5"/>
        <v>0</v>
      </c>
      <c r="L53" s="21">
        <f t="shared" si="6"/>
        <v>1.5887016494845363</v>
      </c>
      <c r="M53" s="21">
        <f t="shared" si="7"/>
        <v>0</v>
      </c>
      <c r="N53" s="21">
        <f t="shared" si="8"/>
        <v>1.4214698969072168</v>
      </c>
      <c r="O53" s="21">
        <f t="shared" si="9"/>
        <v>0</v>
      </c>
      <c r="P53" s="21">
        <f t="shared" si="10"/>
        <v>1.2890780927835053</v>
      </c>
      <c r="Q53" s="576">
        <f t="shared" si="11"/>
        <v>0</v>
      </c>
      <c r="R53" s="740"/>
    </row>
    <row r="54" spans="1:18" s="151" customFormat="1" ht="15" thickBot="1">
      <c r="A54" s="1321"/>
      <c r="B54" s="221"/>
      <c r="C54" s="275" t="s">
        <v>3715</v>
      </c>
      <c r="D54" s="276" t="s">
        <v>4094</v>
      </c>
      <c r="E54" s="277">
        <v>117.25773195876289</v>
      </c>
      <c r="F54" s="3">
        <f t="shared" si="0"/>
        <v>64.491752577319588</v>
      </c>
      <c r="G54" s="3">
        <f t="shared" si="1"/>
        <v>0</v>
      </c>
      <c r="H54" s="21">
        <f t="shared" si="2"/>
        <v>2.0231062783505158</v>
      </c>
      <c r="I54" s="2">
        <f t="shared" si="3"/>
        <v>0</v>
      </c>
      <c r="J54" s="21">
        <f t="shared" si="4"/>
        <v>1.7670740206185567</v>
      </c>
      <c r="K54" s="22">
        <f t="shared" si="5"/>
        <v>0</v>
      </c>
      <c r="L54" s="21">
        <f t="shared" si="6"/>
        <v>1.4704119587628866</v>
      </c>
      <c r="M54" s="21">
        <f t="shared" si="7"/>
        <v>0</v>
      </c>
      <c r="N54" s="21">
        <f t="shared" si="8"/>
        <v>1.3156317525773198</v>
      </c>
      <c r="O54" s="21">
        <f t="shared" si="9"/>
        <v>0</v>
      </c>
      <c r="P54" s="21">
        <f t="shared" si="10"/>
        <v>1.1930974226804123</v>
      </c>
      <c r="Q54" s="576">
        <f t="shared" si="11"/>
        <v>0</v>
      </c>
      <c r="R54" s="740"/>
    </row>
    <row r="55" spans="1:18" s="151" customFormat="1" ht="15" thickBot="1">
      <c r="A55" s="1321"/>
      <c r="B55" s="221"/>
      <c r="C55" s="275" t="s">
        <v>3716</v>
      </c>
      <c r="D55" s="276" t="s">
        <v>4095</v>
      </c>
      <c r="E55" s="277">
        <v>114.89690721649485</v>
      </c>
      <c r="F55" s="3">
        <f t="shared" si="0"/>
        <v>63.193298969072174</v>
      </c>
      <c r="G55" s="3">
        <f t="shared" si="1"/>
        <v>0</v>
      </c>
      <c r="H55" s="21">
        <f t="shared" si="2"/>
        <v>1.9823737886597943</v>
      </c>
      <c r="I55" s="2">
        <f t="shared" si="3"/>
        <v>0</v>
      </c>
      <c r="J55" s="21">
        <f t="shared" si="4"/>
        <v>1.7314963917525776</v>
      </c>
      <c r="K55" s="22">
        <f t="shared" si="5"/>
        <v>0</v>
      </c>
      <c r="L55" s="21">
        <f t="shared" si="6"/>
        <v>1.4408072164948456</v>
      </c>
      <c r="M55" s="21">
        <f t="shared" si="7"/>
        <v>0</v>
      </c>
      <c r="N55" s="21">
        <f t="shared" si="8"/>
        <v>1.2891432989690725</v>
      </c>
      <c r="O55" s="21">
        <f t="shared" si="9"/>
        <v>0</v>
      </c>
      <c r="P55" s="21">
        <f t="shared" si="10"/>
        <v>1.1690760309278352</v>
      </c>
      <c r="Q55" s="576">
        <f t="shared" si="11"/>
        <v>0</v>
      </c>
      <c r="R55" s="740"/>
    </row>
    <row r="56" spans="1:18" s="151" customFormat="1" ht="15" thickBot="1">
      <c r="A56" s="1321"/>
      <c r="B56" s="221"/>
      <c r="C56" s="275" t="s">
        <v>3717</v>
      </c>
      <c r="D56" s="276" t="s">
        <v>4096</v>
      </c>
      <c r="E56" s="277">
        <v>105.43298969072166</v>
      </c>
      <c r="F56" s="3">
        <f t="shared" si="0"/>
        <v>57.988144329896912</v>
      </c>
      <c r="G56" s="3">
        <f t="shared" si="1"/>
        <v>0</v>
      </c>
      <c r="H56" s="21">
        <f t="shared" si="2"/>
        <v>1.8190880876288662</v>
      </c>
      <c r="I56" s="2">
        <f t="shared" si="3"/>
        <v>0</v>
      </c>
      <c r="J56" s="21">
        <f t="shared" si="4"/>
        <v>1.5888751546391755</v>
      </c>
      <c r="K56" s="22">
        <f t="shared" si="5"/>
        <v>0</v>
      </c>
      <c r="L56" s="21">
        <f t="shared" si="6"/>
        <v>1.3221296907216495</v>
      </c>
      <c r="M56" s="21">
        <f t="shared" si="7"/>
        <v>0</v>
      </c>
      <c r="N56" s="21">
        <f t="shared" si="8"/>
        <v>1.1829581443298971</v>
      </c>
      <c r="O56" s="21">
        <f t="shared" si="9"/>
        <v>0</v>
      </c>
      <c r="P56" s="21">
        <f t="shared" si="10"/>
        <v>1.0727806701030929</v>
      </c>
      <c r="Q56" s="576">
        <f t="shared" si="11"/>
        <v>0</v>
      </c>
      <c r="R56" s="740"/>
    </row>
    <row r="57" spans="1:18" s="151" customFormat="1" ht="15" thickBot="1">
      <c r="A57" s="1321"/>
      <c r="B57" s="221"/>
      <c r="C57" s="275" t="s">
        <v>3718</v>
      </c>
      <c r="D57" s="276" t="s">
        <v>4097</v>
      </c>
      <c r="E57" s="277">
        <v>147.01030927835052</v>
      </c>
      <c r="F57" s="3">
        <f t="shared" si="0"/>
        <v>80.855670103092791</v>
      </c>
      <c r="G57" s="3">
        <f t="shared" si="1"/>
        <v>0</v>
      </c>
      <c r="H57" s="21">
        <f t="shared" si="2"/>
        <v>2.5364423711340209</v>
      </c>
      <c r="I57" s="2">
        <f t="shared" si="3"/>
        <v>0</v>
      </c>
      <c r="J57" s="21">
        <f t="shared" si="4"/>
        <v>2.2154453608247424</v>
      </c>
      <c r="K57" s="22">
        <f t="shared" si="5"/>
        <v>0</v>
      </c>
      <c r="L57" s="21">
        <f t="shared" si="6"/>
        <v>1.8435092783505158</v>
      </c>
      <c r="M57" s="21">
        <f t="shared" si="7"/>
        <v>0</v>
      </c>
      <c r="N57" s="21">
        <f t="shared" si="8"/>
        <v>1.6494556701030931</v>
      </c>
      <c r="O57" s="21">
        <f t="shared" si="9"/>
        <v>0</v>
      </c>
      <c r="P57" s="21">
        <f t="shared" si="10"/>
        <v>1.4958298969072166</v>
      </c>
      <c r="Q57" s="576">
        <f t="shared" si="11"/>
        <v>0</v>
      </c>
      <c r="R57" s="740"/>
    </row>
    <row r="58" spans="1:18" s="156" customFormat="1" ht="15" thickBot="1">
      <c r="A58" s="1321"/>
      <c r="B58" s="221"/>
      <c r="C58" s="275" t="s">
        <v>3719</v>
      </c>
      <c r="D58" s="276" t="s">
        <v>4098</v>
      </c>
      <c r="E58" s="277">
        <v>127.91752577319588</v>
      </c>
      <c r="F58" s="3">
        <f t="shared" si="0"/>
        <v>70.354639175257731</v>
      </c>
      <c r="G58" s="3">
        <f t="shared" si="1"/>
        <v>0</v>
      </c>
      <c r="H58" s="21">
        <f t="shared" si="2"/>
        <v>2.2070250309278352</v>
      </c>
      <c r="I58" s="2">
        <f t="shared" si="3"/>
        <v>0</v>
      </c>
      <c r="J58" s="21">
        <f t="shared" si="4"/>
        <v>1.9277171134020619</v>
      </c>
      <c r="K58" s="22">
        <f t="shared" si="5"/>
        <v>0</v>
      </c>
      <c r="L58" s="21">
        <f t="shared" si="6"/>
        <v>1.6040857731958764</v>
      </c>
      <c r="M58" s="21">
        <f t="shared" si="7"/>
        <v>0</v>
      </c>
      <c r="N58" s="21">
        <f t="shared" si="8"/>
        <v>1.4352346391752577</v>
      </c>
      <c r="O58" s="21">
        <f t="shared" si="9"/>
        <v>0</v>
      </c>
      <c r="P58" s="21">
        <f t="shared" si="10"/>
        <v>1.3015608247422679</v>
      </c>
      <c r="Q58" s="576">
        <f t="shared" si="11"/>
        <v>0</v>
      </c>
      <c r="R58" s="740"/>
    </row>
    <row r="59" spans="1:18" s="151" customFormat="1" ht="15" thickBot="1">
      <c r="A59" s="1321"/>
      <c r="B59" s="221"/>
      <c r="C59" s="275" t="s">
        <v>3720</v>
      </c>
      <c r="D59" s="276" t="s">
        <v>4099</v>
      </c>
      <c r="E59" s="277">
        <v>118.44329896907217</v>
      </c>
      <c r="F59" s="3">
        <f t="shared" si="0"/>
        <v>65.1438144329897</v>
      </c>
      <c r="G59" s="3">
        <f t="shared" si="1"/>
        <v>0</v>
      </c>
      <c r="H59" s="21">
        <f t="shared" si="2"/>
        <v>2.0435614587628872</v>
      </c>
      <c r="I59" s="2">
        <f t="shared" si="3"/>
        <v>0</v>
      </c>
      <c r="J59" s="21">
        <f t="shared" si="4"/>
        <v>1.7849405154639177</v>
      </c>
      <c r="K59" s="22">
        <f t="shared" si="5"/>
        <v>0</v>
      </c>
      <c r="L59" s="21">
        <f t="shared" si="6"/>
        <v>1.4852789690721653</v>
      </c>
      <c r="M59" s="21">
        <f t="shared" si="7"/>
        <v>0</v>
      </c>
      <c r="N59" s="21">
        <f t="shared" si="8"/>
        <v>1.3289338144329901</v>
      </c>
      <c r="O59" s="21">
        <f t="shared" si="9"/>
        <v>0</v>
      </c>
      <c r="P59" s="21">
        <f t="shared" si="10"/>
        <v>1.2051605670103094</v>
      </c>
      <c r="Q59" s="576">
        <f t="shared" si="11"/>
        <v>0</v>
      </c>
      <c r="R59" s="740"/>
    </row>
    <row r="60" spans="1:18" s="151" customFormat="1" ht="15" thickBot="1">
      <c r="A60" s="1321"/>
      <c r="B60" s="221"/>
      <c r="C60" s="275" t="s">
        <v>3721</v>
      </c>
      <c r="D60" s="276" t="s">
        <v>4100</v>
      </c>
      <c r="E60" s="277">
        <v>116.03092783505154</v>
      </c>
      <c r="F60" s="3">
        <f t="shared" si="0"/>
        <v>63.817010309278352</v>
      </c>
      <c r="G60" s="3">
        <f t="shared" si="1"/>
        <v>0</v>
      </c>
      <c r="H60" s="21">
        <f t="shared" si="2"/>
        <v>2.0019396134020622</v>
      </c>
      <c r="I60" s="2">
        <f t="shared" si="3"/>
        <v>0</v>
      </c>
      <c r="J60" s="21">
        <f t="shared" si="4"/>
        <v>1.748586082474227</v>
      </c>
      <c r="K60" s="22">
        <f t="shared" si="5"/>
        <v>0</v>
      </c>
      <c r="L60" s="21">
        <f t="shared" si="6"/>
        <v>1.4550278350515464</v>
      </c>
      <c r="M60" s="21">
        <f t="shared" si="7"/>
        <v>0</v>
      </c>
      <c r="N60" s="21">
        <f t="shared" si="8"/>
        <v>1.3018670103092784</v>
      </c>
      <c r="O60" s="21">
        <f t="shared" si="9"/>
        <v>0</v>
      </c>
      <c r="P60" s="21">
        <f t="shared" si="10"/>
        <v>1.1806146907216495</v>
      </c>
      <c r="Q60" s="576">
        <f t="shared" si="11"/>
        <v>0</v>
      </c>
      <c r="R60" s="740"/>
    </row>
    <row r="61" spans="1:18" s="151" customFormat="1" ht="15" thickBot="1">
      <c r="A61" s="1321"/>
      <c r="B61" s="221"/>
      <c r="C61" s="275" t="s">
        <v>3722</v>
      </c>
      <c r="D61" s="276" t="s">
        <v>4101</v>
      </c>
      <c r="E61" s="277">
        <v>106.28865979381443</v>
      </c>
      <c r="F61" s="3">
        <f t="shared" si="0"/>
        <v>58.458762886597945</v>
      </c>
      <c r="G61" s="3">
        <f t="shared" si="1"/>
        <v>0</v>
      </c>
      <c r="H61" s="21">
        <f t="shared" si="2"/>
        <v>1.8338513917525776</v>
      </c>
      <c r="I61" s="2">
        <f t="shared" si="3"/>
        <v>0</v>
      </c>
      <c r="J61" s="21">
        <f t="shared" si="4"/>
        <v>1.6017701030927838</v>
      </c>
      <c r="K61" s="22">
        <f t="shared" si="5"/>
        <v>0</v>
      </c>
      <c r="L61" s="21">
        <f t="shared" si="6"/>
        <v>1.3328597938144333</v>
      </c>
      <c r="M61" s="21">
        <f t="shared" si="7"/>
        <v>0</v>
      </c>
      <c r="N61" s="21">
        <f t="shared" si="8"/>
        <v>1.1925587628865981</v>
      </c>
      <c r="O61" s="21">
        <f t="shared" si="9"/>
        <v>0</v>
      </c>
      <c r="P61" s="21">
        <f t="shared" si="10"/>
        <v>1.0814871134020618</v>
      </c>
      <c r="Q61" s="576">
        <f t="shared" si="11"/>
        <v>0</v>
      </c>
      <c r="R61" s="740"/>
    </row>
    <row r="62" spans="1:18" s="151" customFormat="1" ht="15" thickBot="1">
      <c r="A62" s="1321"/>
      <c r="B62" s="221"/>
      <c r="C62" s="275" t="s">
        <v>3723</v>
      </c>
      <c r="D62" s="276" t="s">
        <v>4102</v>
      </c>
      <c r="E62" s="277">
        <v>159.62886597938146</v>
      </c>
      <c r="F62" s="3">
        <f t="shared" si="0"/>
        <v>87.795876288659812</v>
      </c>
      <c r="G62" s="3">
        <f t="shared" si="1"/>
        <v>0</v>
      </c>
      <c r="H62" s="21">
        <f t="shared" si="2"/>
        <v>2.7541566391752585</v>
      </c>
      <c r="I62" s="2">
        <f t="shared" si="3"/>
        <v>0</v>
      </c>
      <c r="J62" s="21">
        <f t="shared" si="4"/>
        <v>2.405607010309279</v>
      </c>
      <c r="K62" s="22">
        <f t="shared" si="5"/>
        <v>0</v>
      </c>
      <c r="L62" s="21">
        <f t="shared" si="6"/>
        <v>2.0017459793814436</v>
      </c>
      <c r="M62" s="21">
        <f t="shared" si="7"/>
        <v>0</v>
      </c>
      <c r="N62" s="21">
        <f t="shared" si="8"/>
        <v>1.7910358762886602</v>
      </c>
      <c r="O62" s="21">
        <f t="shared" si="9"/>
        <v>0</v>
      </c>
      <c r="P62" s="21">
        <f t="shared" si="10"/>
        <v>1.6242237113402065</v>
      </c>
      <c r="Q62" s="576">
        <f t="shared" si="11"/>
        <v>0</v>
      </c>
      <c r="R62" s="740"/>
    </row>
    <row r="63" spans="1:18" s="156" customFormat="1" ht="15" thickBot="1">
      <c r="A63" s="1321"/>
      <c r="B63" s="221"/>
      <c r="C63" s="275" t="s">
        <v>3724</v>
      </c>
      <c r="D63" s="276" t="s">
        <v>4103</v>
      </c>
      <c r="E63" s="277">
        <v>138.70103092783503</v>
      </c>
      <c r="F63" s="3">
        <f t="shared" si="0"/>
        <v>76.285567010309279</v>
      </c>
      <c r="G63" s="3">
        <f t="shared" si="1"/>
        <v>0</v>
      </c>
      <c r="H63" s="21">
        <f t="shared" si="2"/>
        <v>2.3930782371134023</v>
      </c>
      <c r="I63" s="2">
        <f t="shared" si="3"/>
        <v>0</v>
      </c>
      <c r="J63" s="21">
        <f t="shared" si="4"/>
        <v>2.0902245360824745</v>
      </c>
      <c r="K63" s="22">
        <f t="shared" si="5"/>
        <v>0</v>
      </c>
      <c r="L63" s="21">
        <f t="shared" si="6"/>
        <v>1.7393109278350516</v>
      </c>
      <c r="M63" s="21">
        <f t="shared" si="7"/>
        <v>0</v>
      </c>
      <c r="N63" s="21">
        <f t="shared" si="8"/>
        <v>1.5562255670103093</v>
      </c>
      <c r="O63" s="21">
        <f t="shared" si="9"/>
        <v>0</v>
      </c>
      <c r="P63" s="21">
        <f t="shared" si="10"/>
        <v>1.4112829896907215</v>
      </c>
      <c r="Q63" s="576">
        <f t="shared" si="11"/>
        <v>0</v>
      </c>
      <c r="R63" s="740"/>
    </row>
    <row r="64" spans="1:18" s="266" customFormat="1" ht="15" thickBot="1">
      <c r="A64" s="1321"/>
      <c r="B64" s="221"/>
      <c r="C64" s="275" t="s">
        <v>3725</v>
      </c>
      <c r="D64" s="276" t="s">
        <v>4104</v>
      </c>
      <c r="E64" s="277">
        <v>128.18556701030928</v>
      </c>
      <c r="F64" s="3">
        <f t="shared" si="0"/>
        <v>70.502061855670107</v>
      </c>
      <c r="G64" s="3">
        <f t="shared" si="1"/>
        <v>0</v>
      </c>
      <c r="H64" s="21">
        <f t="shared" si="2"/>
        <v>2.2116496804123713</v>
      </c>
      <c r="I64" s="2">
        <f t="shared" si="3"/>
        <v>0</v>
      </c>
      <c r="J64" s="21">
        <f t="shared" si="4"/>
        <v>1.9317564948453609</v>
      </c>
      <c r="K64" s="22">
        <f t="shared" si="5"/>
        <v>0</v>
      </c>
      <c r="L64" s="21">
        <f t="shared" si="6"/>
        <v>1.6074470103092784</v>
      </c>
      <c r="M64" s="21">
        <f t="shared" si="7"/>
        <v>0</v>
      </c>
      <c r="N64" s="21">
        <f t="shared" si="8"/>
        <v>1.4382420618556704</v>
      </c>
      <c r="O64" s="21">
        <f t="shared" si="9"/>
        <v>0</v>
      </c>
      <c r="P64" s="21">
        <f t="shared" si="10"/>
        <v>1.3042881443298968</v>
      </c>
      <c r="Q64" s="576">
        <f t="shared" si="11"/>
        <v>0</v>
      </c>
      <c r="R64" s="740"/>
    </row>
    <row r="65" spans="1:18" s="266" customFormat="1" ht="15" thickBot="1">
      <c r="A65" s="1321"/>
      <c r="B65" s="221"/>
      <c r="C65" s="275" t="s">
        <v>3726</v>
      </c>
      <c r="D65" s="276" t="s">
        <v>4105</v>
      </c>
      <c r="E65" s="277">
        <v>126.27835051546391</v>
      </c>
      <c r="F65" s="3">
        <f t="shared" si="0"/>
        <v>69.453092783505156</v>
      </c>
      <c r="G65" s="3">
        <f t="shared" si="1"/>
        <v>0</v>
      </c>
      <c r="H65" s="21">
        <f t="shared" si="2"/>
        <v>2.178743520618557</v>
      </c>
      <c r="I65" s="2">
        <f t="shared" si="3"/>
        <v>0</v>
      </c>
      <c r="J65" s="21">
        <f t="shared" si="4"/>
        <v>1.9030147422680412</v>
      </c>
      <c r="K65" s="22">
        <f t="shared" si="5"/>
        <v>0</v>
      </c>
      <c r="L65" s="21">
        <f t="shared" si="6"/>
        <v>1.5835305154639177</v>
      </c>
      <c r="M65" s="21">
        <f t="shared" si="7"/>
        <v>0</v>
      </c>
      <c r="N65" s="21">
        <f t="shared" si="8"/>
        <v>1.4168430927835052</v>
      </c>
      <c r="O65" s="21">
        <f t="shared" si="9"/>
        <v>0</v>
      </c>
      <c r="P65" s="21">
        <f t="shared" si="10"/>
        <v>1.2848822164948452</v>
      </c>
      <c r="Q65" s="576">
        <f t="shared" si="11"/>
        <v>0</v>
      </c>
      <c r="R65" s="740"/>
    </row>
    <row r="66" spans="1:18" s="266" customFormat="1" ht="15" thickBot="1">
      <c r="A66" s="1321"/>
      <c r="B66" s="221"/>
      <c r="C66" s="275" t="s">
        <v>3727</v>
      </c>
      <c r="D66" s="276" t="s">
        <v>4106</v>
      </c>
      <c r="E66" s="277">
        <v>115.22680412371133</v>
      </c>
      <c r="F66" s="3">
        <f t="shared" si="0"/>
        <v>63.374742268041238</v>
      </c>
      <c r="G66" s="3">
        <f t="shared" si="1"/>
        <v>0</v>
      </c>
      <c r="H66" s="21">
        <f t="shared" si="2"/>
        <v>1.9880656649484538</v>
      </c>
      <c r="I66" s="2">
        <f t="shared" si="3"/>
        <v>0</v>
      </c>
      <c r="J66" s="21">
        <f t="shared" si="4"/>
        <v>1.73646793814433</v>
      </c>
      <c r="K66" s="22">
        <f t="shared" si="5"/>
        <v>0</v>
      </c>
      <c r="L66" s="21">
        <f t="shared" si="6"/>
        <v>1.4449441237113403</v>
      </c>
      <c r="M66" s="21">
        <f t="shared" si="7"/>
        <v>0</v>
      </c>
      <c r="N66" s="21">
        <f t="shared" si="8"/>
        <v>1.2928447422680414</v>
      </c>
      <c r="O66" s="21">
        <f t="shared" si="9"/>
        <v>0</v>
      </c>
      <c r="P66" s="21">
        <f t="shared" si="10"/>
        <v>1.1724327319587629</v>
      </c>
      <c r="Q66" s="576">
        <f t="shared" si="11"/>
        <v>0</v>
      </c>
      <c r="R66" s="740"/>
    </row>
    <row r="67" spans="1:18" s="266" customFormat="1" ht="15" thickBot="1">
      <c r="A67" s="1321"/>
      <c r="B67" s="221"/>
      <c r="C67" s="275">
        <v>7723000</v>
      </c>
      <c r="D67" s="276" t="s">
        <v>669</v>
      </c>
      <c r="E67" s="277">
        <v>48907.402061855675</v>
      </c>
      <c r="F67" s="3">
        <f t="shared" si="0"/>
        <v>26899.071134020622</v>
      </c>
      <c r="G67" s="3">
        <f t="shared" si="1"/>
        <v>0</v>
      </c>
      <c r="H67" s="21">
        <f t="shared" si="2"/>
        <v>843.82386147422699</v>
      </c>
      <c r="I67" s="2">
        <f t="shared" si="3"/>
        <v>0</v>
      </c>
      <c r="J67" s="21">
        <f t="shared" si="4"/>
        <v>737.03454907216508</v>
      </c>
      <c r="K67" s="22">
        <f t="shared" si="5"/>
        <v>0</v>
      </c>
      <c r="L67" s="21">
        <f t="shared" si="6"/>
        <v>613.29882185567021</v>
      </c>
      <c r="M67" s="21">
        <f t="shared" si="7"/>
        <v>0</v>
      </c>
      <c r="N67" s="21">
        <f t="shared" si="8"/>
        <v>548.74105113402072</v>
      </c>
      <c r="O67" s="21">
        <f t="shared" si="9"/>
        <v>0</v>
      </c>
      <c r="P67" s="21">
        <f t="shared" si="10"/>
        <v>497.63281597938146</v>
      </c>
      <c r="Q67" s="576">
        <f t="shared" si="11"/>
        <v>0</v>
      </c>
      <c r="R67" s="740"/>
    </row>
    <row r="68" spans="1:18" s="156" customFormat="1" ht="13.5" customHeight="1" thickBot="1">
      <c r="A68" s="1321"/>
      <c r="B68" s="221"/>
      <c r="C68" s="275" t="s">
        <v>158</v>
      </c>
      <c r="D68" s="276" t="s">
        <v>3845</v>
      </c>
      <c r="E68" s="277">
        <v>1262.8865979381444</v>
      </c>
      <c r="F68" s="3">
        <f t="shared" ref="F68:F92" si="12">E68*(1-45%)</f>
        <v>694.58762886597947</v>
      </c>
      <c r="G68" s="3">
        <f t="shared" ref="G68:G92" si="13">F68*B68</f>
        <v>0</v>
      </c>
      <c r="H68" s="21">
        <f t="shared" ref="H68:H92" si="14">F68*0.03137</f>
        <v>21.789213917525778</v>
      </c>
      <c r="I68" s="2">
        <f t="shared" ref="I68:I92" si="15">H68*B68</f>
        <v>0</v>
      </c>
      <c r="J68" s="21">
        <f t="shared" ref="J68:J92" si="16">F68*0.0274</f>
        <v>19.031701030927838</v>
      </c>
      <c r="K68" s="22">
        <f t="shared" ref="K68:K92" si="17">J68*B68</f>
        <v>0</v>
      </c>
      <c r="L68" s="21">
        <f t="shared" ref="L68:L92" si="18">F68*0.0228</f>
        <v>15.836597938144333</v>
      </c>
      <c r="M68" s="21">
        <f t="shared" ref="M68:M92" si="19">L68*B68</f>
        <v>0</v>
      </c>
      <c r="N68" s="21">
        <f t="shared" ref="N68:N92" si="20">F68*0.0204</f>
        <v>14.169587628865981</v>
      </c>
      <c r="O68" s="21">
        <f t="shared" ref="O68:O92" si="21">N68*B68</f>
        <v>0</v>
      </c>
      <c r="P68" s="21">
        <f t="shared" ref="P68:P92" si="22">F68*0.0185</f>
        <v>12.849871134020619</v>
      </c>
      <c r="Q68" s="576">
        <f t="shared" ref="Q68:Q92" si="23">P68*B68</f>
        <v>0</v>
      </c>
      <c r="R68" s="740"/>
    </row>
    <row r="69" spans="1:18" s="151" customFormat="1" ht="15" thickBot="1">
      <c r="A69" s="1321"/>
      <c r="B69" s="221"/>
      <c r="C69" s="275" t="s">
        <v>3830</v>
      </c>
      <c r="D69" s="276" t="s">
        <v>4107</v>
      </c>
      <c r="E69" s="277">
        <v>5903.0927835051552</v>
      </c>
      <c r="F69" s="3">
        <f t="shared" si="12"/>
        <v>3246.7010309278357</v>
      </c>
      <c r="G69" s="3">
        <f t="shared" si="13"/>
        <v>0</v>
      </c>
      <c r="H69" s="21">
        <f t="shared" si="14"/>
        <v>101.84901134020622</v>
      </c>
      <c r="I69" s="2">
        <f t="shared" si="15"/>
        <v>0</v>
      </c>
      <c r="J69" s="21">
        <f t="shared" si="16"/>
        <v>88.959608247422707</v>
      </c>
      <c r="K69" s="22">
        <f t="shared" si="17"/>
        <v>0</v>
      </c>
      <c r="L69" s="21">
        <f t="shared" si="18"/>
        <v>74.024783505154659</v>
      </c>
      <c r="M69" s="21">
        <f t="shared" si="19"/>
        <v>0</v>
      </c>
      <c r="N69" s="21">
        <f t="shared" si="20"/>
        <v>66.232701030927856</v>
      </c>
      <c r="O69" s="21">
        <f t="shared" si="21"/>
        <v>0</v>
      </c>
      <c r="P69" s="21">
        <f t="shared" si="22"/>
        <v>60.063969072164959</v>
      </c>
      <c r="Q69" s="576">
        <f t="shared" si="23"/>
        <v>0</v>
      </c>
      <c r="R69" s="740"/>
    </row>
    <row r="70" spans="1:18" s="151" customFormat="1" ht="15" thickBot="1">
      <c r="A70" s="1321"/>
      <c r="B70" s="221"/>
      <c r="C70" s="275" t="s">
        <v>55</v>
      </c>
      <c r="D70" s="276" t="s">
        <v>3847</v>
      </c>
      <c r="E70" s="277">
        <v>2243.2989690721652</v>
      </c>
      <c r="F70" s="3">
        <f t="shared" si="12"/>
        <v>1233.8144329896909</v>
      </c>
      <c r="G70" s="3">
        <f t="shared" si="13"/>
        <v>0</v>
      </c>
      <c r="H70" s="21">
        <f t="shared" si="14"/>
        <v>38.704758762886605</v>
      </c>
      <c r="I70" s="2">
        <f t="shared" si="15"/>
        <v>0</v>
      </c>
      <c r="J70" s="21">
        <f t="shared" si="16"/>
        <v>33.806515463917535</v>
      </c>
      <c r="K70" s="22">
        <f t="shared" si="17"/>
        <v>0</v>
      </c>
      <c r="L70" s="21">
        <f t="shared" si="18"/>
        <v>28.130969072164952</v>
      </c>
      <c r="M70" s="21">
        <f t="shared" si="19"/>
        <v>0</v>
      </c>
      <c r="N70" s="21">
        <f t="shared" si="20"/>
        <v>25.169814432989696</v>
      </c>
      <c r="O70" s="21">
        <f t="shared" si="21"/>
        <v>0</v>
      </c>
      <c r="P70" s="21">
        <f t="shared" si="22"/>
        <v>22.825567010309282</v>
      </c>
      <c r="Q70" s="576">
        <f t="shared" si="23"/>
        <v>0</v>
      </c>
      <c r="R70" s="740"/>
    </row>
    <row r="71" spans="1:18" s="151" customFormat="1" ht="15" thickBot="1">
      <c r="A71" s="1321"/>
      <c r="B71" s="221"/>
      <c r="C71" s="275" t="s">
        <v>56</v>
      </c>
      <c r="D71" s="276" t="s">
        <v>3848</v>
      </c>
      <c r="E71" s="277">
        <v>505.15463917525773</v>
      </c>
      <c r="F71" s="3">
        <f t="shared" si="12"/>
        <v>277.83505154639175</v>
      </c>
      <c r="G71" s="3">
        <f t="shared" si="13"/>
        <v>0</v>
      </c>
      <c r="H71" s="21">
        <f t="shared" si="14"/>
        <v>8.7156855670103095</v>
      </c>
      <c r="I71" s="2">
        <f t="shared" si="15"/>
        <v>0</v>
      </c>
      <c r="J71" s="21">
        <f t="shared" si="16"/>
        <v>7.6126804123711347</v>
      </c>
      <c r="K71" s="22">
        <f t="shared" si="17"/>
        <v>0</v>
      </c>
      <c r="L71" s="21">
        <f t="shared" si="18"/>
        <v>6.334639175257732</v>
      </c>
      <c r="M71" s="21">
        <f t="shared" si="19"/>
        <v>0</v>
      </c>
      <c r="N71" s="21">
        <f t="shared" si="20"/>
        <v>5.6678350515463922</v>
      </c>
      <c r="O71" s="21">
        <f t="shared" si="21"/>
        <v>0</v>
      </c>
      <c r="P71" s="21">
        <f t="shared" si="22"/>
        <v>5.1399484536082474</v>
      </c>
      <c r="Q71" s="576">
        <f t="shared" si="23"/>
        <v>0</v>
      </c>
      <c r="R71" s="740"/>
    </row>
    <row r="72" spans="1:18" s="151" customFormat="1" ht="15" thickBot="1">
      <c r="A72" s="1321"/>
      <c r="B72" s="221"/>
      <c r="C72" s="275" t="s">
        <v>57</v>
      </c>
      <c r="D72" s="276" t="s">
        <v>4108</v>
      </c>
      <c r="E72" s="277">
        <v>6248.4536082474233</v>
      </c>
      <c r="F72" s="3">
        <f t="shared" si="12"/>
        <v>3436.649484536083</v>
      </c>
      <c r="G72" s="3">
        <f t="shared" si="13"/>
        <v>0</v>
      </c>
      <c r="H72" s="21">
        <f t="shared" si="14"/>
        <v>107.80769432989693</v>
      </c>
      <c r="I72" s="2">
        <f t="shared" si="15"/>
        <v>0</v>
      </c>
      <c r="J72" s="21">
        <f t="shared" si="16"/>
        <v>94.164195876288673</v>
      </c>
      <c r="K72" s="22">
        <f t="shared" si="17"/>
        <v>0</v>
      </c>
      <c r="L72" s="21">
        <f t="shared" si="18"/>
        <v>78.355608247422694</v>
      </c>
      <c r="M72" s="21">
        <f t="shared" si="19"/>
        <v>0</v>
      </c>
      <c r="N72" s="21">
        <f t="shared" si="20"/>
        <v>70.107649484536097</v>
      </c>
      <c r="O72" s="21">
        <f t="shared" si="21"/>
        <v>0</v>
      </c>
      <c r="P72" s="21">
        <f t="shared" si="22"/>
        <v>63.578015463917531</v>
      </c>
      <c r="Q72" s="576">
        <f t="shared" si="23"/>
        <v>0</v>
      </c>
      <c r="R72" s="740"/>
    </row>
    <row r="73" spans="1:18" s="151" customFormat="1" ht="29.25" thickBot="1">
      <c r="A73" s="1321"/>
      <c r="B73" s="221"/>
      <c r="C73" s="275" t="s">
        <v>578</v>
      </c>
      <c r="D73" s="276" t="s">
        <v>3958</v>
      </c>
      <c r="E73" s="277">
        <v>1616.4948453608247</v>
      </c>
      <c r="F73" s="3">
        <f t="shared" si="12"/>
        <v>889.07216494845363</v>
      </c>
      <c r="G73" s="3">
        <f t="shared" si="13"/>
        <v>0</v>
      </c>
      <c r="H73" s="21">
        <f t="shared" si="14"/>
        <v>27.890193814432994</v>
      </c>
      <c r="I73" s="2">
        <f t="shared" si="15"/>
        <v>0</v>
      </c>
      <c r="J73" s="21">
        <f t="shared" si="16"/>
        <v>24.36057731958763</v>
      </c>
      <c r="K73" s="22">
        <f t="shared" si="17"/>
        <v>0</v>
      </c>
      <c r="L73" s="21">
        <f t="shared" si="18"/>
        <v>20.270845360824744</v>
      </c>
      <c r="M73" s="21">
        <f t="shared" si="19"/>
        <v>0</v>
      </c>
      <c r="N73" s="21">
        <f t="shared" si="20"/>
        <v>18.137072164948457</v>
      </c>
      <c r="O73" s="21">
        <f t="shared" si="21"/>
        <v>0</v>
      </c>
      <c r="P73" s="21">
        <f t="shared" si="22"/>
        <v>16.447835051546392</v>
      </c>
      <c r="Q73" s="576">
        <f t="shared" si="23"/>
        <v>0</v>
      </c>
      <c r="R73" s="740"/>
    </row>
    <row r="74" spans="1:18" s="151" customFormat="1" ht="15" thickBot="1">
      <c r="A74" s="1321"/>
      <c r="B74" s="221"/>
      <c r="C74" s="275" t="s">
        <v>465</v>
      </c>
      <c r="D74" s="276" t="s">
        <v>4109</v>
      </c>
      <c r="E74" s="277">
        <v>941.23711340206194</v>
      </c>
      <c r="F74" s="3">
        <f t="shared" si="12"/>
        <v>517.68041237113414</v>
      </c>
      <c r="G74" s="3">
        <f t="shared" si="13"/>
        <v>0</v>
      </c>
      <c r="H74" s="21">
        <f t="shared" si="14"/>
        <v>16.23963453608248</v>
      </c>
      <c r="I74" s="2">
        <f t="shared" si="15"/>
        <v>0</v>
      </c>
      <c r="J74" s="21">
        <f t="shared" si="16"/>
        <v>14.184443298969075</v>
      </c>
      <c r="K74" s="22">
        <f t="shared" si="17"/>
        <v>0</v>
      </c>
      <c r="L74" s="21">
        <f t="shared" si="18"/>
        <v>11.803113402061859</v>
      </c>
      <c r="M74" s="21">
        <f t="shared" si="19"/>
        <v>0</v>
      </c>
      <c r="N74" s="21">
        <f t="shared" si="20"/>
        <v>10.560680412371138</v>
      </c>
      <c r="O74" s="21">
        <f t="shared" si="21"/>
        <v>0</v>
      </c>
      <c r="P74" s="21">
        <f t="shared" si="22"/>
        <v>9.5770876288659803</v>
      </c>
      <c r="Q74" s="576">
        <f t="shared" si="23"/>
        <v>0</v>
      </c>
      <c r="R74" s="740"/>
    </row>
    <row r="75" spans="1:18" s="156" customFormat="1" ht="13.5" customHeight="1" thickBot="1">
      <c r="A75" s="1321"/>
      <c r="B75" s="221"/>
      <c r="C75" s="275" t="s">
        <v>3736</v>
      </c>
      <c r="D75" s="276" t="s">
        <v>3961</v>
      </c>
      <c r="E75" s="277">
        <v>9979.3814432989693</v>
      </c>
      <c r="F75" s="3">
        <f t="shared" si="12"/>
        <v>5488.6597938144332</v>
      </c>
      <c r="G75" s="3">
        <f t="shared" si="13"/>
        <v>0</v>
      </c>
      <c r="H75" s="21">
        <f t="shared" si="14"/>
        <v>172.17925773195878</v>
      </c>
      <c r="I75" s="2">
        <f t="shared" si="15"/>
        <v>0</v>
      </c>
      <c r="J75" s="21">
        <f t="shared" si="16"/>
        <v>150.38927835051547</v>
      </c>
      <c r="K75" s="22">
        <f t="shared" si="17"/>
        <v>0</v>
      </c>
      <c r="L75" s="21">
        <f t="shared" si="18"/>
        <v>125.14144329896908</v>
      </c>
      <c r="M75" s="21">
        <f t="shared" si="19"/>
        <v>0</v>
      </c>
      <c r="N75" s="21">
        <f t="shared" si="20"/>
        <v>111.96865979381444</v>
      </c>
      <c r="O75" s="21">
        <f t="shared" si="21"/>
        <v>0</v>
      </c>
      <c r="P75" s="21">
        <f t="shared" si="22"/>
        <v>101.54020618556702</v>
      </c>
      <c r="Q75" s="576">
        <f t="shared" si="23"/>
        <v>0</v>
      </c>
      <c r="R75" s="740"/>
    </row>
    <row r="76" spans="1:18" s="151" customFormat="1" ht="29.25" thickBot="1">
      <c r="A76" s="1321"/>
      <c r="B76" s="221"/>
      <c r="C76" s="275" t="s">
        <v>575</v>
      </c>
      <c r="D76" s="276" t="s">
        <v>3962</v>
      </c>
      <c r="E76" s="277">
        <v>12020.618556701031</v>
      </c>
      <c r="F76" s="3">
        <f t="shared" si="12"/>
        <v>6611.3402061855677</v>
      </c>
      <c r="G76" s="3">
        <f t="shared" si="13"/>
        <v>0</v>
      </c>
      <c r="H76" s="21">
        <f t="shared" si="14"/>
        <v>207.39774226804127</v>
      </c>
      <c r="I76" s="2">
        <f t="shared" si="15"/>
        <v>0</v>
      </c>
      <c r="J76" s="21">
        <f t="shared" si="16"/>
        <v>181.15072164948455</v>
      </c>
      <c r="K76" s="22">
        <f t="shared" si="17"/>
        <v>0</v>
      </c>
      <c r="L76" s="21">
        <f t="shared" si="18"/>
        <v>150.73855670103094</v>
      </c>
      <c r="M76" s="21">
        <f t="shared" si="19"/>
        <v>0</v>
      </c>
      <c r="N76" s="21">
        <f t="shared" si="20"/>
        <v>134.87134020618558</v>
      </c>
      <c r="O76" s="21">
        <f t="shared" si="21"/>
        <v>0</v>
      </c>
      <c r="P76" s="21">
        <f t="shared" si="22"/>
        <v>122.30979381443299</v>
      </c>
      <c r="Q76" s="576">
        <f t="shared" si="23"/>
        <v>0</v>
      </c>
      <c r="R76" s="740"/>
    </row>
    <row r="77" spans="1:18" s="151" customFormat="1" ht="15" thickBot="1">
      <c r="A77" s="1321"/>
      <c r="B77" s="221"/>
      <c r="C77" s="275" t="s">
        <v>3740</v>
      </c>
      <c r="D77" s="276" t="s">
        <v>3851</v>
      </c>
      <c r="E77" s="277">
        <v>947.42268041237116</v>
      </c>
      <c r="F77" s="3">
        <f t="shared" si="12"/>
        <v>521.08247422680415</v>
      </c>
      <c r="G77" s="3">
        <f t="shared" si="13"/>
        <v>0</v>
      </c>
      <c r="H77" s="21">
        <f t="shared" si="14"/>
        <v>16.346357216494848</v>
      </c>
      <c r="I77" s="2">
        <f t="shared" si="15"/>
        <v>0</v>
      </c>
      <c r="J77" s="21">
        <f t="shared" si="16"/>
        <v>14.277659793814435</v>
      </c>
      <c r="K77" s="22">
        <f t="shared" si="17"/>
        <v>0</v>
      </c>
      <c r="L77" s="21">
        <f t="shared" si="18"/>
        <v>11.880680412371134</v>
      </c>
      <c r="M77" s="21">
        <f t="shared" si="19"/>
        <v>0</v>
      </c>
      <c r="N77" s="21">
        <f t="shared" si="20"/>
        <v>10.630082474226805</v>
      </c>
      <c r="O77" s="21">
        <f t="shared" si="21"/>
        <v>0</v>
      </c>
      <c r="P77" s="21">
        <f t="shared" si="22"/>
        <v>9.6400257731958767</v>
      </c>
      <c r="Q77" s="576">
        <f t="shared" si="23"/>
        <v>0</v>
      </c>
      <c r="R77" s="740"/>
    </row>
    <row r="78" spans="1:18" s="151" customFormat="1" ht="13.5" thickBot="1">
      <c r="A78" s="1321"/>
      <c r="B78" s="221"/>
      <c r="C78" s="280" t="s">
        <v>3741</v>
      </c>
      <c r="D78" s="279" t="s">
        <v>3852</v>
      </c>
      <c r="E78" s="263">
        <v>4307.216494845361</v>
      </c>
      <c r="F78" s="3">
        <f t="shared" si="12"/>
        <v>2368.9690721649486</v>
      </c>
      <c r="G78" s="3">
        <f t="shared" si="13"/>
        <v>0</v>
      </c>
      <c r="H78" s="21">
        <f t="shared" si="14"/>
        <v>74.314559793814439</v>
      </c>
      <c r="I78" s="2">
        <f t="shared" si="15"/>
        <v>0</v>
      </c>
      <c r="J78" s="21">
        <f t="shared" si="16"/>
        <v>64.909752577319594</v>
      </c>
      <c r="K78" s="22">
        <f t="shared" si="17"/>
        <v>0</v>
      </c>
      <c r="L78" s="21">
        <f t="shared" si="18"/>
        <v>54.012494845360827</v>
      </c>
      <c r="M78" s="21">
        <f t="shared" si="19"/>
        <v>0</v>
      </c>
      <c r="N78" s="21">
        <f t="shared" si="20"/>
        <v>48.326969072164957</v>
      </c>
      <c r="O78" s="21">
        <f t="shared" si="21"/>
        <v>0</v>
      </c>
      <c r="P78" s="21">
        <f t="shared" si="22"/>
        <v>43.825927835051544</v>
      </c>
      <c r="Q78" s="576">
        <f t="shared" si="23"/>
        <v>0</v>
      </c>
      <c r="R78" s="740"/>
    </row>
    <row r="79" spans="1:18" s="151" customFormat="1" ht="15" thickBot="1">
      <c r="A79" s="1321"/>
      <c r="B79" s="221"/>
      <c r="C79" s="275" t="s">
        <v>4123</v>
      </c>
      <c r="D79" s="276" t="s">
        <v>4110</v>
      </c>
      <c r="E79" s="277">
        <v>1769.0721649484537</v>
      </c>
      <c r="F79" s="3">
        <f t="shared" si="12"/>
        <v>972.98969072164959</v>
      </c>
      <c r="G79" s="3">
        <f t="shared" si="13"/>
        <v>0</v>
      </c>
      <c r="H79" s="21">
        <f t="shared" si="14"/>
        <v>30.522686597938151</v>
      </c>
      <c r="I79" s="2">
        <f t="shared" si="15"/>
        <v>0</v>
      </c>
      <c r="J79" s="21">
        <f t="shared" si="16"/>
        <v>26.659917525773199</v>
      </c>
      <c r="K79" s="22">
        <f t="shared" si="17"/>
        <v>0</v>
      </c>
      <c r="L79" s="21">
        <f t="shared" si="18"/>
        <v>22.18416494845361</v>
      </c>
      <c r="M79" s="21">
        <f t="shared" si="19"/>
        <v>0</v>
      </c>
      <c r="N79" s="21">
        <f t="shared" si="20"/>
        <v>19.848989690721652</v>
      </c>
      <c r="O79" s="21">
        <f t="shared" si="21"/>
        <v>0</v>
      </c>
      <c r="P79" s="21">
        <f t="shared" si="22"/>
        <v>18.000309278350517</v>
      </c>
      <c r="Q79" s="576">
        <f t="shared" si="23"/>
        <v>0</v>
      </c>
      <c r="R79" s="740"/>
    </row>
    <row r="80" spans="1:18" s="151" customFormat="1" ht="15" thickBot="1">
      <c r="A80" s="1321"/>
      <c r="B80" s="221"/>
      <c r="C80" s="275" t="s">
        <v>4124</v>
      </c>
      <c r="D80" s="276" t="s">
        <v>4111</v>
      </c>
      <c r="E80" s="277">
        <v>102.51546391752578</v>
      </c>
      <c r="F80" s="3">
        <f t="shared" si="12"/>
        <v>56.383505154639181</v>
      </c>
      <c r="G80" s="3">
        <f t="shared" si="13"/>
        <v>0</v>
      </c>
      <c r="H80" s="21">
        <f t="shared" si="14"/>
        <v>1.7687505567010313</v>
      </c>
      <c r="I80" s="2">
        <f t="shared" si="15"/>
        <v>0</v>
      </c>
      <c r="J80" s="21">
        <f t="shared" si="16"/>
        <v>1.5449080412371137</v>
      </c>
      <c r="K80" s="22">
        <f t="shared" si="17"/>
        <v>0</v>
      </c>
      <c r="L80" s="21">
        <f t="shared" si="18"/>
        <v>1.2855439175257735</v>
      </c>
      <c r="M80" s="21">
        <f t="shared" si="19"/>
        <v>0</v>
      </c>
      <c r="N80" s="21">
        <f t="shared" si="20"/>
        <v>1.1502235051546394</v>
      </c>
      <c r="O80" s="21">
        <f t="shared" si="21"/>
        <v>0</v>
      </c>
      <c r="P80" s="21">
        <f t="shared" si="22"/>
        <v>1.0430948453608249</v>
      </c>
      <c r="Q80" s="576">
        <f t="shared" si="23"/>
        <v>0</v>
      </c>
      <c r="R80" s="740"/>
    </row>
    <row r="81" spans="1:18" s="151" customFormat="1" ht="15" thickBot="1">
      <c r="A81" s="1321"/>
      <c r="B81" s="221"/>
      <c r="C81" s="275" t="s">
        <v>4125</v>
      </c>
      <c r="D81" s="276" t="s">
        <v>4112</v>
      </c>
      <c r="E81" s="277">
        <v>102.51546391752578</v>
      </c>
      <c r="F81" s="3">
        <f t="shared" si="12"/>
        <v>56.383505154639181</v>
      </c>
      <c r="G81" s="3">
        <f t="shared" si="13"/>
        <v>0</v>
      </c>
      <c r="H81" s="21">
        <f t="shared" si="14"/>
        <v>1.7687505567010313</v>
      </c>
      <c r="I81" s="2">
        <f t="shared" si="15"/>
        <v>0</v>
      </c>
      <c r="J81" s="21">
        <f t="shared" si="16"/>
        <v>1.5449080412371137</v>
      </c>
      <c r="K81" s="22">
        <f t="shared" si="17"/>
        <v>0</v>
      </c>
      <c r="L81" s="21">
        <f t="shared" si="18"/>
        <v>1.2855439175257735</v>
      </c>
      <c r="M81" s="21">
        <f t="shared" si="19"/>
        <v>0</v>
      </c>
      <c r="N81" s="21">
        <f t="shared" si="20"/>
        <v>1.1502235051546394</v>
      </c>
      <c r="O81" s="21">
        <f t="shared" si="21"/>
        <v>0</v>
      </c>
      <c r="P81" s="21">
        <f t="shared" si="22"/>
        <v>1.0430948453608249</v>
      </c>
      <c r="Q81" s="576">
        <f t="shared" si="23"/>
        <v>0</v>
      </c>
      <c r="R81" s="740"/>
    </row>
    <row r="82" spans="1:18" s="151" customFormat="1" ht="15" thickBot="1">
      <c r="A82" s="1321"/>
      <c r="B82" s="221"/>
      <c r="C82" s="275" t="s">
        <v>4126</v>
      </c>
      <c r="D82" s="276" t="s">
        <v>4113</v>
      </c>
      <c r="E82" s="277">
        <v>102.51546391752578</v>
      </c>
      <c r="F82" s="3">
        <f t="shared" si="12"/>
        <v>56.383505154639181</v>
      </c>
      <c r="G82" s="3">
        <f t="shared" si="13"/>
        <v>0</v>
      </c>
      <c r="H82" s="21">
        <f t="shared" si="14"/>
        <v>1.7687505567010313</v>
      </c>
      <c r="I82" s="2">
        <f t="shared" si="15"/>
        <v>0</v>
      </c>
      <c r="J82" s="21">
        <f t="shared" si="16"/>
        <v>1.5449080412371137</v>
      </c>
      <c r="K82" s="22">
        <f t="shared" si="17"/>
        <v>0</v>
      </c>
      <c r="L82" s="21">
        <f t="shared" si="18"/>
        <v>1.2855439175257735</v>
      </c>
      <c r="M82" s="21">
        <f t="shared" si="19"/>
        <v>0</v>
      </c>
      <c r="N82" s="21">
        <f t="shared" si="20"/>
        <v>1.1502235051546394</v>
      </c>
      <c r="O82" s="21">
        <f t="shared" si="21"/>
        <v>0</v>
      </c>
      <c r="P82" s="21">
        <f t="shared" si="22"/>
        <v>1.0430948453608249</v>
      </c>
      <c r="Q82" s="576">
        <f t="shared" si="23"/>
        <v>0</v>
      </c>
      <c r="R82" s="740"/>
    </row>
    <row r="83" spans="1:18" s="151" customFormat="1" ht="15" thickBot="1">
      <c r="A83" s="1321"/>
      <c r="B83" s="221"/>
      <c r="C83" s="275" t="s">
        <v>4127</v>
      </c>
      <c r="D83" s="276" t="s">
        <v>4114</v>
      </c>
      <c r="E83" s="277">
        <v>4163.7422680412374</v>
      </c>
      <c r="F83" s="3">
        <f t="shared" si="12"/>
        <v>2290.0582474226808</v>
      </c>
      <c r="G83" s="3">
        <f t="shared" si="13"/>
        <v>0</v>
      </c>
      <c r="H83" s="21">
        <f t="shared" si="14"/>
        <v>71.839127221649505</v>
      </c>
      <c r="I83" s="2">
        <f t="shared" si="15"/>
        <v>0</v>
      </c>
      <c r="J83" s="21">
        <f t="shared" si="16"/>
        <v>62.747595979381458</v>
      </c>
      <c r="K83" s="22">
        <f t="shared" si="17"/>
        <v>0</v>
      </c>
      <c r="L83" s="21">
        <f t="shared" si="18"/>
        <v>52.213328041237126</v>
      </c>
      <c r="M83" s="21">
        <f t="shared" si="19"/>
        <v>0</v>
      </c>
      <c r="N83" s="21">
        <f t="shared" si="20"/>
        <v>46.71718824742269</v>
      </c>
      <c r="O83" s="21">
        <f t="shared" si="21"/>
        <v>0</v>
      </c>
      <c r="P83" s="21">
        <f t="shared" si="22"/>
        <v>42.366077577319594</v>
      </c>
      <c r="Q83" s="576">
        <f t="shared" si="23"/>
        <v>0</v>
      </c>
      <c r="R83" s="740"/>
    </row>
    <row r="84" spans="1:18" s="151" customFormat="1" ht="15" thickBot="1">
      <c r="A84" s="1321"/>
      <c r="B84" s="221"/>
      <c r="C84" s="275" t="s">
        <v>4128</v>
      </c>
      <c r="D84" s="276" t="s">
        <v>4115</v>
      </c>
      <c r="E84" s="277">
        <v>3693.9484536082477</v>
      </c>
      <c r="F84" s="3">
        <f>E84*(1-45%)</f>
        <v>2031.6716494845364</v>
      </c>
      <c r="G84" s="3">
        <f>F84*B84</f>
        <v>0</v>
      </c>
      <c r="H84" s="21">
        <f>F84*0.03137</f>
        <v>63.733539644329909</v>
      </c>
      <c r="I84" s="2">
        <f>H84*B84</f>
        <v>0</v>
      </c>
      <c r="J84" s="21">
        <f>F84*0.0274</f>
        <v>55.667803195876296</v>
      </c>
      <c r="K84" s="22">
        <f>J84*B84</f>
        <v>0</v>
      </c>
      <c r="L84" s="21">
        <f>F84*0.0228</f>
        <v>46.322113608247435</v>
      </c>
      <c r="M84" s="21">
        <f>L84*B84</f>
        <v>0</v>
      </c>
      <c r="N84" s="21">
        <f>F84*0.0204</f>
        <v>41.446101649484547</v>
      </c>
      <c r="O84" s="21">
        <f>N84*B84</f>
        <v>0</v>
      </c>
      <c r="P84" s="21">
        <f>F84*0.0185</f>
        <v>37.58592551546392</v>
      </c>
      <c r="Q84" s="576">
        <f>P84*B84</f>
        <v>0</v>
      </c>
      <c r="R84" s="740"/>
    </row>
    <row r="85" spans="1:18" s="151" customFormat="1" ht="15" thickBot="1">
      <c r="A85" s="1321"/>
      <c r="B85" s="221"/>
      <c r="C85" s="275" t="s">
        <v>4129</v>
      </c>
      <c r="D85" s="276" t="s">
        <v>4116</v>
      </c>
      <c r="E85" s="277">
        <v>3693.9484536082477</v>
      </c>
      <c r="F85" s="3">
        <f>E85*(1-45%)</f>
        <v>2031.6716494845364</v>
      </c>
      <c r="G85" s="3">
        <f>F85*B85</f>
        <v>0</v>
      </c>
      <c r="H85" s="21">
        <f>F85*0.03137</f>
        <v>63.733539644329909</v>
      </c>
      <c r="I85" s="2">
        <f>H85*B85</f>
        <v>0</v>
      </c>
      <c r="J85" s="21">
        <f>F85*0.0274</f>
        <v>55.667803195876296</v>
      </c>
      <c r="K85" s="22">
        <f>J85*B85</f>
        <v>0</v>
      </c>
      <c r="L85" s="21">
        <f>F85*0.0228</f>
        <v>46.322113608247435</v>
      </c>
      <c r="M85" s="21">
        <f>L85*B85</f>
        <v>0</v>
      </c>
      <c r="N85" s="21">
        <f>F85*0.0204</f>
        <v>41.446101649484547</v>
      </c>
      <c r="O85" s="21">
        <f>N85*B85</f>
        <v>0</v>
      </c>
      <c r="P85" s="21">
        <f>F85*0.0185</f>
        <v>37.58592551546392</v>
      </c>
      <c r="Q85" s="576">
        <f>P85*B85</f>
        <v>0</v>
      </c>
      <c r="R85" s="740"/>
    </row>
    <row r="86" spans="1:18" s="156" customFormat="1" ht="32.25" customHeight="1" thickBot="1">
      <c r="A86" s="1321"/>
      <c r="B86" s="221"/>
      <c r="C86" s="275" t="s">
        <v>4130</v>
      </c>
      <c r="D86" s="276" t="s">
        <v>4117</v>
      </c>
      <c r="E86" s="277">
        <v>23679.123711340206</v>
      </c>
      <c r="F86" s="3">
        <f t="shared" si="12"/>
        <v>13023.518041237114</v>
      </c>
      <c r="G86" s="3">
        <f t="shared" si="13"/>
        <v>0</v>
      </c>
      <c r="H86" s="21">
        <f t="shared" si="14"/>
        <v>408.5477609536083</v>
      </c>
      <c r="I86" s="2">
        <f t="shared" si="15"/>
        <v>0</v>
      </c>
      <c r="J86" s="21">
        <f t="shared" si="16"/>
        <v>356.84439432989694</v>
      </c>
      <c r="K86" s="22">
        <f t="shared" si="17"/>
        <v>0</v>
      </c>
      <c r="L86" s="21">
        <f t="shared" si="18"/>
        <v>296.93621134020623</v>
      </c>
      <c r="M86" s="21">
        <f t="shared" si="19"/>
        <v>0</v>
      </c>
      <c r="N86" s="21">
        <f t="shared" si="20"/>
        <v>265.67976804123714</v>
      </c>
      <c r="O86" s="21">
        <f t="shared" si="21"/>
        <v>0</v>
      </c>
      <c r="P86" s="21">
        <f t="shared" si="22"/>
        <v>240.93508376288659</v>
      </c>
      <c r="Q86" s="576">
        <f t="shared" si="23"/>
        <v>0</v>
      </c>
      <c r="R86" s="740"/>
    </row>
    <row r="87" spans="1:18" s="151" customFormat="1" ht="15" thickBot="1">
      <c r="A87" s="1321"/>
      <c r="B87" s="221"/>
      <c r="C87" s="275" t="s">
        <v>4131</v>
      </c>
      <c r="D87" s="276" t="s">
        <v>4118</v>
      </c>
      <c r="E87" s="277">
        <v>3519.5876288659797</v>
      </c>
      <c r="F87" s="3">
        <f t="shared" si="12"/>
        <v>1935.773195876289</v>
      </c>
      <c r="G87" s="3">
        <f t="shared" si="13"/>
        <v>0</v>
      </c>
      <c r="H87" s="21">
        <f t="shared" si="14"/>
        <v>60.725205154639191</v>
      </c>
      <c r="I87" s="2">
        <f t="shared" si="15"/>
        <v>0</v>
      </c>
      <c r="J87" s="21">
        <f t="shared" si="16"/>
        <v>53.040185567010319</v>
      </c>
      <c r="K87" s="22">
        <f t="shared" si="17"/>
        <v>0</v>
      </c>
      <c r="L87" s="21">
        <f t="shared" si="18"/>
        <v>44.135628865979392</v>
      </c>
      <c r="M87" s="21">
        <f t="shared" si="19"/>
        <v>0</v>
      </c>
      <c r="N87" s="21">
        <f t="shared" si="20"/>
        <v>39.489773195876296</v>
      </c>
      <c r="O87" s="21">
        <f t="shared" si="21"/>
        <v>0</v>
      </c>
      <c r="P87" s="21">
        <f t="shared" si="22"/>
        <v>35.811804123711347</v>
      </c>
      <c r="Q87" s="576">
        <f t="shared" si="23"/>
        <v>0</v>
      </c>
      <c r="R87" s="740"/>
    </row>
    <row r="88" spans="1:18" s="151" customFormat="1" ht="15" thickBot="1">
      <c r="A88" s="1321"/>
      <c r="B88" s="221"/>
      <c r="C88" s="275" t="s">
        <v>4132</v>
      </c>
      <c r="D88" s="276" t="s">
        <v>4119</v>
      </c>
      <c r="E88" s="277">
        <v>7320.6185567010307</v>
      </c>
      <c r="F88" s="3">
        <f t="shared" si="12"/>
        <v>4026.3402061855672</v>
      </c>
      <c r="G88" s="3">
        <f t="shared" si="13"/>
        <v>0</v>
      </c>
      <c r="H88" s="21">
        <f t="shared" si="14"/>
        <v>126.30629226804125</v>
      </c>
      <c r="I88" s="2">
        <f t="shared" si="15"/>
        <v>0</v>
      </c>
      <c r="J88" s="21">
        <f t="shared" si="16"/>
        <v>110.32172164948454</v>
      </c>
      <c r="K88" s="22">
        <f t="shared" si="17"/>
        <v>0</v>
      </c>
      <c r="L88" s="21">
        <f t="shared" si="18"/>
        <v>91.800556701030942</v>
      </c>
      <c r="M88" s="21">
        <f t="shared" si="19"/>
        <v>0</v>
      </c>
      <c r="N88" s="21">
        <f t="shared" si="20"/>
        <v>82.137340206185584</v>
      </c>
      <c r="O88" s="21">
        <f t="shared" si="21"/>
        <v>0</v>
      </c>
      <c r="P88" s="21">
        <f t="shared" si="22"/>
        <v>74.487293814432988</v>
      </c>
      <c r="Q88" s="576">
        <f t="shared" si="23"/>
        <v>0</v>
      </c>
      <c r="R88" s="740"/>
    </row>
    <row r="89" spans="1:18" s="151" customFormat="1" ht="29.25" thickBot="1">
      <c r="A89" s="1321"/>
      <c r="B89" s="221"/>
      <c r="C89" s="275" t="s">
        <v>4133</v>
      </c>
      <c r="D89" s="276" t="s">
        <v>4120</v>
      </c>
      <c r="E89" s="277">
        <v>2524.7422680412374</v>
      </c>
      <c r="F89" s="3">
        <f t="shared" si="12"/>
        <v>1388.6082474226807</v>
      </c>
      <c r="G89" s="3">
        <f t="shared" si="13"/>
        <v>0</v>
      </c>
      <c r="H89" s="21">
        <f t="shared" si="14"/>
        <v>43.560640721649499</v>
      </c>
      <c r="I89" s="2">
        <f t="shared" si="15"/>
        <v>0</v>
      </c>
      <c r="J89" s="21">
        <f t="shared" si="16"/>
        <v>38.047865979381456</v>
      </c>
      <c r="K89" s="22">
        <f t="shared" si="17"/>
        <v>0</v>
      </c>
      <c r="L89" s="21">
        <f t="shared" si="18"/>
        <v>31.660268041237121</v>
      </c>
      <c r="M89" s="21">
        <f t="shared" si="19"/>
        <v>0</v>
      </c>
      <c r="N89" s="21">
        <f t="shared" si="20"/>
        <v>28.327608247422688</v>
      </c>
      <c r="O89" s="21">
        <f t="shared" si="21"/>
        <v>0</v>
      </c>
      <c r="P89" s="21">
        <f t="shared" si="22"/>
        <v>25.689252577319593</v>
      </c>
      <c r="Q89" s="576">
        <f t="shared" si="23"/>
        <v>0</v>
      </c>
      <c r="R89" s="740"/>
    </row>
    <row r="90" spans="1:18" s="151" customFormat="1" ht="29.25" thickBot="1">
      <c r="A90" s="1321"/>
      <c r="B90" s="221"/>
      <c r="C90" s="275" t="s">
        <v>4134</v>
      </c>
      <c r="D90" s="276" t="s">
        <v>4121</v>
      </c>
      <c r="E90" s="277">
        <v>3535.0515463917527</v>
      </c>
      <c r="F90" s="3">
        <f t="shared" si="12"/>
        <v>1944.2783505154641</v>
      </c>
      <c r="G90" s="3">
        <f t="shared" si="13"/>
        <v>0</v>
      </c>
      <c r="H90" s="21">
        <f t="shared" si="14"/>
        <v>60.992011855670114</v>
      </c>
      <c r="I90" s="2">
        <f t="shared" si="15"/>
        <v>0</v>
      </c>
      <c r="J90" s="21">
        <f t="shared" si="16"/>
        <v>53.273226804123716</v>
      </c>
      <c r="K90" s="22">
        <f t="shared" si="17"/>
        <v>0</v>
      </c>
      <c r="L90" s="21">
        <f t="shared" si="18"/>
        <v>44.329546391752586</v>
      </c>
      <c r="M90" s="21">
        <f t="shared" si="19"/>
        <v>0</v>
      </c>
      <c r="N90" s="21">
        <f t="shared" si="20"/>
        <v>39.663278350515469</v>
      </c>
      <c r="O90" s="21">
        <f t="shared" si="21"/>
        <v>0</v>
      </c>
      <c r="P90" s="21">
        <f t="shared" si="22"/>
        <v>35.969149484536082</v>
      </c>
      <c r="Q90" s="576">
        <f t="shared" si="23"/>
        <v>0</v>
      </c>
      <c r="R90" s="740"/>
    </row>
    <row r="91" spans="1:18" s="156" customFormat="1" ht="15" thickBot="1">
      <c r="A91" s="1321"/>
      <c r="B91" s="221"/>
      <c r="C91" s="275" t="s">
        <v>3838</v>
      </c>
      <c r="D91" s="276" t="s">
        <v>4122</v>
      </c>
      <c r="E91" s="277">
        <v>514.43298969072168</v>
      </c>
      <c r="F91" s="3">
        <f t="shared" si="12"/>
        <v>282.93814432989694</v>
      </c>
      <c r="G91" s="3">
        <f t="shared" si="13"/>
        <v>0</v>
      </c>
      <c r="H91" s="21">
        <f t="shared" si="14"/>
        <v>8.8757695876288683</v>
      </c>
      <c r="I91" s="2">
        <f t="shared" si="15"/>
        <v>0</v>
      </c>
      <c r="J91" s="21">
        <f t="shared" si="16"/>
        <v>7.7525051546391763</v>
      </c>
      <c r="K91" s="22">
        <f t="shared" si="17"/>
        <v>0</v>
      </c>
      <c r="L91" s="21">
        <f t="shared" si="18"/>
        <v>6.4509896907216504</v>
      </c>
      <c r="M91" s="21">
        <f t="shared" si="19"/>
        <v>0</v>
      </c>
      <c r="N91" s="21">
        <f t="shared" si="20"/>
        <v>5.7719381443298978</v>
      </c>
      <c r="O91" s="21">
        <f t="shared" si="21"/>
        <v>0</v>
      </c>
      <c r="P91" s="21">
        <f t="shared" si="22"/>
        <v>5.2343556701030929</v>
      </c>
      <c r="Q91" s="576">
        <f t="shared" si="23"/>
        <v>0</v>
      </c>
      <c r="R91" s="740"/>
    </row>
    <row r="92" spans="1:18" s="151" customFormat="1" ht="13.5" thickBot="1">
      <c r="A92" s="1322"/>
      <c r="B92" s="221"/>
      <c r="C92" s="278" t="s">
        <v>800</v>
      </c>
      <c r="D92" s="279" t="s">
        <v>3464</v>
      </c>
      <c r="E92" s="263">
        <v>82.474226804123717</v>
      </c>
      <c r="F92" s="3">
        <f t="shared" si="12"/>
        <v>45.360824742268051</v>
      </c>
      <c r="G92" s="3">
        <f t="shared" si="13"/>
        <v>0</v>
      </c>
      <c r="H92" s="21">
        <f t="shared" si="14"/>
        <v>1.4229690721649488</v>
      </c>
      <c r="I92" s="2">
        <f t="shared" si="15"/>
        <v>0</v>
      </c>
      <c r="J92" s="21">
        <f t="shared" si="16"/>
        <v>1.2428865979381447</v>
      </c>
      <c r="K92" s="22">
        <f t="shared" si="17"/>
        <v>0</v>
      </c>
      <c r="L92" s="21">
        <f t="shared" si="18"/>
        <v>1.0342268041237115</v>
      </c>
      <c r="M92" s="21">
        <f t="shared" si="19"/>
        <v>0</v>
      </c>
      <c r="N92" s="21">
        <f t="shared" si="20"/>
        <v>0.92536082474226833</v>
      </c>
      <c r="O92" s="21">
        <f t="shared" si="21"/>
        <v>0</v>
      </c>
      <c r="P92" s="21">
        <f t="shared" si="22"/>
        <v>0.83917525773195889</v>
      </c>
      <c r="Q92" s="576">
        <f t="shared" si="23"/>
        <v>0</v>
      </c>
      <c r="R92" s="740"/>
    </row>
    <row r="93" spans="1:18" s="151" customFormat="1" ht="15">
      <c r="A93" s="156"/>
      <c r="B93" s="106"/>
      <c r="C93" s="106"/>
      <c r="D93" s="1263" t="s">
        <v>183</v>
      </c>
      <c r="E93" s="1228"/>
      <c r="F93" s="1228"/>
      <c r="G93" s="9">
        <f>SUM(G36:G92)+G33</f>
        <v>0</v>
      </c>
      <c r="H93" s="143" t="s">
        <v>185</v>
      </c>
      <c r="I93" s="9">
        <f>SUM(I36:I92)+I33</f>
        <v>0</v>
      </c>
      <c r="J93" s="143" t="s">
        <v>186</v>
      </c>
      <c r="K93" s="9">
        <f>SUM(K36:K92)+K33</f>
        <v>0</v>
      </c>
      <c r="L93" s="143" t="s">
        <v>187</v>
      </c>
      <c r="M93" s="9">
        <f>SUM(M36:M92)+M33</f>
        <v>0</v>
      </c>
      <c r="N93" s="143" t="s">
        <v>94</v>
      </c>
      <c r="O93" s="9">
        <f>SUM(O36:O92)+O33</f>
        <v>0</v>
      </c>
      <c r="P93" s="143" t="s">
        <v>826</v>
      </c>
      <c r="Q93" s="9">
        <f>SUM(Q36:Q92)+Q33</f>
        <v>0</v>
      </c>
    </row>
    <row r="94" spans="1:18" s="151" customFormat="1">
      <c r="A94" s="162"/>
      <c r="B94" s="104"/>
      <c r="C94" s="104"/>
      <c r="D94" s="162"/>
      <c r="E94" s="162"/>
      <c r="F94" s="172"/>
      <c r="G94" s="172"/>
      <c r="H94" s="162"/>
      <c r="I94" s="162"/>
      <c r="J94" s="162"/>
      <c r="K94" s="162"/>
      <c r="L94" s="162"/>
      <c r="M94" s="162"/>
      <c r="N94" s="162"/>
      <c r="O94" s="162"/>
      <c r="P94" s="162"/>
      <c r="Q94" s="162"/>
    </row>
    <row r="95" spans="1:18" s="151" customFormat="1" ht="15.75">
      <c r="A95" s="104"/>
      <c r="B95" s="271"/>
      <c r="C95" s="271"/>
      <c r="D95" s="272"/>
      <c r="E95" s="272"/>
      <c r="F95" s="273"/>
      <c r="G95" s="165"/>
      <c r="H95" s="104"/>
      <c r="I95" s="104"/>
      <c r="J95" s="104"/>
      <c r="K95" s="104"/>
      <c r="L95" s="104"/>
      <c r="M95" s="104"/>
      <c r="N95" s="104"/>
      <c r="O95" s="104"/>
      <c r="P95" s="104"/>
      <c r="Q95" s="104"/>
    </row>
    <row r="96" spans="1:18" s="156" customFormat="1">
      <c r="A96" s="104"/>
      <c r="B96" s="104"/>
      <c r="C96" s="104"/>
      <c r="D96" s="104"/>
      <c r="E96" s="104"/>
      <c r="F96" s="273"/>
      <c r="G96" s="165"/>
      <c r="H96" s="104"/>
      <c r="I96" s="104"/>
      <c r="J96" s="104"/>
      <c r="K96" s="104"/>
      <c r="L96" s="104"/>
      <c r="M96" s="104"/>
      <c r="N96" s="104"/>
      <c r="O96" s="104"/>
      <c r="P96" s="104"/>
      <c r="Q96" s="104"/>
    </row>
    <row r="97" spans="1:17" s="156" customFormat="1">
      <c r="A97" s="104"/>
      <c r="B97" s="104"/>
      <c r="C97" s="104"/>
      <c r="D97" s="104"/>
      <c r="E97" s="104"/>
      <c r="F97" s="165"/>
      <c r="G97" s="165"/>
      <c r="H97" s="104"/>
      <c r="I97" s="104"/>
      <c r="J97" s="104"/>
      <c r="K97" s="104"/>
      <c r="L97" s="104"/>
      <c r="M97" s="104"/>
      <c r="N97" s="104"/>
      <c r="O97" s="104"/>
      <c r="P97" s="104"/>
      <c r="Q97" s="104"/>
    </row>
    <row r="98" spans="1:17" s="274" customFormat="1" hidden="1">
      <c r="A98" s="104"/>
      <c r="B98" s="104"/>
      <c r="C98" s="104"/>
      <c r="D98" s="104"/>
      <c r="E98" s="104"/>
      <c r="F98" s="165"/>
      <c r="G98" s="165"/>
      <c r="H98" s="104"/>
      <c r="I98" s="104"/>
      <c r="J98" s="104"/>
      <c r="K98" s="104"/>
      <c r="L98" s="104"/>
      <c r="M98" s="104"/>
      <c r="N98" s="104"/>
      <c r="O98" s="104"/>
      <c r="P98" s="104"/>
      <c r="Q98" s="104"/>
    </row>
    <row r="99" spans="1:17" s="156" customFormat="1">
      <c r="A99" s="104"/>
      <c r="B99" s="104"/>
      <c r="C99" s="104"/>
      <c r="D99" s="104"/>
      <c r="E99" s="104"/>
      <c r="F99" s="165"/>
      <c r="G99" s="165"/>
      <c r="H99" s="104"/>
      <c r="I99" s="104"/>
      <c r="J99" s="104"/>
      <c r="K99" s="104"/>
      <c r="L99" s="104"/>
      <c r="M99" s="104"/>
      <c r="N99" s="104"/>
      <c r="O99" s="104"/>
      <c r="P99" s="104"/>
      <c r="Q99" s="104"/>
    </row>
    <row r="100" spans="1:17" s="162" customFormat="1">
      <c r="A100" s="104"/>
      <c r="B100" s="104"/>
      <c r="C100" s="104"/>
      <c r="D100" s="104"/>
      <c r="E100" s="104"/>
      <c r="F100" s="165"/>
      <c r="G100" s="165"/>
      <c r="H100" s="104"/>
      <c r="I100" s="104"/>
      <c r="J100" s="104"/>
      <c r="K100" s="104"/>
      <c r="L100" s="104"/>
      <c r="M100" s="104"/>
      <c r="N100" s="104"/>
      <c r="O100" s="104"/>
      <c r="P100" s="104"/>
      <c r="Q100" s="104"/>
    </row>
    <row r="113" spans="2:3">
      <c r="B113" s="106"/>
      <c r="C113" s="106"/>
    </row>
  </sheetData>
  <mergeCells count="20">
    <mergeCell ref="H31:Q31"/>
    <mergeCell ref="A27:Q27"/>
    <mergeCell ref="A28:Q28"/>
    <mergeCell ref="A33:A34"/>
    <mergeCell ref="D93:F93"/>
    <mergeCell ref="F31:G31"/>
    <mergeCell ref="B33:B34"/>
    <mergeCell ref="G33:G34"/>
    <mergeCell ref="I33:I34"/>
    <mergeCell ref="K33:K34"/>
    <mergeCell ref="M33:M34"/>
    <mergeCell ref="O33:O34"/>
    <mergeCell ref="Q33:Q34"/>
    <mergeCell ref="A35:Q35"/>
    <mergeCell ref="A36:A92"/>
    <mergeCell ref="A4:O4"/>
    <mergeCell ref="A5:O5"/>
    <mergeCell ref="H8:J8"/>
    <mergeCell ref="G11:H11"/>
    <mergeCell ref="D22:D23"/>
  </mergeCells>
  <pageMargins left="0.52" right="0.19" top="0.47" bottom="0.43" header="0.3" footer="0.22"/>
  <pageSetup scale="36" firstPageNumber="6" orientation="landscape" useFirstPageNumber="1" r:id="rId1"/>
  <headerFooter alignWithMargins="0">
    <oddHeader>&amp;L&amp;"Arial,Bold"VITA CONTRACT #: VA-191121-VBS</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0CCAF-32FA-45A0-A67D-DBC261BFA472}">
  <sheetPr>
    <tabColor indexed="62"/>
  </sheetPr>
  <dimension ref="A1:Q173"/>
  <sheetViews>
    <sheetView topLeftCell="A26" zoomScale="96" zoomScaleNormal="96" workbookViewId="0">
      <selection activeCell="F30" sqref="F30"/>
    </sheetView>
  </sheetViews>
  <sheetFormatPr defaultColWidth="8.85546875" defaultRowHeight="12.75"/>
  <cols>
    <col min="1" max="1" width="15" style="378" customWidth="1"/>
    <col min="2" max="2" width="10" style="378" customWidth="1"/>
    <col min="3" max="3" width="14" style="378" customWidth="1"/>
    <col min="4" max="4" width="44.42578125" style="378" customWidth="1"/>
    <col min="5" max="5" width="17.42578125" style="378" customWidth="1"/>
    <col min="6" max="6" width="15.5703125" style="455" customWidth="1"/>
    <col min="7" max="7" width="23.42578125" style="455" customWidth="1"/>
    <col min="8" max="8" width="28.28515625" style="378" bestFit="1" customWidth="1"/>
    <col min="9" max="9" width="19" style="378" customWidth="1"/>
    <col min="10" max="10" width="25" style="378" bestFit="1" customWidth="1"/>
    <col min="11" max="11" width="19" style="378" customWidth="1"/>
    <col min="12" max="12" width="25" style="378" bestFit="1" customWidth="1"/>
    <col min="13" max="13" width="18.42578125" style="378" customWidth="1"/>
    <col min="14" max="14" width="25" style="378" bestFit="1" customWidth="1"/>
    <col min="15" max="15" width="19.28515625" style="378" customWidth="1"/>
    <col min="16" max="16" width="25" style="378" bestFit="1" customWidth="1"/>
    <col min="17" max="17" width="19.28515625" style="378" customWidth="1"/>
    <col min="18" max="16384" width="8.85546875" style="378"/>
  </cols>
  <sheetData>
    <row r="1" spans="1:17" ht="13.5" thickBot="1">
      <c r="B1" s="379"/>
      <c r="C1" s="379"/>
      <c r="D1" s="380"/>
      <c r="E1" s="380"/>
      <c r="F1" s="381"/>
      <c r="G1" s="381"/>
      <c r="H1" s="381"/>
      <c r="I1" s="381"/>
      <c r="J1" s="381"/>
      <c r="K1" s="380"/>
      <c r="L1" s="381"/>
    </row>
    <row r="2" spans="1:17" ht="9" customHeight="1">
      <c r="A2" s="382"/>
      <c r="B2" s="383"/>
      <c r="C2" s="383"/>
      <c r="D2" s="384"/>
      <c r="E2" s="384"/>
      <c r="F2" s="385"/>
      <c r="G2" s="385"/>
      <c r="H2" s="385"/>
      <c r="I2" s="386"/>
      <c r="J2" s="386"/>
      <c r="K2" s="386"/>
      <c r="L2" s="386"/>
      <c r="M2" s="382"/>
      <c r="N2" s="382"/>
      <c r="O2" s="382"/>
      <c r="P2" s="382"/>
      <c r="Q2" s="382"/>
    </row>
    <row r="3" spans="1:17" ht="10.5" customHeight="1">
      <c r="B3" s="379"/>
      <c r="C3" s="379"/>
      <c r="D3" s="380"/>
      <c r="E3" s="380"/>
      <c r="F3" s="381"/>
      <c r="G3" s="381"/>
      <c r="H3" s="381"/>
      <c r="I3" s="387"/>
      <c r="J3" s="387"/>
      <c r="K3" s="387"/>
      <c r="L3" s="387"/>
    </row>
    <row r="4" spans="1:17" ht="36" customHeight="1">
      <c r="A4" s="1141" t="s">
        <v>4302</v>
      </c>
      <c r="B4" s="1023"/>
      <c r="C4" s="1023"/>
      <c r="D4" s="1023"/>
      <c r="E4" s="1023"/>
      <c r="F4" s="1023"/>
      <c r="G4" s="1023"/>
      <c r="H4" s="1023"/>
      <c r="I4" s="1023"/>
      <c r="J4" s="1023"/>
      <c r="K4" s="1023"/>
      <c r="L4" s="1023"/>
      <c r="M4" s="1023"/>
      <c r="N4" s="1023"/>
      <c r="O4" s="1023"/>
    </row>
    <row r="5" spans="1:17" s="388" customFormat="1" ht="41.25" customHeight="1">
      <c r="A5" s="1196" t="s">
        <v>4303</v>
      </c>
      <c r="B5" s="1025"/>
      <c r="C5" s="1025"/>
      <c r="D5" s="1025"/>
      <c r="E5" s="1025"/>
      <c r="F5" s="1025"/>
      <c r="G5" s="1025"/>
      <c r="H5" s="1025"/>
      <c r="I5" s="1025"/>
      <c r="J5" s="1025"/>
      <c r="K5" s="1025"/>
      <c r="L5" s="1025"/>
      <c r="M5" s="1025"/>
      <c r="N5" s="1025"/>
      <c r="O5" s="1025"/>
    </row>
    <row r="6" spans="1:17" ht="9" customHeight="1" thickBot="1">
      <c r="A6" s="389"/>
      <c r="B6" s="389"/>
      <c r="C6" s="389"/>
      <c r="D6" s="389"/>
      <c r="E6" s="389"/>
      <c r="F6" s="389"/>
      <c r="G6" s="389"/>
      <c r="H6" s="389"/>
      <c r="I6" s="389"/>
      <c r="J6" s="389"/>
      <c r="K6" s="389"/>
      <c r="L6" s="716"/>
      <c r="M6" s="389"/>
      <c r="N6" s="389"/>
      <c r="O6" s="389"/>
      <c r="P6" s="389"/>
      <c r="Q6" s="389"/>
    </row>
    <row r="7" spans="1:17" s="387" customFormat="1" ht="14.25">
      <c r="B7" s="390"/>
      <c r="C7" s="390"/>
      <c r="D7" s="391"/>
      <c r="E7" s="391"/>
      <c r="F7" s="391"/>
      <c r="G7" s="391"/>
      <c r="H7" s="391"/>
      <c r="I7" s="391"/>
      <c r="J7" s="391"/>
      <c r="K7" s="391"/>
      <c r="L7" s="391"/>
      <c r="M7" s="391"/>
      <c r="N7" s="391"/>
      <c r="O7" s="391"/>
      <c r="P7" s="391"/>
      <c r="Q7" s="391"/>
    </row>
    <row r="8" spans="1:17" s="387" customFormat="1" ht="14.25">
      <c r="F8" s="616"/>
      <c r="G8" s="616"/>
      <c r="H8" s="1188" t="s">
        <v>3</v>
      </c>
      <c r="I8" s="1188"/>
      <c r="J8" s="1188"/>
      <c r="K8" s="717"/>
    </row>
    <row r="9" spans="1:17" s="387" customFormat="1" ht="14.25">
      <c r="H9" s="200" t="s">
        <v>4</v>
      </c>
      <c r="I9" s="250" t="s">
        <v>127</v>
      </c>
      <c r="J9" s="250"/>
      <c r="L9" s="404"/>
    </row>
    <row r="10" spans="1:17" s="387" customFormat="1">
      <c r="F10" s="616"/>
      <c r="G10" s="616"/>
      <c r="H10" s="245" t="s">
        <v>9</v>
      </c>
      <c r="I10" s="250" t="s">
        <v>579</v>
      </c>
      <c r="J10" s="250"/>
      <c r="L10" s="404"/>
    </row>
    <row r="11" spans="1:17" s="387" customFormat="1">
      <c r="F11" s="616"/>
      <c r="G11" s="616"/>
      <c r="H11" s="245" t="s">
        <v>10</v>
      </c>
      <c r="I11" s="250" t="s">
        <v>128</v>
      </c>
      <c r="J11" s="250"/>
      <c r="L11" s="404"/>
    </row>
    <row r="12" spans="1:17" s="387" customFormat="1">
      <c r="B12" s="718"/>
      <c r="C12" s="718"/>
      <c r="F12" s="616"/>
      <c r="G12" s="616"/>
      <c r="H12" s="245" t="s">
        <v>11</v>
      </c>
      <c r="I12" s="250" t="s">
        <v>580</v>
      </c>
      <c r="J12" s="250"/>
      <c r="L12" s="404"/>
    </row>
    <row r="13" spans="1:17" s="387" customFormat="1">
      <c r="F13" s="424"/>
      <c r="G13" s="424"/>
      <c r="H13" s="245" t="s">
        <v>12</v>
      </c>
      <c r="I13" s="250" t="s">
        <v>129</v>
      </c>
      <c r="J13" s="250"/>
      <c r="L13" s="404"/>
    </row>
    <row r="14" spans="1:17" s="387" customFormat="1">
      <c r="F14" s="616"/>
      <c r="G14" s="616"/>
      <c r="H14" s="245" t="s">
        <v>13</v>
      </c>
      <c r="I14" s="250" t="s">
        <v>150</v>
      </c>
      <c r="J14" s="250"/>
      <c r="L14" s="404"/>
    </row>
    <row r="15" spans="1:17" s="387" customFormat="1">
      <c r="F15" s="616"/>
      <c r="G15" s="616"/>
      <c r="H15" s="196"/>
      <c r="I15" s="196" t="s">
        <v>130</v>
      </c>
      <c r="J15" s="196"/>
      <c r="L15" s="404"/>
    </row>
    <row r="16" spans="1:17" s="387" customFormat="1">
      <c r="H16" s="196"/>
      <c r="I16" s="196" t="s">
        <v>152</v>
      </c>
      <c r="J16" s="196"/>
    </row>
    <row r="17" spans="1:17" s="387" customFormat="1">
      <c r="H17" s="245" t="s">
        <v>15</v>
      </c>
      <c r="I17" s="196" t="s">
        <v>581</v>
      </c>
      <c r="J17" s="196"/>
    </row>
    <row r="18" spans="1:17" s="387" customFormat="1">
      <c r="H18" s="245" t="s">
        <v>16</v>
      </c>
      <c r="I18" s="196" t="s">
        <v>154</v>
      </c>
      <c r="J18" s="196"/>
    </row>
    <row r="19" spans="1:17" s="387" customFormat="1">
      <c r="H19" s="245" t="s">
        <v>18</v>
      </c>
      <c r="I19" s="196" t="s">
        <v>582</v>
      </c>
      <c r="J19" s="196"/>
    </row>
    <row r="20" spans="1:17" s="387" customFormat="1" ht="14.25">
      <c r="D20" s="1027"/>
      <c r="E20" s="399"/>
      <c r="H20" s="245" t="s">
        <v>19</v>
      </c>
      <c r="I20" s="196" t="s">
        <v>583</v>
      </c>
      <c r="J20" s="196"/>
    </row>
    <row r="21" spans="1:17" s="387" customFormat="1" ht="14.25">
      <c r="D21" s="1027"/>
      <c r="E21" s="399"/>
      <c r="H21" s="245" t="s">
        <v>20</v>
      </c>
      <c r="I21" s="196" t="s">
        <v>131</v>
      </c>
      <c r="J21" s="196"/>
    </row>
    <row r="22" spans="1:17" s="387" customFormat="1">
      <c r="F22" s="616"/>
      <c r="G22" s="616"/>
      <c r="H22" s="245" t="s">
        <v>21</v>
      </c>
      <c r="I22" s="250" t="s">
        <v>584</v>
      </c>
      <c r="J22" s="250"/>
    </row>
    <row r="23" spans="1:17" s="387" customFormat="1">
      <c r="F23" s="616"/>
      <c r="G23" s="616"/>
      <c r="H23" s="245" t="s">
        <v>22</v>
      </c>
      <c r="I23" s="250" t="s">
        <v>585</v>
      </c>
      <c r="J23" s="250"/>
      <c r="L23" s="404"/>
    </row>
    <row r="24" spans="1:17" s="387" customFormat="1" ht="12" customHeight="1">
      <c r="F24" s="616"/>
      <c r="G24" s="616"/>
      <c r="H24" s="392"/>
      <c r="I24" s="404"/>
      <c r="J24" s="404"/>
      <c r="L24" s="404"/>
    </row>
    <row r="25" spans="1:17" s="387" customFormat="1" ht="15" thickBot="1">
      <c r="A25" s="1188" t="s">
        <v>23</v>
      </c>
      <c r="B25" s="1188"/>
      <c r="C25" s="1188"/>
      <c r="D25" s="1188"/>
      <c r="E25" s="1188"/>
      <c r="F25" s="1188"/>
      <c r="G25" s="1188"/>
      <c r="H25" s="1188"/>
      <c r="I25" s="1188"/>
      <c r="J25" s="1188"/>
      <c r="K25" s="1188"/>
      <c r="L25" s="1188"/>
      <c r="M25" s="1188"/>
      <c r="N25" s="1188"/>
      <c r="O25" s="1188"/>
      <c r="P25" s="1188"/>
      <c r="Q25" s="1188"/>
    </row>
    <row r="26" spans="1:17" s="387" customFormat="1" ht="26.25" thickBot="1">
      <c r="A26" s="1316" t="s">
        <v>887</v>
      </c>
      <c r="B26" s="1317"/>
      <c r="C26" s="1317"/>
      <c r="D26" s="1317"/>
      <c r="E26" s="1317"/>
      <c r="F26" s="1317"/>
      <c r="G26" s="1317"/>
      <c r="H26" s="1317"/>
      <c r="I26" s="1317"/>
      <c r="J26" s="1317"/>
      <c r="K26" s="1317"/>
      <c r="L26" s="1317"/>
      <c r="M26" s="1317"/>
      <c r="N26" s="1317"/>
      <c r="O26" s="1317"/>
      <c r="P26" s="1317"/>
      <c r="Q26" s="1317"/>
    </row>
    <row r="27" spans="1:17" s="387" customFormat="1" ht="15" thickBot="1">
      <c r="D27" s="399"/>
      <c r="E27" s="399"/>
      <c r="F27" s="405"/>
      <c r="G27" s="405"/>
      <c r="I27" s="410"/>
      <c r="J27" s="410"/>
      <c r="K27" s="410"/>
      <c r="L27" s="410"/>
    </row>
    <row r="28" spans="1:17" s="387" customFormat="1" ht="13.5" thickBot="1">
      <c r="F28" s="1040" t="s">
        <v>167</v>
      </c>
      <c r="G28" s="1041"/>
      <c r="H28" s="1042" t="s">
        <v>168</v>
      </c>
      <c r="I28" s="1043"/>
      <c r="J28" s="1043"/>
      <c r="K28" s="1043"/>
      <c r="L28" s="1043"/>
      <c r="M28" s="1043"/>
      <c r="N28" s="1043"/>
      <c r="O28" s="1043"/>
      <c r="P28" s="1043"/>
      <c r="Q28" s="1206"/>
    </row>
    <row r="29" spans="1:17" s="387" customFormat="1" ht="57.75" customHeight="1" thickBot="1">
      <c r="A29" s="254" t="s">
        <v>122</v>
      </c>
      <c r="B29" s="254" t="s">
        <v>169</v>
      </c>
      <c r="C29" s="255" t="s">
        <v>170</v>
      </c>
      <c r="D29" s="255" t="s">
        <v>171</v>
      </c>
      <c r="E29" s="255" t="s">
        <v>172</v>
      </c>
      <c r="F29" s="255" t="s">
        <v>173</v>
      </c>
      <c r="G29" s="254" t="s">
        <v>174</v>
      </c>
      <c r="H29" s="255" t="s">
        <v>176</v>
      </c>
      <c r="I29" s="254" t="s">
        <v>174</v>
      </c>
      <c r="J29" s="255" t="s">
        <v>177</v>
      </c>
      <c r="K29" s="254" t="s">
        <v>174</v>
      </c>
      <c r="L29" s="255" t="s">
        <v>178</v>
      </c>
      <c r="M29" s="254" t="s">
        <v>174</v>
      </c>
      <c r="N29" s="255" t="s">
        <v>157</v>
      </c>
      <c r="O29" s="254" t="s">
        <v>174</v>
      </c>
      <c r="P29" s="255" t="s">
        <v>824</v>
      </c>
      <c r="Q29" s="254" t="s">
        <v>174</v>
      </c>
    </row>
    <row r="30" spans="1:17" s="387" customFormat="1" ht="38.25" customHeight="1" thickBot="1">
      <c r="A30" s="1287" t="s">
        <v>997</v>
      </c>
      <c r="B30" s="1288"/>
      <c r="C30" s="258" t="s">
        <v>4304</v>
      </c>
      <c r="D30" s="259" t="s">
        <v>4305</v>
      </c>
      <c r="E30" s="260">
        <v>76952.399999999994</v>
      </c>
      <c r="F30" s="720">
        <f>SUM(E30:E31)*(1-65%)</f>
        <v>27023.989999999998</v>
      </c>
      <c r="G30" s="1131">
        <f>F30*B30</f>
        <v>0</v>
      </c>
      <c r="H30" s="720">
        <f>F30*0.03137</f>
        <v>847.74256630000002</v>
      </c>
      <c r="I30" s="1131">
        <f>H30*B30</f>
        <v>0</v>
      </c>
      <c r="J30" s="720">
        <f>F30*0.0274</f>
        <v>740.45732599999997</v>
      </c>
      <c r="K30" s="1131">
        <f>J30*B30</f>
        <v>0</v>
      </c>
      <c r="L30" s="51">
        <f>F30*0.0228</f>
        <v>616.14697200000001</v>
      </c>
      <c r="M30" s="1131">
        <f>L30*B30</f>
        <v>0</v>
      </c>
      <c r="N30" s="51">
        <f>F30*0.0204</f>
        <v>551.28939600000001</v>
      </c>
      <c r="O30" s="1131">
        <f>N30*B30</f>
        <v>0</v>
      </c>
      <c r="P30" s="51">
        <f>F30*0.0185</f>
        <v>499.94381499999992</v>
      </c>
      <c r="Q30" s="1326">
        <f>P30*B30</f>
        <v>0</v>
      </c>
    </row>
    <row r="31" spans="1:17" s="387" customFormat="1" ht="12.75" customHeight="1" thickBot="1">
      <c r="A31" s="1319"/>
      <c r="B31" s="1320"/>
      <c r="C31" s="930" t="s">
        <v>104</v>
      </c>
      <c r="D31" s="267" t="s">
        <v>180</v>
      </c>
      <c r="E31" s="722">
        <v>259</v>
      </c>
      <c r="F31" s="931" t="s">
        <v>162</v>
      </c>
      <c r="G31" s="1325"/>
      <c r="H31" s="723" t="s">
        <v>162</v>
      </c>
      <c r="I31" s="1325"/>
      <c r="J31" s="723" t="s">
        <v>162</v>
      </c>
      <c r="K31" s="1325"/>
      <c r="L31" s="723" t="s">
        <v>162</v>
      </c>
      <c r="M31" s="1325"/>
      <c r="N31" s="723" t="s">
        <v>162</v>
      </c>
      <c r="O31" s="1325"/>
      <c r="P31" s="723" t="s">
        <v>162</v>
      </c>
      <c r="Q31" s="1327"/>
    </row>
    <row r="32" spans="1:17" s="266" customFormat="1" ht="15.75" customHeight="1" thickBot="1">
      <c r="A32" s="1054" t="s">
        <v>182</v>
      </c>
      <c r="B32" s="1323"/>
      <c r="C32" s="1323"/>
      <c r="D32" s="1323"/>
      <c r="E32" s="1323"/>
      <c r="F32" s="1323"/>
      <c r="G32" s="1323"/>
      <c r="H32" s="1323"/>
      <c r="I32" s="1323"/>
      <c r="J32" s="1323"/>
      <c r="K32" s="1323"/>
      <c r="L32" s="1323"/>
      <c r="M32" s="1323"/>
      <c r="N32" s="1323"/>
      <c r="O32" s="1323"/>
      <c r="P32" s="1323"/>
      <c r="Q32" s="1324"/>
    </row>
    <row r="33" spans="1:17" s="266" customFormat="1" ht="13.5" thickBot="1">
      <c r="A33" s="932"/>
      <c r="B33" s="571"/>
      <c r="C33" s="650">
        <v>7640021823</v>
      </c>
      <c r="D33" s="651" t="s">
        <v>4306</v>
      </c>
      <c r="E33" s="652">
        <v>1500</v>
      </c>
      <c r="F33" s="924">
        <f t="shared" ref="F33:F96" si="0">E33*(1-45%)</f>
        <v>825.00000000000011</v>
      </c>
      <c r="G33" s="61">
        <f t="shared" ref="G33:G96" si="1">F33*B33</f>
        <v>0</v>
      </c>
      <c r="H33" s="60">
        <f t="shared" ref="H33:H96" si="2">F33*0.03137</f>
        <v>25.880250000000004</v>
      </c>
      <c r="I33" s="61">
        <f t="shared" ref="I33:I96" si="3">H33*B33</f>
        <v>0</v>
      </c>
      <c r="J33" s="60">
        <f t="shared" ref="J33:J96" si="4">F33*0.0274</f>
        <v>22.605000000000004</v>
      </c>
      <c r="K33" s="61">
        <f t="shared" ref="K33:K96" si="5">J33*B33</f>
        <v>0</v>
      </c>
      <c r="L33" s="60">
        <f t="shared" ref="L33:L96" si="6">F33*0.0228</f>
        <v>18.810000000000002</v>
      </c>
      <c r="M33" s="60">
        <f t="shared" ref="M33:M96" si="7">L33*B33</f>
        <v>0</v>
      </c>
      <c r="N33" s="60">
        <f t="shared" ref="N33:N96" si="8">F33*0.0204</f>
        <v>16.830000000000002</v>
      </c>
      <c r="O33" s="60">
        <f t="shared" ref="O33:O96" si="9">N33*B33</f>
        <v>0</v>
      </c>
      <c r="P33" s="60">
        <f t="shared" ref="P33:P96" si="10">F33*0.0185</f>
        <v>15.262500000000001</v>
      </c>
      <c r="Q33" s="60">
        <f t="shared" ref="Q33:Q96" si="11">P33*B33</f>
        <v>0</v>
      </c>
    </row>
    <row r="34" spans="1:17" s="266" customFormat="1" ht="13.5" thickBot="1">
      <c r="A34" s="932"/>
      <c r="B34" s="548"/>
      <c r="C34" s="933" t="s">
        <v>541</v>
      </c>
      <c r="D34" s="267" t="s">
        <v>3957</v>
      </c>
      <c r="E34" s="556">
        <v>12080.64</v>
      </c>
      <c r="F34" s="59">
        <f t="shared" si="0"/>
        <v>6644.3519999999999</v>
      </c>
      <c r="G34" s="61">
        <f t="shared" si="1"/>
        <v>0</v>
      </c>
      <c r="H34" s="60">
        <f t="shared" si="2"/>
        <v>208.43332224</v>
      </c>
      <c r="I34" s="61">
        <f t="shared" si="3"/>
        <v>0</v>
      </c>
      <c r="J34" s="60">
        <f t="shared" si="4"/>
        <v>182.0552448</v>
      </c>
      <c r="K34" s="61">
        <f t="shared" si="5"/>
        <v>0</v>
      </c>
      <c r="L34" s="60">
        <f t="shared" si="6"/>
        <v>151.49122560000001</v>
      </c>
      <c r="M34" s="60">
        <f t="shared" si="7"/>
        <v>0</v>
      </c>
      <c r="N34" s="60">
        <f t="shared" si="8"/>
        <v>135.54478080000001</v>
      </c>
      <c r="O34" s="60">
        <f t="shared" si="9"/>
        <v>0</v>
      </c>
      <c r="P34" s="60">
        <f t="shared" si="10"/>
        <v>122.92051199999999</v>
      </c>
      <c r="Q34" s="60">
        <f t="shared" si="11"/>
        <v>0</v>
      </c>
    </row>
    <row r="35" spans="1:17" s="266" customFormat="1" ht="13.5" thickBot="1">
      <c r="A35" s="932"/>
      <c r="B35" s="548"/>
      <c r="C35" s="267" t="s">
        <v>3902</v>
      </c>
      <c r="D35" s="268" t="s">
        <v>4172</v>
      </c>
      <c r="E35" s="269">
        <v>3203.2</v>
      </c>
      <c r="F35" s="59">
        <f t="shared" si="0"/>
        <v>1761.76</v>
      </c>
      <c r="G35" s="62">
        <f t="shared" si="1"/>
        <v>0</v>
      </c>
      <c r="H35" s="60">
        <f t="shared" si="2"/>
        <v>55.2664112</v>
      </c>
      <c r="I35" s="61">
        <f t="shared" si="3"/>
        <v>0</v>
      </c>
      <c r="J35" s="60">
        <f t="shared" si="4"/>
        <v>48.272224000000001</v>
      </c>
      <c r="K35" s="61">
        <f t="shared" si="5"/>
        <v>0</v>
      </c>
      <c r="L35" s="60">
        <f t="shared" si="6"/>
        <v>40.168128000000003</v>
      </c>
      <c r="M35" s="60">
        <f t="shared" si="7"/>
        <v>0</v>
      </c>
      <c r="N35" s="60">
        <f t="shared" si="8"/>
        <v>35.939904000000006</v>
      </c>
      <c r="O35" s="60">
        <f t="shared" si="9"/>
        <v>0</v>
      </c>
      <c r="P35" s="60">
        <f t="shared" si="10"/>
        <v>32.592559999999999</v>
      </c>
      <c r="Q35" s="60">
        <f t="shared" si="11"/>
        <v>0</v>
      </c>
    </row>
    <row r="36" spans="1:17" s="266" customFormat="1" ht="13.5" thickBot="1">
      <c r="A36" s="932"/>
      <c r="B36" s="548"/>
      <c r="C36" s="267" t="s">
        <v>3743</v>
      </c>
      <c r="D36" s="268" t="s">
        <v>4307</v>
      </c>
      <c r="E36" s="269">
        <v>3840.72</v>
      </c>
      <c r="F36" s="59">
        <f t="shared" si="0"/>
        <v>2112.3960000000002</v>
      </c>
      <c r="G36" s="62">
        <f t="shared" si="1"/>
        <v>0</v>
      </c>
      <c r="H36" s="60">
        <f t="shared" si="2"/>
        <v>66.265862520000013</v>
      </c>
      <c r="I36" s="61">
        <f t="shared" si="3"/>
        <v>0</v>
      </c>
      <c r="J36" s="60">
        <f t="shared" si="4"/>
        <v>57.87965040000001</v>
      </c>
      <c r="K36" s="61">
        <f t="shared" si="5"/>
        <v>0</v>
      </c>
      <c r="L36" s="60">
        <f t="shared" si="6"/>
        <v>48.162628800000007</v>
      </c>
      <c r="M36" s="60">
        <f t="shared" si="7"/>
        <v>0</v>
      </c>
      <c r="N36" s="60">
        <f t="shared" si="8"/>
        <v>43.092878400000004</v>
      </c>
      <c r="O36" s="60">
        <f t="shared" si="9"/>
        <v>0</v>
      </c>
      <c r="P36" s="60">
        <f t="shared" si="10"/>
        <v>39.079326000000002</v>
      </c>
      <c r="Q36" s="60">
        <f t="shared" si="11"/>
        <v>0</v>
      </c>
    </row>
    <row r="37" spans="1:17" s="266" customFormat="1" ht="13.5" thickBot="1">
      <c r="A37" s="932"/>
      <c r="B37" s="548"/>
      <c r="C37" s="267" t="s">
        <v>614</v>
      </c>
      <c r="D37" s="268" t="s">
        <v>4086</v>
      </c>
      <c r="E37" s="269">
        <v>3501.91</v>
      </c>
      <c r="F37" s="59">
        <f t="shared" si="0"/>
        <v>1926.0505000000001</v>
      </c>
      <c r="G37" s="62">
        <f t="shared" si="1"/>
        <v>0</v>
      </c>
      <c r="H37" s="60">
        <f t="shared" si="2"/>
        <v>60.420204185000003</v>
      </c>
      <c r="I37" s="61">
        <f t="shared" si="3"/>
        <v>0</v>
      </c>
      <c r="J37" s="60">
        <f t="shared" si="4"/>
        <v>52.773783700000003</v>
      </c>
      <c r="K37" s="61">
        <f t="shared" si="5"/>
        <v>0</v>
      </c>
      <c r="L37" s="60">
        <f t="shared" si="6"/>
        <v>43.913951400000002</v>
      </c>
      <c r="M37" s="60">
        <f t="shared" si="7"/>
        <v>0</v>
      </c>
      <c r="N37" s="60">
        <f t="shared" si="8"/>
        <v>39.291430200000001</v>
      </c>
      <c r="O37" s="60">
        <f t="shared" si="9"/>
        <v>0</v>
      </c>
      <c r="P37" s="60">
        <f t="shared" si="10"/>
        <v>35.63193425</v>
      </c>
      <c r="Q37" s="60">
        <f t="shared" si="11"/>
        <v>0</v>
      </c>
    </row>
    <row r="38" spans="1:17" s="266" customFormat="1" ht="13.5" thickBot="1">
      <c r="A38" s="932"/>
      <c r="B38" s="548"/>
      <c r="C38" s="267" t="s">
        <v>604</v>
      </c>
      <c r="D38" s="268" t="s">
        <v>4076</v>
      </c>
      <c r="E38" s="269">
        <v>1580.85</v>
      </c>
      <c r="F38" s="59">
        <f t="shared" si="0"/>
        <v>869.46749999999997</v>
      </c>
      <c r="G38" s="62">
        <f t="shared" si="1"/>
        <v>0</v>
      </c>
      <c r="H38" s="60">
        <f t="shared" si="2"/>
        <v>27.275195475</v>
      </c>
      <c r="I38" s="61">
        <f t="shared" si="3"/>
        <v>0</v>
      </c>
      <c r="J38" s="60">
        <f t="shared" si="4"/>
        <v>23.8234095</v>
      </c>
      <c r="K38" s="61">
        <f t="shared" si="5"/>
        <v>0</v>
      </c>
      <c r="L38" s="60">
        <f t="shared" si="6"/>
        <v>19.823858999999999</v>
      </c>
      <c r="M38" s="60">
        <f t="shared" si="7"/>
        <v>0</v>
      </c>
      <c r="N38" s="60">
        <f t="shared" si="8"/>
        <v>17.737137000000001</v>
      </c>
      <c r="O38" s="60">
        <f t="shared" si="9"/>
        <v>0</v>
      </c>
      <c r="P38" s="60">
        <f t="shared" si="10"/>
        <v>16.085148749999998</v>
      </c>
      <c r="Q38" s="60">
        <f t="shared" si="11"/>
        <v>0</v>
      </c>
    </row>
    <row r="39" spans="1:17" s="266" customFormat="1" ht="13.5" thickBot="1">
      <c r="A39" s="932"/>
      <c r="B39" s="548"/>
      <c r="C39" s="267" t="s">
        <v>615</v>
      </c>
      <c r="D39" s="268" t="s">
        <v>4089</v>
      </c>
      <c r="E39" s="269">
        <v>4294.2299999999996</v>
      </c>
      <c r="F39" s="59">
        <f t="shared" si="0"/>
        <v>2361.8265000000001</v>
      </c>
      <c r="G39" s="62">
        <f t="shared" si="1"/>
        <v>0</v>
      </c>
      <c r="H39" s="60">
        <f t="shared" si="2"/>
        <v>74.090497305000014</v>
      </c>
      <c r="I39" s="61">
        <f t="shared" si="3"/>
        <v>0</v>
      </c>
      <c r="J39" s="60">
        <f t="shared" si="4"/>
        <v>64.714046100000004</v>
      </c>
      <c r="K39" s="61">
        <f t="shared" si="5"/>
        <v>0</v>
      </c>
      <c r="L39" s="60">
        <f t="shared" si="6"/>
        <v>53.849644200000007</v>
      </c>
      <c r="M39" s="60">
        <f t="shared" si="7"/>
        <v>0</v>
      </c>
      <c r="N39" s="60">
        <f t="shared" si="8"/>
        <v>48.181260600000009</v>
      </c>
      <c r="O39" s="60">
        <f t="shared" si="9"/>
        <v>0</v>
      </c>
      <c r="P39" s="60">
        <f t="shared" si="10"/>
        <v>43.693790249999999</v>
      </c>
      <c r="Q39" s="60">
        <f t="shared" si="11"/>
        <v>0</v>
      </c>
    </row>
    <row r="40" spans="1:17" s="266" customFormat="1" ht="13.5" thickBot="1">
      <c r="A40" s="932"/>
      <c r="B40" s="548"/>
      <c r="C40" s="267" t="s">
        <v>611</v>
      </c>
      <c r="D40" s="268" t="s">
        <v>4083</v>
      </c>
      <c r="E40" s="269">
        <v>1380.76</v>
      </c>
      <c r="F40" s="59">
        <f t="shared" si="0"/>
        <v>759.41800000000001</v>
      </c>
      <c r="G40" s="62">
        <f t="shared" si="1"/>
        <v>0</v>
      </c>
      <c r="H40" s="60">
        <f t="shared" si="2"/>
        <v>23.822942660000002</v>
      </c>
      <c r="I40" s="61">
        <f t="shared" si="3"/>
        <v>0</v>
      </c>
      <c r="J40" s="60">
        <f t="shared" si="4"/>
        <v>20.8080532</v>
      </c>
      <c r="K40" s="61">
        <f t="shared" si="5"/>
        <v>0</v>
      </c>
      <c r="L40" s="60">
        <f t="shared" si="6"/>
        <v>17.314730400000002</v>
      </c>
      <c r="M40" s="60">
        <f t="shared" si="7"/>
        <v>0</v>
      </c>
      <c r="N40" s="60">
        <f t="shared" si="8"/>
        <v>15.492127200000001</v>
      </c>
      <c r="O40" s="60">
        <f t="shared" si="9"/>
        <v>0</v>
      </c>
      <c r="P40" s="60">
        <f t="shared" si="10"/>
        <v>14.049232999999999</v>
      </c>
      <c r="Q40" s="60">
        <f t="shared" si="11"/>
        <v>0</v>
      </c>
    </row>
    <row r="41" spans="1:17" s="266" customFormat="1" ht="13.5" thickBot="1">
      <c r="A41" s="932"/>
      <c r="B41" s="548"/>
      <c r="C41" s="267" t="s">
        <v>605</v>
      </c>
      <c r="D41" s="268" t="s">
        <v>4077</v>
      </c>
      <c r="E41" s="269">
        <v>1580.85</v>
      </c>
      <c r="F41" s="59">
        <f t="shared" si="0"/>
        <v>869.46749999999997</v>
      </c>
      <c r="G41" s="62">
        <f t="shared" si="1"/>
        <v>0</v>
      </c>
      <c r="H41" s="60">
        <f t="shared" si="2"/>
        <v>27.275195475</v>
      </c>
      <c r="I41" s="61">
        <f t="shared" si="3"/>
        <v>0</v>
      </c>
      <c r="J41" s="60">
        <f t="shared" si="4"/>
        <v>23.8234095</v>
      </c>
      <c r="K41" s="61">
        <f t="shared" si="5"/>
        <v>0</v>
      </c>
      <c r="L41" s="60">
        <f t="shared" si="6"/>
        <v>19.823858999999999</v>
      </c>
      <c r="M41" s="60">
        <f t="shared" si="7"/>
        <v>0</v>
      </c>
      <c r="N41" s="60">
        <f t="shared" si="8"/>
        <v>17.737137000000001</v>
      </c>
      <c r="O41" s="60">
        <f t="shared" si="9"/>
        <v>0</v>
      </c>
      <c r="P41" s="60">
        <f t="shared" si="10"/>
        <v>16.085148749999998</v>
      </c>
      <c r="Q41" s="60">
        <f t="shared" si="11"/>
        <v>0</v>
      </c>
    </row>
    <row r="42" spans="1:17" s="266" customFormat="1" ht="13.5" thickBot="1">
      <c r="A42" s="932"/>
      <c r="B42" s="548"/>
      <c r="C42" s="267" t="s">
        <v>612</v>
      </c>
      <c r="D42" s="268" t="s">
        <v>4084</v>
      </c>
      <c r="E42" s="269">
        <v>1500.81</v>
      </c>
      <c r="F42" s="59">
        <f t="shared" si="0"/>
        <v>825.44550000000004</v>
      </c>
      <c r="G42" s="62">
        <f t="shared" si="1"/>
        <v>0</v>
      </c>
      <c r="H42" s="60">
        <f t="shared" si="2"/>
        <v>25.894225335000002</v>
      </c>
      <c r="I42" s="61">
        <f t="shared" si="3"/>
        <v>0</v>
      </c>
      <c r="J42" s="60">
        <f t="shared" si="4"/>
        <v>22.617206700000001</v>
      </c>
      <c r="K42" s="61">
        <f t="shared" si="5"/>
        <v>0</v>
      </c>
      <c r="L42" s="60">
        <f t="shared" si="6"/>
        <v>18.820157400000003</v>
      </c>
      <c r="M42" s="60">
        <f t="shared" si="7"/>
        <v>0</v>
      </c>
      <c r="N42" s="60">
        <f t="shared" si="8"/>
        <v>16.839088200000003</v>
      </c>
      <c r="O42" s="60">
        <f t="shared" si="9"/>
        <v>0</v>
      </c>
      <c r="P42" s="60">
        <f t="shared" si="10"/>
        <v>15.270741749999999</v>
      </c>
      <c r="Q42" s="60">
        <f t="shared" si="11"/>
        <v>0</v>
      </c>
    </row>
    <row r="43" spans="1:17" s="266" customFormat="1" ht="13.5" thickBot="1">
      <c r="A43" s="932"/>
      <c r="B43" s="548"/>
      <c r="C43" s="267" t="s">
        <v>606</v>
      </c>
      <c r="D43" s="268" t="s">
        <v>4078</v>
      </c>
      <c r="E43" s="269">
        <v>1580.85</v>
      </c>
      <c r="F43" s="59">
        <f t="shared" si="0"/>
        <v>869.46749999999997</v>
      </c>
      <c r="G43" s="62">
        <f t="shared" si="1"/>
        <v>0</v>
      </c>
      <c r="H43" s="60">
        <f t="shared" si="2"/>
        <v>27.275195475</v>
      </c>
      <c r="I43" s="61">
        <f t="shared" si="3"/>
        <v>0</v>
      </c>
      <c r="J43" s="60">
        <f t="shared" si="4"/>
        <v>23.8234095</v>
      </c>
      <c r="K43" s="61">
        <f t="shared" si="5"/>
        <v>0</v>
      </c>
      <c r="L43" s="60">
        <f t="shared" si="6"/>
        <v>19.823858999999999</v>
      </c>
      <c r="M43" s="60">
        <f t="shared" si="7"/>
        <v>0</v>
      </c>
      <c r="N43" s="60">
        <f t="shared" si="8"/>
        <v>17.737137000000001</v>
      </c>
      <c r="O43" s="60">
        <f t="shared" si="9"/>
        <v>0</v>
      </c>
      <c r="P43" s="60">
        <f t="shared" si="10"/>
        <v>16.085148749999998</v>
      </c>
      <c r="Q43" s="60">
        <f t="shared" si="11"/>
        <v>0</v>
      </c>
    </row>
    <row r="44" spans="1:17" s="266" customFormat="1" ht="13.5" thickBot="1">
      <c r="A44" s="932"/>
      <c r="B44" s="548"/>
      <c r="C44" s="267" t="s">
        <v>613</v>
      </c>
      <c r="D44" s="268" t="s">
        <v>4085</v>
      </c>
      <c r="E44" s="269">
        <v>1500.81</v>
      </c>
      <c r="F44" s="59">
        <f t="shared" si="0"/>
        <v>825.44550000000004</v>
      </c>
      <c r="G44" s="62">
        <f t="shared" si="1"/>
        <v>0</v>
      </c>
      <c r="H44" s="60">
        <f t="shared" si="2"/>
        <v>25.894225335000002</v>
      </c>
      <c r="I44" s="61">
        <f t="shared" si="3"/>
        <v>0</v>
      </c>
      <c r="J44" s="60">
        <f t="shared" si="4"/>
        <v>22.617206700000001</v>
      </c>
      <c r="K44" s="61">
        <f t="shared" si="5"/>
        <v>0</v>
      </c>
      <c r="L44" s="60">
        <f t="shared" si="6"/>
        <v>18.820157400000003</v>
      </c>
      <c r="M44" s="60">
        <f t="shared" si="7"/>
        <v>0</v>
      </c>
      <c r="N44" s="60">
        <f t="shared" si="8"/>
        <v>16.839088200000003</v>
      </c>
      <c r="O44" s="60">
        <f t="shared" si="9"/>
        <v>0</v>
      </c>
      <c r="P44" s="60">
        <f t="shared" si="10"/>
        <v>15.270741749999999</v>
      </c>
      <c r="Q44" s="60">
        <f t="shared" si="11"/>
        <v>0</v>
      </c>
    </row>
    <row r="45" spans="1:17" s="266" customFormat="1" ht="13.5" thickBot="1">
      <c r="A45" s="932"/>
      <c r="B45" s="548"/>
      <c r="C45" s="267" t="s">
        <v>609</v>
      </c>
      <c r="D45" s="268" t="s">
        <v>4081</v>
      </c>
      <c r="E45" s="269">
        <v>1500.81</v>
      </c>
      <c r="F45" s="59">
        <f t="shared" si="0"/>
        <v>825.44550000000004</v>
      </c>
      <c r="G45" s="62">
        <f t="shared" si="1"/>
        <v>0</v>
      </c>
      <c r="H45" s="60">
        <f t="shared" si="2"/>
        <v>25.894225335000002</v>
      </c>
      <c r="I45" s="61">
        <f t="shared" si="3"/>
        <v>0</v>
      </c>
      <c r="J45" s="60">
        <f t="shared" si="4"/>
        <v>22.617206700000001</v>
      </c>
      <c r="K45" s="61">
        <f t="shared" si="5"/>
        <v>0</v>
      </c>
      <c r="L45" s="60">
        <f t="shared" si="6"/>
        <v>18.820157400000003</v>
      </c>
      <c r="M45" s="60">
        <f t="shared" si="7"/>
        <v>0</v>
      </c>
      <c r="N45" s="60">
        <f t="shared" si="8"/>
        <v>16.839088200000003</v>
      </c>
      <c r="O45" s="60">
        <f t="shared" si="9"/>
        <v>0</v>
      </c>
      <c r="P45" s="60">
        <f t="shared" si="10"/>
        <v>15.270741749999999</v>
      </c>
      <c r="Q45" s="60">
        <f t="shared" si="11"/>
        <v>0</v>
      </c>
    </row>
    <row r="46" spans="1:17" s="266" customFormat="1" ht="13.5" thickBot="1">
      <c r="A46" s="932"/>
      <c r="B46" s="548"/>
      <c r="C46" s="267" t="s">
        <v>607</v>
      </c>
      <c r="D46" s="268" t="s">
        <v>4079</v>
      </c>
      <c r="E46" s="269">
        <v>1500.81</v>
      </c>
      <c r="F46" s="59">
        <f t="shared" si="0"/>
        <v>825.44550000000004</v>
      </c>
      <c r="G46" s="62">
        <f t="shared" si="1"/>
        <v>0</v>
      </c>
      <c r="H46" s="60">
        <f t="shared" si="2"/>
        <v>25.894225335000002</v>
      </c>
      <c r="I46" s="61">
        <f t="shared" si="3"/>
        <v>0</v>
      </c>
      <c r="J46" s="60">
        <f t="shared" si="4"/>
        <v>22.617206700000001</v>
      </c>
      <c r="K46" s="61">
        <f t="shared" si="5"/>
        <v>0</v>
      </c>
      <c r="L46" s="60">
        <f t="shared" si="6"/>
        <v>18.820157400000003</v>
      </c>
      <c r="M46" s="60">
        <f t="shared" si="7"/>
        <v>0</v>
      </c>
      <c r="N46" s="60">
        <f t="shared" si="8"/>
        <v>16.839088200000003</v>
      </c>
      <c r="O46" s="60">
        <f t="shared" si="9"/>
        <v>0</v>
      </c>
      <c r="P46" s="60">
        <f t="shared" si="10"/>
        <v>15.270741749999999</v>
      </c>
      <c r="Q46" s="60">
        <f t="shared" si="11"/>
        <v>0</v>
      </c>
    </row>
    <row r="47" spans="1:17" s="266" customFormat="1" ht="13.5" thickBot="1">
      <c r="A47" s="932"/>
      <c r="B47" s="548"/>
      <c r="C47" s="267" t="s">
        <v>616</v>
      </c>
      <c r="D47" s="268" t="s">
        <v>4090</v>
      </c>
      <c r="E47" s="269">
        <v>2601.41</v>
      </c>
      <c r="F47" s="59">
        <f t="shared" si="0"/>
        <v>1430.7755</v>
      </c>
      <c r="G47" s="62">
        <f t="shared" si="1"/>
        <v>0</v>
      </c>
      <c r="H47" s="60">
        <f t="shared" si="2"/>
        <v>44.883427435000002</v>
      </c>
      <c r="I47" s="61">
        <f t="shared" si="3"/>
        <v>0</v>
      </c>
      <c r="J47" s="60">
        <f t="shared" si="4"/>
        <v>39.203248700000003</v>
      </c>
      <c r="K47" s="61">
        <f t="shared" si="5"/>
        <v>0</v>
      </c>
      <c r="L47" s="60">
        <f t="shared" si="6"/>
        <v>32.6216814</v>
      </c>
      <c r="M47" s="60">
        <f t="shared" si="7"/>
        <v>0</v>
      </c>
      <c r="N47" s="60">
        <f t="shared" si="8"/>
        <v>29.187820200000001</v>
      </c>
      <c r="O47" s="60">
        <f t="shared" si="9"/>
        <v>0</v>
      </c>
      <c r="P47" s="60">
        <f t="shared" si="10"/>
        <v>26.46934675</v>
      </c>
      <c r="Q47" s="60">
        <f t="shared" si="11"/>
        <v>0</v>
      </c>
    </row>
    <row r="48" spans="1:17" s="266" customFormat="1" ht="13.5" thickBot="1">
      <c r="A48" s="932"/>
      <c r="B48" s="548"/>
      <c r="C48" s="267" t="s">
        <v>608</v>
      </c>
      <c r="D48" s="268" t="s">
        <v>4080</v>
      </c>
      <c r="E48" s="269">
        <v>1500.81</v>
      </c>
      <c r="F48" s="59">
        <f t="shared" si="0"/>
        <v>825.44550000000004</v>
      </c>
      <c r="G48" s="62">
        <f t="shared" si="1"/>
        <v>0</v>
      </c>
      <c r="H48" s="60">
        <f t="shared" si="2"/>
        <v>25.894225335000002</v>
      </c>
      <c r="I48" s="61">
        <f t="shared" si="3"/>
        <v>0</v>
      </c>
      <c r="J48" s="60">
        <f t="shared" si="4"/>
        <v>22.617206700000001</v>
      </c>
      <c r="K48" s="61">
        <f t="shared" si="5"/>
        <v>0</v>
      </c>
      <c r="L48" s="60">
        <f t="shared" si="6"/>
        <v>18.820157400000003</v>
      </c>
      <c r="M48" s="60">
        <f t="shared" si="7"/>
        <v>0</v>
      </c>
      <c r="N48" s="60">
        <f t="shared" si="8"/>
        <v>16.839088200000003</v>
      </c>
      <c r="O48" s="60">
        <f t="shared" si="9"/>
        <v>0</v>
      </c>
      <c r="P48" s="60">
        <f t="shared" si="10"/>
        <v>15.270741749999999</v>
      </c>
      <c r="Q48" s="60">
        <f t="shared" si="11"/>
        <v>0</v>
      </c>
    </row>
    <row r="49" spans="1:17" s="266" customFormat="1" ht="13.5" thickBot="1">
      <c r="A49" s="932"/>
      <c r="B49" s="548"/>
      <c r="C49" s="267" t="s">
        <v>617</v>
      </c>
      <c r="D49" s="268" t="s">
        <v>4091</v>
      </c>
      <c r="E49" s="269">
        <v>5002.74</v>
      </c>
      <c r="F49" s="59">
        <f t="shared" si="0"/>
        <v>2751.5070000000001</v>
      </c>
      <c r="G49" s="62">
        <f t="shared" si="1"/>
        <v>0</v>
      </c>
      <c r="H49" s="60">
        <f t="shared" si="2"/>
        <v>86.314774590000013</v>
      </c>
      <c r="I49" s="61">
        <f t="shared" si="3"/>
        <v>0</v>
      </c>
      <c r="J49" s="60">
        <f t="shared" si="4"/>
        <v>75.391291800000005</v>
      </c>
      <c r="K49" s="61">
        <f t="shared" si="5"/>
        <v>0</v>
      </c>
      <c r="L49" s="60">
        <f t="shared" si="6"/>
        <v>62.734359600000005</v>
      </c>
      <c r="M49" s="60">
        <f t="shared" si="7"/>
        <v>0</v>
      </c>
      <c r="N49" s="60">
        <f t="shared" si="8"/>
        <v>56.130742800000007</v>
      </c>
      <c r="O49" s="60">
        <f t="shared" si="9"/>
        <v>0</v>
      </c>
      <c r="P49" s="60">
        <f t="shared" si="10"/>
        <v>50.902879499999997</v>
      </c>
      <c r="Q49" s="60">
        <f t="shared" si="11"/>
        <v>0</v>
      </c>
    </row>
    <row r="50" spans="1:17" s="266" customFormat="1" ht="13.5" thickBot="1">
      <c r="A50" s="932"/>
      <c r="B50" s="548"/>
      <c r="C50" s="267" t="s">
        <v>797</v>
      </c>
      <c r="D50" s="268" t="s">
        <v>4087</v>
      </c>
      <c r="E50" s="269">
        <v>1600.87</v>
      </c>
      <c r="F50" s="59">
        <f t="shared" si="0"/>
        <v>880.47850000000005</v>
      </c>
      <c r="G50" s="62">
        <f t="shared" si="1"/>
        <v>0</v>
      </c>
      <c r="H50" s="60">
        <f t="shared" si="2"/>
        <v>27.620610545000005</v>
      </c>
      <c r="I50" s="61">
        <f t="shared" si="3"/>
        <v>0</v>
      </c>
      <c r="J50" s="60">
        <f t="shared" si="4"/>
        <v>24.125110900000003</v>
      </c>
      <c r="K50" s="61">
        <f t="shared" si="5"/>
        <v>0</v>
      </c>
      <c r="L50" s="60">
        <f t="shared" si="6"/>
        <v>20.0749098</v>
      </c>
      <c r="M50" s="60">
        <f t="shared" si="7"/>
        <v>0</v>
      </c>
      <c r="N50" s="60">
        <f t="shared" si="8"/>
        <v>17.961761400000004</v>
      </c>
      <c r="O50" s="60">
        <f t="shared" si="9"/>
        <v>0</v>
      </c>
      <c r="P50" s="60">
        <f t="shared" si="10"/>
        <v>16.288852250000001</v>
      </c>
      <c r="Q50" s="60">
        <f t="shared" si="11"/>
        <v>0</v>
      </c>
    </row>
    <row r="51" spans="1:17" s="266" customFormat="1" ht="13.5" thickBot="1">
      <c r="A51" s="932"/>
      <c r="B51" s="548"/>
      <c r="C51" s="267" t="s">
        <v>798</v>
      </c>
      <c r="D51" s="268" t="s">
        <v>4088</v>
      </c>
      <c r="E51" s="269">
        <v>1600.87</v>
      </c>
      <c r="F51" s="59">
        <f t="shared" si="0"/>
        <v>880.47850000000005</v>
      </c>
      <c r="G51" s="62">
        <f t="shared" si="1"/>
        <v>0</v>
      </c>
      <c r="H51" s="60">
        <f t="shared" si="2"/>
        <v>27.620610545000005</v>
      </c>
      <c r="I51" s="61">
        <f t="shared" si="3"/>
        <v>0</v>
      </c>
      <c r="J51" s="60">
        <f t="shared" si="4"/>
        <v>24.125110900000003</v>
      </c>
      <c r="K51" s="61">
        <f t="shared" si="5"/>
        <v>0</v>
      </c>
      <c r="L51" s="60">
        <f t="shared" si="6"/>
        <v>20.0749098</v>
      </c>
      <c r="M51" s="60">
        <f t="shared" si="7"/>
        <v>0</v>
      </c>
      <c r="N51" s="60">
        <f t="shared" si="8"/>
        <v>17.961761400000004</v>
      </c>
      <c r="O51" s="60">
        <f t="shared" si="9"/>
        <v>0</v>
      </c>
      <c r="P51" s="60">
        <f t="shared" si="10"/>
        <v>16.288852250000001</v>
      </c>
      <c r="Q51" s="60">
        <f t="shared" si="11"/>
        <v>0</v>
      </c>
    </row>
    <row r="52" spans="1:17" s="266" customFormat="1" ht="13.5" thickBot="1">
      <c r="A52" s="932"/>
      <c r="B52" s="548"/>
      <c r="C52" s="267" t="s">
        <v>4127</v>
      </c>
      <c r="D52" s="268" t="s">
        <v>4114</v>
      </c>
      <c r="E52" s="269">
        <v>4038.83</v>
      </c>
      <c r="F52" s="59">
        <f t="shared" si="0"/>
        <v>2221.3565000000003</v>
      </c>
      <c r="G52" s="62">
        <f t="shared" si="1"/>
        <v>0</v>
      </c>
      <c r="H52" s="60">
        <f t="shared" si="2"/>
        <v>69.683953405000011</v>
      </c>
      <c r="I52" s="61">
        <f t="shared" si="3"/>
        <v>0</v>
      </c>
      <c r="J52" s="60">
        <f t="shared" si="4"/>
        <v>60.865168100000012</v>
      </c>
      <c r="K52" s="61">
        <f t="shared" si="5"/>
        <v>0</v>
      </c>
      <c r="L52" s="60">
        <f t="shared" si="6"/>
        <v>50.646928200000012</v>
      </c>
      <c r="M52" s="60">
        <f t="shared" si="7"/>
        <v>0</v>
      </c>
      <c r="N52" s="60">
        <f t="shared" si="8"/>
        <v>45.315672600000013</v>
      </c>
      <c r="O52" s="60">
        <f t="shared" si="9"/>
        <v>0</v>
      </c>
      <c r="P52" s="60">
        <f t="shared" si="10"/>
        <v>41.095095250000007</v>
      </c>
      <c r="Q52" s="60">
        <f t="shared" si="11"/>
        <v>0</v>
      </c>
    </row>
    <row r="53" spans="1:17" s="266" customFormat="1" ht="13.5" thickBot="1">
      <c r="A53" s="932"/>
      <c r="B53" s="548"/>
      <c r="C53" s="267" t="s">
        <v>4129</v>
      </c>
      <c r="D53" s="268" t="s">
        <v>4116</v>
      </c>
      <c r="E53" s="269">
        <v>3583.13</v>
      </c>
      <c r="F53" s="59">
        <f t="shared" si="0"/>
        <v>1970.7215000000001</v>
      </c>
      <c r="G53" s="62">
        <f t="shared" si="1"/>
        <v>0</v>
      </c>
      <c r="H53" s="60">
        <f t="shared" si="2"/>
        <v>61.821533455000008</v>
      </c>
      <c r="I53" s="61">
        <f t="shared" si="3"/>
        <v>0</v>
      </c>
      <c r="J53" s="60">
        <f t="shared" si="4"/>
        <v>53.997769100000006</v>
      </c>
      <c r="K53" s="61">
        <f t="shared" si="5"/>
        <v>0</v>
      </c>
      <c r="L53" s="60">
        <f t="shared" si="6"/>
        <v>44.932450200000005</v>
      </c>
      <c r="M53" s="60">
        <f t="shared" si="7"/>
        <v>0</v>
      </c>
      <c r="N53" s="60">
        <f t="shared" si="8"/>
        <v>40.202718600000004</v>
      </c>
      <c r="O53" s="60">
        <f t="shared" si="9"/>
        <v>0</v>
      </c>
      <c r="P53" s="60">
        <f t="shared" si="10"/>
        <v>36.458347750000001</v>
      </c>
      <c r="Q53" s="60">
        <f t="shared" si="11"/>
        <v>0</v>
      </c>
    </row>
    <row r="54" spans="1:17" s="266" customFormat="1" ht="13.5" thickBot="1">
      <c r="A54" s="932"/>
      <c r="B54" s="548"/>
      <c r="C54" s="267" t="s">
        <v>4128</v>
      </c>
      <c r="D54" s="268" t="s">
        <v>4115</v>
      </c>
      <c r="E54" s="269">
        <v>3583.13</v>
      </c>
      <c r="F54" s="59">
        <f t="shared" si="0"/>
        <v>1970.7215000000001</v>
      </c>
      <c r="G54" s="62">
        <f t="shared" si="1"/>
        <v>0</v>
      </c>
      <c r="H54" s="60">
        <f t="shared" si="2"/>
        <v>61.821533455000008</v>
      </c>
      <c r="I54" s="61">
        <f t="shared" si="3"/>
        <v>0</v>
      </c>
      <c r="J54" s="60">
        <f t="shared" si="4"/>
        <v>53.997769100000006</v>
      </c>
      <c r="K54" s="61">
        <f t="shared" si="5"/>
        <v>0</v>
      </c>
      <c r="L54" s="60">
        <f t="shared" si="6"/>
        <v>44.932450200000005</v>
      </c>
      <c r="M54" s="60">
        <f t="shared" si="7"/>
        <v>0</v>
      </c>
      <c r="N54" s="60">
        <f t="shared" si="8"/>
        <v>40.202718600000004</v>
      </c>
      <c r="O54" s="60">
        <f t="shared" si="9"/>
        <v>0</v>
      </c>
      <c r="P54" s="60">
        <f t="shared" si="10"/>
        <v>36.458347750000001</v>
      </c>
      <c r="Q54" s="60">
        <f t="shared" si="11"/>
        <v>0</v>
      </c>
    </row>
    <row r="55" spans="1:17" s="266" customFormat="1" ht="13.5" thickBot="1">
      <c r="A55" s="932"/>
      <c r="B55" s="548"/>
      <c r="C55" s="267" t="s">
        <v>610</v>
      </c>
      <c r="D55" s="268" t="s">
        <v>4082</v>
      </c>
      <c r="E55" s="269">
        <v>1580.85</v>
      </c>
      <c r="F55" s="59">
        <f t="shared" si="0"/>
        <v>869.46749999999997</v>
      </c>
      <c r="G55" s="62">
        <f t="shared" si="1"/>
        <v>0</v>
      </c>
      <c r="H55" s="60">
        <f t="shared" si="2"/>
        <v>27.275195475</v>
      </c>
      <c r="I55" s="61">
        <f t="shared" si="3"/>
        <v>0</v>
      </c>
      <c r="J55" s="60">
        <f t="shared" si="4"/>
        <v>23.8234095</v>
      </c>
      <c r="K55" s="61">
        <f t="shared" si="5"/>
        <v>0</v>
      </c>
      <c r="L55" s="60">
        <f t="shared" si="6"/>
        <v>19.823858999999999</v>
      </c>
      <c r="M55" s="60">
        <f t="shared" si="7"/>
        <v>0</v>
      </c>
      <c r="N55" s="60">
        <f t="shared" si="8"/>
        <v>17.737137000000001</v>
      </c>
      <c r="O55" s="60">
        <f t="shared" si="9"/>
        <v>0</v>
      </c>
      <c r="P55" s="60">
        <f t="shared" si="10"/>
        <v>16.085148749999998</v>
      </c>
      <c r="Q55" s="60">
        <f t="shared" si="11"/>
        <v>0</v>
      </c>
    </row>
    <row r="56" spans="1:17" s="266" customFormat="1" ht="13.5" thickBot="1">
      <c r="A56" s="932"/>
      <c r="B56" s="548"/>
      <c r="C56" s="267" t="s">
        <v>4308</v>
      </c>
      <c r="D56" s="268" t="s">
        <v>4309</v>
      </c>
      <c r="E56" s="269">
        <v>3942.64</v>
      </c>
      <c r="F56" s="59">
        <f t="shared" si="0"/>
        <v>2168.4520000000002</v>
      </c>
      <c r="G56" s="62">
        <f t="shared" si="1"/>
        <v>0</v>
      </c>
      <c r="H56" s="60">
        <f t="shared" si="2"/>
        <v>68.024339240000018</v>
      </c>
      <c r="I56" s="61">
        <f t="shared" si="3"/>
        <v>0</v>
      </c>
      <c r="J56" s="60">
        <f t="shared" si="4"/>
        <v>59.415584800000005</v>
      </c>
      <c r="K56" s="61">
        <f t="shared" si="5"/>
        <v>0</v>
      </c>
      <c r="L56" s="60">
        <f t="shared" si="6"/>
        <v>49.440705600000008</v>
      </c>
      <c r="M56" s="60">
        <f t="shared" si="7"/>
        <v>0</v>
      </c>
      <c r="N56" s="60">
        <f t="shared" si="8"/>
        <v>44.236420800000005</v>
      </c>
      <c r="O56" s="60">
        <f t="shared" si="9"/>
        <v>0</v>
      </c>
      <c r="P56" s="60">
        <f t="shared" si="10"/>
        <v>40.116362000000002</v>
      </c>
      <c r="Q56" s="60">
        <f t="shared" si="11"/>
        <v>0</v>
      </c>
    </row>
    <row r="57" spans="1:17" s="266" customFormat="1" ht="13.5" thickBot="1">
      <c r="A57" s="932"/>
      <c r="B57" s="548"/>
      <c r="C57" s="267" t="s">
        <v>3723</v>
      </c>
      <c r="D57" s="268" t="s">
        <v>4102</v>
      </c>
      <c r="E57" s="269">
        <v>154.84</v>
      </c>
      <c r="F57" s="59">
        <f t="shared" si="0"/>
        <v>85.162000000000006</v>
      </c>
      <c r="G57" s="62">
        <f t="shared" si="1"/>
        <v>0</v>
      </c>
      <c r="H57" s="60">
        <f t="shared" si="2"/>
        <v>2.6715319400000004</v>
      </c>
      <c r="I57" s="61">
        <f t="shared" si="3"/>
        <v>0</v>
      </c>
      <c r="J57" s="60">
        <f t="shared" si="4"/>
        <v>2.3334388000000001</v>
      </c>
      <c r="K57" s="61">
        <f t="shared" si="5"/>
        <v>0</v>
      </c>
      <c r="L57" s="60">
        <f t="shared" si="6"/>
        <v>1.9416936000000002</v>
      </c>
      <c r="M57" s="60">
        <f t="shared" si="7"/>
        <v>0</v>
      </c>
      <c r="N57" s="60">
        <f t="shared" si="8"/>
        <v>1.7373048000000002</v>
      </c>
      <c r="O57" s="60">
        <f t="shared" si="9"/>
        <v>0</v>
      </c>
      <c r="P57" s="60">
        <f t="shared" si="10"/>
        <v>1.5754969999999999</v>
      </c>
      <c r="Q57" s="60">
        <f t="shared" si="11"/>
        <v>0</v>
      </c>
    </row>
    <row r="58" spans="1:17" s="266" customFormat="1" ht="13.5" thickBot="1">
      <c r="A58" s="932"/>
      <c r="B58" s="548"/>
      <c r="C58" s="267" t="s">
        <v>3718</v>
      </c>
      <c r="D58" s="268" t="s">
        <v>4097</v>
      </c>
      <c r="E58" s="269">
        <v>142.6</v>
      </c>
      <c r="F58" s="59">
        <f t="shared" si="0"/>
        <v>78.430000000000007</v>
      </c>
      <c r="G58" s="62">
        <f t="shared" si="1"/>
        <v>0</v>
      </c>
      <c r="H58" s="60">
        <f t="shared" si="2"/>
        <v>2.4603491000000002</v>
      </c>
      <c r="I58" s="61">
        <f t="shared" si="3"/>
        <v>0</v>
      </c>
      <c r="J58" s="60">
        <f t="shared" si="4"/>
        <v>2.1489820000000002</v>
      </c>
      <c r="K58" s="61">
        <f t="shared" si="5"/>
        <v>0</v>
      </c>
      <c r="L58" s="60">
        <f t="shared" si="6"/>
        <v>1.7882040000000001</v>
      </c>
      <c r="M58" s="60">
        <f t="shared" si="7"/>
        <v>0</v>
      </c>
      <c r="N58" s="60">
        <f t="shared" si="8"/>
        <v>1.5999720000000002</v>
      </c>
      <c r="O58" s="60">
        <f t="shared" si="9"/>
        <v>0</v>
      </c>
      <c r="P58" s="60">
        <f t="shared" si="10"/>
        <v>1.450955</v>
      </c>
      <c r="Q58" s="60">
        <f t="shared" si="11"/>
        <v>0</v>
      </c>
    </row>
    <row r="59" spans="1:17" s="266" customFormat="1" ht="13.5" thickBot="1">
      <c r="A59" s="932"/>
      <c r="B59" s="548"/>
      <c r="C59" s="267" t="s">
        <v>3713</v>
      </c>
      <c r="D59" s="268" t="s">
        <v>4092</v>
      </c>
      <c r="E59" s="269">
        <v>141.21</v>
      </c>
      <c r="F59" s="59">
        <f t="shared" si="0"/>
        <v>77.665500000000009</v>
      </c>
      <c r="G59" s="62">
        <f t="shared" si="1"/>
        <v>0</v>
      </c>
      <c r="H59" s="60">
        <f t="shared" si="2"/>
        <v>2.4363667350000004</v>
      </c>
      <c r="I59" s="61">
        <f t="shared" si="3"/>
        <v>0</v>
      </c>
      <c r="J59" s="60">
        <f t="shared" si="4"/>
        <v>2.1280347000000002</v>
      </c>
      <c r="K59" s="61">
        <f t="shared" si="5"/>
        <v>0</v>
      </c>
      <c r="L59" s="60">
        <f t="shared" si="6"/>
        <v>1.7707734000000002</v>
      </c>
      <c r="M59" s="60">
        <f t="shared" si="7"/>
        <v>0</v>
      </c>
      <c r="N59" s="60">
        <f t="shared" si="8"/>
        <v>1.5843762000000003</v>
      </c>
      <c r="O59" s="60">
        <f t="shared" si="9"/>
        <v>0</v>
      </c>
      <c r="P59" s="60">
        <f t="shared" si="10"/>
        <v>1.4368117500000002</v>
      </c>
      <c r="Q59" s="60">
        <f t="shared" si="11"/>
        <v>0</v>
      </c>
    </row>
    <row r="60" spans="1:17" s="266" customFormat="1" ht="13.5" thickBot="1">
      <c r="A60" s="932"/>
      <c r="B60" s="548"/>
      <c r="C60" s="267" t="s">
        <v>3714</v>
      </c>
      <c r="D60" s="268" t="s">
        <v>4093</v>
      </c>
      <c r="E60" s="269">
        <v>122.89</v>
      </c>
      <c r="F60" s="59">
        <f t="shared" si="0"/>
        <v>67.589500000000001</v>
      </c>
      <c r="G60" s="62">
        <f t="shared" si="1"/>
        <v>0</v>
      </c>
      <c r="H60" s="60">
        <f t="shared" si="2"/>
        <v>2.1202826150000003</v>
      </c>
      <c r="I60" s="61">
        <f t="shared" si="3"/>
        <v>0</v>
      </c>
      <c r="J60" s="60">
        <f t="shared" si="4"/>
        <v>1.8519523</v>
      </c>
      <c r="K60" s="61">
        <f t="shared" si="5"/>
        <v>0</v>
      </c>
      <c r="L60" s="60">
        <f t="shared" si="6"/>
        <v>1.5410406000000001</v>
      </c>
      <c r="M60" s="60">
        <f t="shared" si="7"/>
        <v>0</v>
      </c>
      <c r="N60" s="60">
        <f t="shared" si="8"/>
        <v>1.3788258000000002</v>
      </c>
      <c r="O60" s="60">
        <f t="shared" si="9"/>
        <v>0</v>
      </c>
      <c r="P60" s="60">
        <f t="shared" si="10"/>
        <v>1.2504057499999999</v>
      </c>
      <c r="Q60" s="60">
        <f t="shared" si="11"/>
        <v>0</v>
      </c>
    </row>
    <row r="61" spans="1:17" s="266" customFormat="1" ht="13.5" thickBot="1">
      <c r="A61" s="932"/>
      <c r="B61" s="548"/>
      <c r="C61" s="267" t="s">
        <v>3719</v>
      </c>
      <c r="D61" s="268" t="s">
        <v>4098</v>
      </c>
      <c r="E61" s="269">
        <v>124.08</v>
      </c>
      <c r="F61" s="59">
        <f t="shared" si="0"/>
        <v>68.244</v>
      </c>
      <c r="G61" s="62">
        <f t="shared" si="1"/>
        <v>0</v>
      </c>
      <c r="H61" s="60">
        <f t="shared" si="2"/>
        <v>2.1408142800000003</v>
      </c>
      <c r="I61" s="61">
        <f t="shared" si="3"/>
        <v>0</v>
      </c>
      <c r="J61" s="60">
        <f t="shared" si="4"/>
        <v>1.8698856000000001</v>
      </c>
      <c r="K61" s="61">
        <f t="shared" si="5"/>
        <v>0</v>
      </c>
      <c r="L61" s="60">
        <f t="shared" si="6"/>
        <v>1.5559632000000001</v>
      </c>
      <c r="M61" s="60">
        <f t="shared" si="7"/>
        <v>0</v>
      </c>
      <c r="N61" s="60">
        <f t="shared" si="8"/>
        <v>1.3921776000000001</v>
      </c>
      <c r="O61" s="60">
        <f t="shared" si="9"/>
        <v>0</v>
      </c>
      <c r="P61" s="60">
        <f t="shared" si="10"/>
        <v>1.2625139999999999</v>
      </c>
      <c r="Q61" s="60">
        <f t="shared" si="11"/>
        <v>0</v>
      </c>
    </row>
    <row r="62" spans="1:17" s="266" customFormat="1" ht="13.5" thickBot="1">
      <c r="A62" s="932"/>
      <c r="B62" s="548"/>
      <c r="C62" s="267" t="s">
        <v>3716</v>
      </c>
      <c r="D62" s="268" t="s">
        <v>4095</v>
      </c>
      <c r="E62" s="269">
        <v>111.45</v>
      </c>
      <c r="F62" s="59">
        <f t="shared" si="0"/>
        <v>61.297500000000007</v>
      </c>
      <c r="G62" s="62">
        <f t="shared" si="1"/>
        <v>0</v>
      </c>
      <c r="H62" s="60">
        <f t="shared" si="2"/>
        <v>1.9229025750000004</v>
      </c>
      <c r="I62" s="61">
        <f t="shared" si="3"/>
        <v>0</v>
      </c>
      <c r="J62" s="60">
        <f t="shared" si="4"/>
        <v>1.6795515000000003</v>
      </c>
      <c r="K62" s="61">
        <f t="shared" si="5"/>
        <v>0</v>
      </c>
      <c r="L62" s="60">
        <f t="shared" si="6"/>
        <v>1.3975830000000002</v>
      </c>
      <c r="M62" s="60">
        <f t="shared" si="7"/>
        <v>0</v>
      </c>
      <c r="N62" s="60">
        <f t="shared" si="8"/>
        <v>1.2504690000000003</v>
      </c>
      <c r="O62" s="60">
        <f t="shared" si="9"/>
        <v>0</v>
      </c>
      <c r="P62" s="60">
        <f t="shared" si="10"/>
        <v>1.13400375</v>
      </c>
      <c r="Q62" s="60">
        <f t="shared" si="11"/>
        <v>0</v>
      </c>
    </row>
    <row r="63" spans="1:17" s="266" customFormat="1" ht="13.5" thickBot="1">
      <c r="A63" s="932"/>
      <c r="B63" s="548"/>
      <c r="C63" s="267" t="s">
        <v>3724</v>
      </c>
      <c r="D63" s="268" t="s">
        <v>4103</v>
      </c>
      <c r="E63" s="269">
        <v>134.54</v>
      </c>
      <c r="F63" s="59">
        <f t="shared" si="0"/>
        <v>73.997</v>
      </c>
      <c r="G63" s="62">
        <f t="shared" si="1"/>
        <v>0</v>
      </c>
      <c r="H63" s="60">
        <f t="shared" si="2"/>
        <v>2.32128589</v>
      </c>
      <c r="I63" s="61">
        <f t="shared" si="3"/>
        <v>0</v>
      </c>
      <c r="J63" s="60">
        <f t="shared" si="4"/>
        <v>2.0275178</v>
      </c>
      <c r="K63" s="61">
        <f t="shared" si="5"/>
        <v>0</v>
      </c>
      <c r="L63" s="60">
        <f t="shared" si="6"/>
        <v>1.6871316000000001</v>
      </c>
      <c r="M63" s="60">
        <f t="shared" si="7"/>
        <v>0</v>
      </c>
      <c r="N63" s="60">
        <f t="shared" si="8"/>
        <v>1.5095388000000001</v>
      </c>
      <c r="O63" s="60">
        <f t="shared" si="9"/>
        <v>0</v>
      </c>
      <c r="P63" s="60">
        <f t="shared" si="10"/>
        <v>1.3689445</v>
      </c>
      <c r="Q63" s="60">
        <f t="shared" si="11"/>
        <v>0</v>
      </c>
    </row>
    <row r="64" spans="1:17" s="266" customFormat="1" ht="13.5" thickBot="1">
      <c r="A64" s="932"/>
      <c r="B64" s="548"/>
      <c r="C64" s="267" t="s">
        <v>3715</v>
      </c>
      <c r="D64" s="268" t="s">
        <v>4094</v>
      </c>
      <c r="E64" s="269">
        <v>113.74</v>
      </c>
      <c r="F64" s="59">
        <f t="shared" si="0"/>
        <v>62.557000000000002</v>
      </c>
      <c r="G64" s="62">
        <f t="shared" si="1"/>
        <v>0</v>
      </c>
      <c r="H64" s="60">
        <f t="shared" si="2"/>
        <v>1.9624130900000003</v>
      </c>
      <c r="I64" s="61">
        <f t="shared" si="3"/>
        <v>0</v>
      </c>
      <c r="J64" s="60">
        <f t="shared" si="4"/>
        <v>1.7140618000000001</v>
      </c>
      <c r="K64" s="61">
        <f t="shared" si="5"/>
        <v>0</v>
      </c>
      <c r="L64" s="60">
        <f t="shared" si="6"/>
        <v>1.4262996000000001</v>
      </c>
      <c r="M64" s="60">
        <f t="shared" si="7"/>
        <v>0</v>
      </c>
      <c r="N64" s="60">
        <f t="shared" si="8"/>
        <v>1.2761628</v>
      </c>
      <c r="O64" s="60">
        <f t="shared" si="9"/>
        <v>0</v>
      </c>
      <c r="P64" s="60">
        <f t="shared" si="10"/>
        <v>1.1573045</v>
      </c>
      <c r="Q64" s="60">
        <f t="shared" si="11"/>
        <v>0</v>
      </c>
    </row>
    <row r="65" spans="1:17" s="266" customFormat="1" ht="13.5" thickBot="1">
      <c r="A65" s="932"/>
      <c r="B65" s="548"/>
      <c r="C65" s="267" t="s">
        <v>3725</v>
      </c>
      <c r="D65" s="268" t="s">
        <v>4104</v>
      </c>
      <c r="E65" s="269">
        <v>124.34</v>
      </c>
      <c r="F65" s="59">
        <f t="shared" si="0"/>
        <v>68.387</v>
      </c>
      <c r="G65" s="62">
        <f t="shared" si="1"/>
        <v>0</v>
      </c>
      <c r="H65" s="60">
        <f t="shared" si="2"/>
        <v>2.1453001899999999</v>
      </c>
      <c r="I65" s="61">
        <f t="shared" si="3"/>
        <v>0</v>
      </c>
      <c r="J65" s="60">
        <f t="shared" si="4"/>
        <v>1.8738038000000001</v>
      </c>
      <c r="K65" s="61">
        <f t="shared" si="5"/>
        <v>0</v>
      </c>
      <c r="L65" s="60">
        <f t="shared" si="6"/>
        <v>1.5592236000000002</v>
      </c>
      <c r="M65" s="60">
        <f t="shared" si="7"/>
        <v>0</v>
      </c>
      <c r="N65" s="60">
        <f t="shared" si="8"/>
        <v>1.3950948000000001</v>
      </c>
      <c r="O65" s="60">
        <f t="shared" si="9"/>
        <v>0</v>
      </c>
      <c r="P65" s="60">
        <f t="shared" si="10"/>
        <v>1.2651595</v>
      </c>
      <c r="Q65" s="60">
        <f t="shared" si="11"/>
        <v>0</v>
      </c>
    </row>
    <row r="66" spans="1:17" s="266" customFormat="1" ht="13.5" thickBot="1">
      <c r="A66" s="932"/>
      <c r="B66" s="548"/>
      <c r="C66" s="267" t="s">
        <v>3720</v>
      </c>
      <c r="D66" s="268" t="s">
        <v>4099</v>
      </c>
      <c r="E66" s="269">
        <v>114.89</v>
      </c>
      <c r="F66" s="59">
        <f t="shared" si="0"/>
        <v>63.189500000000002</v>
      </c>
      <c r="G66" s="62">
        <f t="shared" si="1"/>
        <v>0</v>
      </c>
      <c r="H66" s="60">
        <f t="shared" si="2"/>
        <v>1.9822546150000002</v>
      </c>
      <c r="I66" s="61">
        <f t="shared" si="3"/>
        <v>0</v>
      </c>
      <c r="J66" s="60">
        <f t="shared" si="4"/>
        <v>1.7313923000000002</v>
      </c>
      <c r="K66" s="61">
        <f t="shared" si="5"/>
        <v>0</v>
      </c>
      <c r="L66" s="60">
        <f t="shared" si="6"/>
        <v>1.4407206000000001</v>
      </c>
      <c r="M66" s="60">
        <f t="shared" si="7"/>
        <v>0</v>
      </c>
      <c r="N66" s="60">
        <f t="shared" si="8"/>
        <v>1.2890658000000002</v>
      </c>
      <c r="O66" s="60">
        <f t="shared" si="9"/>
        <v>0</v>
      </c>
      <c r="P66" s="60">
        <f t="shared" si="10"/>
        <v>1.16900575</v>
      </c>
      <c r="Q66" s="60">
        <f t="shared" si="11"/>
        <v>0</v>
      </c>
    </row>
    <row r="67" spans="1:17" s="266" customFormat="1" ht="13.5" thickBot="1">
      <c r="A67" s="932"/>
      <c r="B67" s="548"/>
      <c r="C67" s="267" t="s">
        <v>3726</v>
      </c>
      <c r="D67" s="268" t="s">
        <v>4105</v>
      </c>
      <c r="E67" s="269">
        <v>122.49</v>
      </c>
      <c r="F67" s="59">
        <f t="shared" si="0"/>
        <v>67.369500000000002</v>
      </c>
      <c r="G67" s="62">
        <f t="shared" si="1"/>
        <v>0</v>
      </c>
      <c r="H67" s="60">
        <f t="shared" si="2"/>
        <v>2.1133812150000004</v>
      </c>
      <c r="I67" s="61">
        <f t="shared" si="3"/>
        <v>0</v>
      </c>
      <c r="J67" s="60">
        <f t="shared" si="4"/>
        <v>1.8459243000000001</v>
      </c>
      <c r="K67" s="61">
        <f t="shared" si="5"/>
        <v>0</v>
      </c>
      <c r="L67" s="60">
        <f t="shared" si="6"/>
        <v>1.5360246000000002</v>
      </c>
      <c r="M67" s="60">
        <f t="shared" si="7"/>
        <v>0</v>
      </c>
      <c r="N67" s="60">
        <f t="shared" si="8"/>
        <v>1.3743378000000002</v>
      </c>
      <c r="O67" s="60">
        <f t="shared" si="9"/>
        <v>0</v>
      </c>
      <c r="P67" s="60">
        <f t="shared" si="10"/>
        <v>1.2463357500000001</v>
      </c>
      <c r="Q67" s="60">
        <f t="shared" si="11"/>
        <v>0</v>
      </c>
    </row>
    <row r="68" spans="1:17" s="266" customFormat="1" ht="13.5" thickBot="1">
      <c r="A68" s="932"/>
      <c r="B68" s="548"/>
      <c r="C68" s="267" t="s">
        <v>3721</v>
      </c>
      <c r="D68" s="268" t="s">
        <v>4100</v>
      </c>
      <c r="E68" s="269">
        <v>112.55</v>
      </c>
      <c r="F68" s="59">
        <f t="shared" si="0"/>
        <v>61.902500000000003</v>
      </c>
      <c r="G68" s="62">
        <f t="shared" si="1"/>
        <v>0</v>
      </c>
      <c r="H68" s="60">
        <f t="shared" si="2"/>
        <v>1.9418814250000003</v>
      </c>
      <c r="I68" s="61">
        <f t="shared" si="3"/>
        <v>0</v>
      </c>
      <c r="J68" s="60">
        <f t="shared" si="4"/>
        <v>1.6961285000000001</v>
      </c>
      <c r="K68" s="61">
        <f t="shared" si="5"/>
        <v>0</v>
      </c>
      <c r="L68" s="60">
        <f t="shared" si="6"/>
        <v>1.4113770000000001</v>
      </c>
      <c r="M68" s="60">
        <f t="shared" si="7"/>
        <v>0</v>
      </c>
      <c r="N68" s="60">
        <f t="shared" si="8"/>
        <v>1.2628110000000001</v>
      </c>
      <c r="O68" s="60">
        <f t="shared" si="9"/>
        <v>0</v>
      </c>
      <c r="P68" s="60">
        <f t="shared" si="10"/>
        <v>1.1451962499999999</v>
      </c>
      <c r="Q68" s="60">
        <f t="shared" si="11"/>
        <v>0</v>
      </c>
    </row>
    <row r="69" spans="1:17" s="266" customFormat="1" ht="13.5" thickBot="1">
      <c r="A69" s="932"/>
      <c r="B69" s="548"/>
      <c r="C69" s="267" t="s">
        <v>3717</v>
      </c>
      <c r="D69" s="268" t="s">
        <v>4096</v>
      </c>
      <c r="E69" s="269">
        <v>102.27</v>
      </c>
      <c r="F69" s="59">
        <f t="shared" si="0"/>
        <v>56.2485</v>
      </c>
      <c r="G69" s="62">
        <f t="shared" si="1"/>
        <v>0</v>
      </c>
      <c r="H69" s="60">
        <f t="shared" si="2"/>
        <v>1.764515445</v>
      </c>
      <c r="I69" s="61">
        <f t="shared" si="3"/>
        <v>0</v>
      </c>
      <c r="J69" s="60">
        <f t="shared" si="4"/>
        <v>1.5412089</v>
      </c>
      <c r="K69" s="61">
        <f t="shared" si="5"/>
        <v>0</v>
      </c>
      <c r="L69" s="60">
        <f t="shared" si="6"/>
        <v>1.2824658</v>
      </c>
      <c r="M69" s="60">
        <f t="shared" si="7"/>
        <v>0</v>
      </c>
      <c r="N69" s="60">
        <f t="shared" si="8"/>
        <v>1.1474694000000001</v>
      </c>
      <c r="O69" s="60">
        <f t="shared" si="9"/>
        <v>0</v>
      </c>
      <c r="P69" s="60">
        <f t="shared" si="10"/>
        <v>1.04059725</v>
      </c>
      <c r="Q69" s="60">
        <f t="shared" si="11"/>
        <v>0</v>
      </c>
    </row>
    <row r="70" spans="1:17" s="266" customFormat="1" ht="13.5" thickBot="1">
      <c r="A70" s="932"/>
      <c r="B70" s="548"/>
      <c r="C70" s="267" t="s">
        <v>3727</v>
      </c>
      <c r="D70" s="268" t="s">
        <v>4106</v>
      </c>
      <c r="E70" s="269">
        <v>111.77</v>
      </c>
      <c r="F70" s="59">
        <f t="shared" si="0"/>
        <v>61.473500000000001</v>
      </c>
      <c r="G70" s="62">
        <f t="shared" si="1"/>
        <v>0</v>
      </c>
      <c r="H70" s="60">
        <f t="shared" si="2"/>
        <v>1.9284236950000002</v>
      </c>
      <c r="I70" s="61">
        <f t="shared" si="3"/>
        <v>0</v>
      </c>
      <c r="J70" s="60">
        <f t="shared" si="4"/>
        <v>1.6843739</v>
      </c>
      <c r="K70" s="61">
        <f t="shared" si="5"/>
        <v>0</v>
      </c>
      <c r="L70" s="60">
        <f t="shared" si="6"/>
        <v>1.4015958000000002</v>
      </c>
      <c r="M70" s="60">
        <f t="shared" si="7"/>
        <v>0</v>
      </c>
      <c r="N70" s="60">
        <f t="shared" si="8"/>
        <v>1.2540594</v>
      </c>
      <c r="O70" s="60">
        <f t="shared" si="9"/>
        <v>0</v>
      </c>
      <c r="P70" s="60">
        <f t="shared" si="10"/>
        <v>1.1372597499999999</v>
      </c>
      <c r="Q70" s="60">
        <f t="shared" si="11"/>
        <v>0</v>
      </c>
    </row>
    <row r="71" spans="1:17" s="266" customFormat="1" ht="13.5" thickBot="1">
      <c r="A71" s="932"/>
      <c r="B71" s="548"/>
      <c r="C71" s="267" t="s">
        <v>3722</v>
      </c>
      <c r="D71" s="268" t="s">
        <v>4101</v>
      </c>
      <c r="E71" s="269">
        <v>103.1</v>
      </c>
      <c r="F71" s="59">
        <f t="shared" si="0"/>
        <v>56.704999999999998</v>
      </c>
      <c r="G71" s="62">
        <f t="shared" si="1"/>
        <v>0</v>
      </c>
      <c r="H71" s="60">
        <f t="shared" si="2"/>
        <v>1.7788358500000001</v>
      </c>
      <c r="I71" s="61">
        <f t="shared" si="3"/>
        <v>0</v>
      </c>
      <c r="J71" s="60">
        <f t="shared" si="4"/>
        <v>1.553717</v>
      </c>
      <c r="K71" s="61">
        <f t="shared" si="5"/>
        <v>0</v>
      </c>
      <c r="L71" s="60">
        <f t="shared" si="6"/>
        <v>1.2928740000000001</v>
      </c>
      <c r="M71" s="60">
        <f t="shared" si="7"/>
        <v>0</v>
      </c>
      <c r="N71" s="60">
        <f t="shared" si="8"/>
        <v>1.156782</v>
      </c>
      <c r="O71" s="60">
        <f t="shared" si="9"/>
        <v>0</v>
      </c>
      <c r="P71" s="60">
        <f t="shared" si="10"/>
        <v>1.0490424999999999</v>
      </c>
      <c r="Q71" s="60">
        <f t="shared" si="11"/>
        <v>0</v>
      </c>
    </row>
    <row r="72" spans="1:17" s="266" customFormat="1" ht="13.5" thickBot="1">
      <c r="A72" s="932"/>
      <c r="B72" s="548"/>
      <c r="C72" s="267" t="s">
        <v>4124</v>
      </c>
      <c r="D72" s="268" t="s">
        <v>4111</v>
      </c>
      <c r="E72" s="269">
        <v>99.44</v>
      </c>
      <c r="F72" s="59">
        <f t="shared" si="0"/>
        <v>54.692</v>
      </c>
      <c r="G72" s="62">
        <f t="shared" si="1"/>
        <v>0</v>
      </c>
      <c r="H72" s="60">
        <f t="shared" si="2"/>
        <v>1.7156880400000001</v>
      </c>
      <c r="I72" s="61">
        <f t="shared" si="3"/>
        <v>0</v>
      </c>
      <c r="J72" s="60">
        <f t="shared" si="4"/>
        <v>1.4985608000000001</v>
      </c>
      <c r="K72" s="61">
        <f t="shared" si="5"/>
        <v>0</v>
      </c>
      <c r="L72" s="60">
        <f t="shared" si="6"/>
        <v>1.2469776000000001</v>
      </c>
      <c r="M72" s="60">
        <f t="shared" si="7"/>
        <v>0</v>
      </c>
      <c r="N72" s="60">
        <f t="shared" si="8"/>
        <v>1.1157168000000002</v>
      </c>
      <c r="O72" s="60">
        <f t="shared" si="9"/>
        <v>0</v>
      </c>
      <c r="P72" s="60">
        <f t="shared" si="10"/>
        <v>1.0118019999999999</v>
      </c>
      <c r="Q72" s="60">
        <f t="shared" si="11"/>
        <v>0</v>
      </c>
    </row>
    <row r="73" spans="1:17" s="266" customFormat="1" ht="13.5" thickBot="1">
      <c r="A73" s="932"/>
      <c r="B73" s="548"/>
      <c r="C73" s="267" t="s">
        <v>4125</v>
      </c>
      <c r="D73" s="268" t="s">
        <v>4112</v>
      </c>
      <c r="E73" s="269">
        <v>99.44</v>
      </c>
      <c r="F73" s="59">
        <f t="shared" si="0"/>
        <v>54.692</v>
      </c>
      <c r="G73" s="62">
        <f t="shared" si="1"/>
        <v>0</v>
      </c>
      <c r="H73" s="60">
        <f t="shared" si="2"/>
        <v>1.7156880400000001</v>
      </c>
      <c r="I73" s="61">
        <f t="shared" si="3"/>
        <v>0</v>
      </c>
      <c r="J73" s="60">
        <f t="shared" si="4"/>
        <v>1.4985608000000001</v>
      </c>
      <c r="K73" s="61">
        <f t="shared" si="5"/>
        <v>0</v>
      </c>
      <c r="L73" s="60">
        <f t="shared" si="6"/>
        <v>1.2469776000000001</v>
      </c>
      <c r="M73" s="60">
        <f t="shared" si="7"/>
        <v>0</v>
      </c>
      <c r="N73" s="60">
        <f t="shared" si="8"/>
        <v>1.1157168000000002</v>
      </c>
      <c r="O73" s="60">
        <f t="shared" si="9"/>
        <v>0</v>
      </c>
      <c r="P73" s="60">
        <f t="shared" si="10"/>
        <v>1.0118019999999999</v>
      </c>
      <c r="Q73" s="60">
        <f t="shared" si="11"/>
        <v>0</v>
      </c>
    </row>
    <row r="74" spans="1:17" s="266" customFormat="1" ht="13.5" thickBot="1">
      <c r="A74" s="932"/>
      <c r="B74" s="548"/>
      <c r="C74" s="267" t="s">
        <v>4126</v>
      </c>
      <c r="D74" s="268" t="s">
        <v>4113</v>
      </c>
      <c r="E74" s="269">
        <v>99.44</v>
      </c>
      <c r="F74" s="59">
        <f t="shared" si="0"/>
        <v>54.692</v>
      </c>
      <c r="G74" s="62">
        <f t="shared" si="1"/>
        <v>0</v>
      </c>
      <c r="H74" s="60">
        <f t="shared" si="2"/>
        <v>1.7156880400000001</v>
      </c>
      <c r="I74" s="61">
        <f t="shared" si="3"/>
        <v>0</v>
      </c>
      <c r="J74" s="60">
        <f t="shared" si="4"/>
        <v>1.4985608000000001</v>
      </c>
      <c r="K74" s="61">
        <f t="shared" si="5"/>
        <v>0</v>
      </c>
      <c r="L74" s="60">
        <f t="shared" si="6"/>
        <v>1.2469776000000001</v>
      </c>
      <c r="M74" s="60">
        <f t="shared" si="7"/>
        <v>0</v>
      </c>
      <c r="N74" s="60">
        <f t="shared" si="8"/>
        <v>1.1157168000000002</v>
      </c>
      <c r="O74" s="60">
        <f t="shared" si="9"/>
        <v>0</v>
      </c>
      <c r="P74" s="60">
        <f t="shared" si="10"/>
        <v>1.0118019999999999</v>
      </c>
      <c r="Q74" s="60">
        <f t="shared" si="11"/>
        <v>0</v>
      </c>
    </row>
    <row r="75" spans="1:17" s="266" customFormat="1" ht="13.5" thickBot="1">
      <c r="A75" s="932"/>
      <c r="B75" s="548"/>
      <c r="C75" s="267" t="s">
        <v>573</v>
      </c>
      <c r="D75" s="268" t="s">
        <v>4310</v>
      </c>
      <c r="E75" s="269">
        <v>5966.48</v>
      </c>
      <c r="F75" s="59">
        <f t="shared" si="0"/>
        <v>3281.5639999999999</v>
      </c>
      <c r="G75" s="62">
        <f t="shared" si="1"/>
        <v>0</v>
      </c>
      <c r="H75" s="60">
        <f t="shared" si="2"/>
        <v>102.94266268</v>
      </c>
      <c r="I75" s="61">
        <f t="shared" si="3"/>
        <v>0</v>
      </c>
      <c r="J75" s="60">
        <f t="shared" si="4"/>
        <v>89.914853600000001</v>
      </c>
      <c r="K75" s="61">
        <f t="shared" si="5"/>
        <v>0</v>
      </c>
      <c r="L75" s="60">
        <f t="shared" si="6"/>
        <v>74.819659200000004</v>
      </c>
      <c r="M75" s="60">
        <f t="shared" si="7"/>
        <v>0</v>
      </c>
      <c r="N75" s="60">
        <f t="shared" si="8"/>
        <v>66.943905600000008</v>
      </c>
      <c r="O75" s="60">
        <f t="shared" si="9"/>
        <v>0</v>
      </c>
      <c r="P75" s="60">
        <f t="shared" si="10"/>
        <v>60.708933999999992</v>
      </c>
      <c r="Q75" s="60">
        <f t="shared" si="11"/>
        <v>0</v>
      </c>
    </row>
    <row r="76" spans="1:17" s="266" customFormat="1" ht="13.5" thickBot="1">
      <c r="A76" s="932"/>
      <c r="B76" s="548"/>
      <c r="C76" s="267" t="s">
        <v>3728</v>
      </c>
      <c r="D76" s="268" t="s">
        <v>65</v>
      </c>
      <c r="E76" s="269">
        <v>21646.560000000001</v>
      </c>
      <c r="F76" s="59">
        <f t="shared" si="0"/>
        <v>11905.608000000002</v>
      </c>
      <c r="G76" s="62">
        <f t="shared" si="1"/>
        <v>0</v>
      </c>
      <c r="H76" s="60">
        <f t="shared" si="2"/>
        <v>373.47892296000009</v>
      </c>
      <c r="I76" s="61">
        <f t="shared" si="3"/>
        <v>0</v>
      </c>
      <c r="J76" s="60">
        <f t="shared" si="4"/>
        <v>326.21365920000005</v>
      </c>
      <c r="K76" s="61">
        <f t="shared" si="5"/>
        <v>0</v>
      </c>
      <c r="L76" s="60">
        <f t="shared" si="6"/>
        <v>271.44786240000008</v>
      </c>
      <c r="M76" s="60">
        <f t="shared" si="7"/>
        <v>0</v>
      </c>
      <c r="N76" s="60">
        <f t="shared" si="8"/>
        <v>242.87440320000005</v>
      </c>
      <c r="O76" s="60">
        <f t="shared" si="9"/>
        <v>0</v>
      </c>
      <c r="P76" s="60">
        <f t="shared" si="10"/>
        <v>220.25374800000003</v>
      </c>
      <c r="Q76" s="60">
        <f t="shared" si="11"/>
        <v>0</v>
      </c>
    </row>
    <row r="77" spans="1:17" s="266" customFormat="1" ht="13.5" thickBot="1">
      <c r="A77" s="932"/>
      <c r="B77" s="548"/>
      <c r="C77" s="267" t="s">
        <v>543</v>
      </c>
      <c r="D77" s="268" t="s">
        <v>3996</v>
      </c>
      <c r="E77" s="269">
        <v>13384.8</v>
      </c>
      <c r="F77" s="59">
        <f t="shared" si="0"/>
        <v>7361.64</v>
      </c>
      <c r="G77" s="62">
        <f t="shared" si="1"/>
        <v>0</v>
      </c>
      <c r="H77" s="60">
        <f t="shared" si="2"/>
        <v>230.93464680000002</v>
      </c>
      <c r="I77" s="61">
        <f t="shared" si="3"/>
        <v>0</v>
      </c>
      <c r="J77" s="60">
        <f t="shared" si="4"/>
        <v>201.70893600000002</v>
      </c>
      <c r="K77" s="61">
        <f t="shared" si="5"/>
        <v>0</v>
      </c>
      <c r="L77" s="60">
        <f t="shared" si="6"/>
        <v>167.845392</v>
      </c>
      <c r="M77" s="60">
        <f t="shared" si="7"/>
        <v>0</v>
      </c>
      <c r="N77" s="60">
        <f t="shared" si="8"/>
        <v>150.17745600000001</v>
      </c>
      <c r="O77" s="60">
        <f t="shared" si="9"/>
        <v>0</v>
      </c>
      <c r="P77" s="60">
        <f t="shared" si="10"/>
        <v>136.19033999999999</v>
      </c>
      <c r="Q77" s="60">
        <f t="shared" si="11"/>
        <v>0</v>
      </c>
    </row>
    <row r="78" spans="1:17" s="266" customFormat="1" ht="13.5" thickBot="1">
      <c r="A78" s="932"/>
      <c r="B78" s="548"/>
      <c r="C78" s="267" t="s">
        <v>4311</v>
      </c>
      <c r="D78" s="268" t="s">
        <v>4312</v>
      </c>
      <c r="E78" s="269">
        <v>362</v>
      </c>
      <c r="F78" s="59">
        <f t="shared" si="0"/>
        <v>199.10000000000002</v>
      </c>
      <c r="G78" s="62">
        <f t="shared" si="1"/>
        <v>0</v>
      </c>
      <c r="H78" s="60">
        <f t="shared" si="2"/>
        <v>6.2457670000000007</v>
      </c>
      <c r="I78" s="61">
        <f t="shared" si="3"/>
        <v>0</v>
      </c>
      <c r="J78" s="60">
        <f t="shared" si="4"/>
        <v>5.4553400000000005</v>
      </c>
      <c r="K78" s="61">
        <f t="shared" si="5"/>
        <v>0</v>
      </c>
      <c r="L78" s="60">
        <f t="shared" si="6"/>
        <v>4.5394800000000011</v>
      </c>
      <c r="M78" s="60">
        <f t="shared" si="7"/>
        <v>0</v>
      </c>
      <c r="N78" s="60">
        <f t="shared" si="8"/>
        <v>4.0616400000000006</v>
      </c>
      <c r="O78" s="60">
        <f t="shared" si="9"/>
        <v>0</v>
      </c>
      <c r="P78" s="60">
        <f t="shared" si="10"/>
        <v>3.6833500000000003</v>
      </c>
      <c r="Q78" s="60">
        <f t="shared" si="11"/>
        <v>0</v>
      </c>
    </row>
    <row r="79" spans="1:17" s="266" customFormat="1" ht="13.5" thickBot="1">
      <c r="A79" s="932"/>
      <c r="B79" s="548"/>
      <c r="C79" s="267" t="s">
        <v>4313</v>
      </c>
      <c r="D79" s="268" t="s">
        <v>4314</v>
      </c>
      <c r="E79" s="269">
        <v>725</v>
      </c>
      <c r="F79" s="59">
        <f t="shared" si="0"/>
        <v>398.75000000000006</v>
      </c>
      <c r="G79" s="62">
        <f t="shared" si="1"/>
        <v>0</v>
      </c>
      <c r="H79" s="60">
        <f t="shared" si="2"/>
        <v>12.508787500000002</v>
      </c>
      <c r="I79" s="61">
        <f t="shared" si="3"/>
        <v>0</v>
      </c>
      <c r="J79" s="60">
        <f t="shared" si="4"/>
        <v>10.925750000000003</v>
      </c>
      <c r="K79" s="61">
        <f t="shared" si="5"/>
        <v>0</v>
      </c>
      <c r="L79" s="60">
        <f t="shared" si="6"/>
        <v>9.0915000000000017</v>
      </c>
      <c r="M79" s="60">
        <f t="shared" si="7"/>
        <v>0</v>
      </c>
      <c r="N79" s="60">
        <f t="shared" si="8"/>
        <v>8.134500000000001</v>
      </c>
      <c r="O79" s="60">
        <f t="shared" si="9"/>
        <v>0</v>
      </c>
      <c r="P79" s="60">
        <f t="shared" si="10"/>
        <v>7.376875000000001</v>
      </c>
      <c r="Q79" s="60">
        <f t="shared" si="11"/>
        <v>0</v>
      </c>
    </row>
    <row r="80" spans="1:17" s="266" customFormat="1" ht="13.5" thickBot="1">
      <c r="A80" s="932"/>
      <c r="B80" s="548"/>
      <c r="C80" s="267" t="s">
        <v>4315</v>
      </c>
      <c r="D80" s="268" t="s">
        <v>4316</v>
      </c>
      <c r="E80" s="269">
        <v>1033</v>
      </c>
      <c r="F80" s="59">
        <f t="shared" si="0"/>
        <v>568.15000000000009</v>
      </c>
      <c r="G80" s="62">
        <f t="shared" si="1"/>
        <v>0</v>
      </c>
      <c r="H80" s="60">
        <f t="shared" si="2"/>
        <v>17.822865500000002</v>
      </c>
      <c r="I80" s="61">
        <f t="shared" si="3"/>
        <v>0</v>
      </c>
      <c r="J80" s="60">
        <f t="shared" si="4"/>
        <v>15.567310000000003</v>
      </c>
      <c r="K80" s="61">
        <f t="shared" si="5"/>
        <v>0</v>
      </c>
      <c r="L80" s="60">
        <f t="shared" si="6"/>
        <v>12.953820000000002</v>
      </c>
      <c r="M80" s="60">
        <f t="shared" si="7"/>
        <v>0</v>
      </c>
      <c r="N80" s="60">
        <f t="shared" si="8"/>
        <v>11.590260000000002</v>
      </c>
      <c r="O80" s="60">
        <f t="shared" si="9"/>
        <v>0</v>
      </c>
      <c r="P80" s="60">
        <f t="shared" si="10"/>
        <v>10.510775000000001</v>
      </c>
      <c r="Q80" s="60">
        <f t="shared" si="11"/>
        <v>0</v>
      </c>
    </row>
    <row r="81" spans="1:17" s="266" customFormat="1" ht="13.5" thickBot="1">
      <c r="A81" s="932"/>
      <c r="B81" s="548"/>
      <c r="C81" s="267" t="s">
        <v>4317</v>
      </c>
      <c r="D81" s="268" t="s">
        <v>4318</v>
      </c>
      <c r="E81" s="269">
        <v>1088</v>
      </c>
      <c r="F81" s="59">
        <f t="shared" si="0"/>
        <v>598.40000000000009</v>
      </c>
      <c r="G81" s="62">
        <f t="shared" si="1"/>
        <v>0</v>
      </c>
      <c r="H81" s="60">
        <f t="shared" si="2"/>
        <v>18.771808000000004</v>
      </c>
      <c r="I81" s="61">
        <f t="shared" si="3"/>
        <v>0</v>
      </c>
      <c r="J81" s="60">
        <f t="shared" si="4"/>
        <v>16.396160000000002</v>
      </c>
      <c r="K81" s="61">
        <f t="shared" si="5"/>
        <v>0</v>
      </c>
      <c r="L81" s="60">
        <f t="shared" si="6"/>
        <v>13.643520000000002</v>
      </c>
      <c r="M81" s="60">
        <f t="shared" si="7"/>
        <v>0</v>
      </c>
      <c r="N81" s="60">
        <f t="shared" si="8"/>
        <v>12.207360000000003</v>
      </c>
      <c r="O81" s="60">
        <f t="shared" si="9"/>
        <v>0</v>
      </c>
      <c r="P81" s="60">
        <f t="shared" si="10"/>
        <v>11.070400000000001</v>
      </c>
      <c r="Q81" s="60">
        <f t="shared" si="11"/>
        <v>0</v>
      </c>
    </row>
    <row r="82" spans="1:17" s="729" customFormat="1" ht="13.5" thickBot="1">
      <c r="A82" s="932"/>
      <c r="B82" s="548"/>
      <c r="C82" s="267" t="s">
        <v>4319</v>
      </c>
      <c r="D82" s="268" t="s">
        <v>4320</v>
      </c>
      <c r="E82" s="269">
        <v>1145</v>
      </c>
      <c r="F82" s="59">
        <f t="shared" si="0"/>
        <v>629.75</v>
      </c>
      <c r="G82" s="62">
        <f t="shared" si="1"/>
        <v>0</v>
      </c>
      <c r="H82" s="60">
        <f t="shared" si="2"/>
        <v>19.755257500000003</v>
      </c>
      <c r="I82" s="61">
        <f t="shared" si="3"/>
        <v>0</v>
      </c>
      <c r="J82" s="60">
        <f t="shared" si="4"/>
        <v>17.25515</v>
      </c>
      <c r="K82" s="61">
        <f t="shared" si="5"/>
        <v>0</v>
      </c>
      <c r="L82" s="60">
        <f t="shared" si="6"/>
        <v>14.3583</v>
      </c>
      <c r="M82" s="60">
        <f t="shared" si="7"/>
        <v>0</v>
      </c>
      <c r="N82" s="60">
        <f t="shared" si="8"/>
        <v>12.846900000000002</v>
      </c>
      <c r="O82" s="60">
        <f t="shared" si="9"/>
        <v>0</v>
      </c>
      <c r="P82" s="60">
        <f t="shared" si="10"/>
        <v>11.650374999999999</v>
      </c>
      <c r="Q82" s="60">
        <f t="shared" si="11"/>
        <v>0</v>
      </c>
    </row>
    <row r="83" spans="1:17" s="413" customFormat="1" ht="13.5" thickBot="1">
      <c r="A83" s="932"/>
      <c r="B83" s="548"/>
      <c r="C83" s="267" t="s">
        <v>4321</v>
      </c>
      <c r="D83" s="268" t="s">
        <v>4322</v>
      </c>
      <c r="E83" s="269">
        <v>809</v>
      </c>
      <c r="F83" s="59">
        <f t="shared" si="0"/>
        <v>444.95000000000005</v>
      </c>
      <c r="G83" s="62">
        <f t="shared" si="1"/>
        <v>0</v>
      </c>
      <c r="H83" s="60">
        <f t="shared" si="2"/>
        <v>13.958081500000002</v>
      </c>
      <c r="I83" s="61">
        <f t="shared" si="3"/>
        <v>0</v>
      </c>
      <c r="J83" s="60">
        <f t="shared" si="4"/>
        <v>12.191630000000002</v>
      </c>
      <c r="K83" s="61">
        <f t="shared" si="5"/>
        <v>0</v>
      </c>
      <c r="L83" s="60">
        <f t="shared" si="6"/>
        <v>10.144860000000001</v>
      </c>
      <c r="M83" s="60">
        <f t="shared" si="7"/>
        <v>0</v>
      </c>
      <c r="N83" s="60">
        <f t="shared" si="8"/>
        <v>9.0769800000000007</v>
      </c>
      <c r="O83" s="60">
        <f t="shared" si="9"/>
        <v>0</v>
      </c>
      <c r="P83" s="60">
        <f t="shared" si="10"/>
        <v>8.2315750000000012</v>
      </c>
      <c r="Q83" s="60">
        <f t="shared" si="11"/>
        <v>0</v>
      </c>
    </row>
    <row r="84" spans="1:17" s="266" customFormat="1" ht="13.5" thickBot="1">
      <c r="A84" s="932"/>
      <c r="B84" s="548"/>
      <c r="C84" s="267" t="s">
        <v>4323</v>
      </c>
      <c r="D84" s="268" t="s">
        <v>4324</v>
      </c>
      <c r="E84" s="269">
        <v>1617</v>
      </c>
      <c r="F84" s="59">
        <f t="shared" si="0"/>
        <v>889.35</v>
      </c>
      <c r="G84" s="62">
        <f t="shared" si="1"/>
        <v>0</v>
      </c>
      <c r="H84" s="60">
        <f t="shared" si="2"/>
        <v>27.898909500000002</v>
      </c>
      <c r="I84" s="61">
        <f t="shared" si="3"/>
        <v>0</v>
      </c>
      <c r="J84" s="60">
        <f t="shared" si="4"/>
        <v>24.368190000000002</v>
      </c>
      <c r="K84" s="61">
        <f t="shared" si="5"/>
        <v>0</v>
      </c>
      <c r="L84" s="60">
        <f t="shared" si="6"/>
        <v>20.277180000000001</v>
      </c>
      <c r="M84" s="60">
        <f t="shared" si="7"/>
        <v>0</v>
      </c>
      <c r="N84" s="60">
        <f t="shared" si="8"/>
        <v>18.142740000000003</v>
      </c>
      <c r="O84" s="60">
        <f t="shared" si="9"/>
        <v>0</v>
      </c>
      <c r="P84" s="60">
        <f t="shared" si="10"/>
        <v>16.452974999999999</v>
      </c>
      <c r="Q84" s="60">
        <f t="shared" si="11"/>
        <v>0</v>
      </c>
    </row>
    <row r="85" spans="1:17" s="266" customFormat="1" ht="13.5" thickBot="1">
      <c r="A85" s="932"/>
      <c r="B85" s="548"/>
      <c r="C85" s="267" t="s">
        <v>4325</v>
      </c>
      <c r="D85" s="268" t="s">
        <v>4326</v>
      </c>
      <c r="E85" s="269">
        <v>2306</v>
      </c>
      <c r="F85" s="59">
        <f t="shared" si="0"/>
        <v>1268.3000000000002</v>
      </c>
      <c r="G85" s="62">
        <f t="shared" si="1"/>
        <v>0</v>
      </c>
      <c r="H85" s="60">
        <f t="shared" si="2"/>
        <v>39.786571000000009</v>
      </c>
      <c r="I85" s="61">
        <f t="shared" si="3"/>
        <v>0</v>
      </c>
      <c r="J85" s="60">
        <f t="shared" si="4"/>
        <v>34.751420000000003</v>
      </c>
      <c r="K85" s="61">
        <f t="shared" si="5"/>
        <v>0</v>
      </c>
      <c r="L85" s="60">
        <f t="shared" si="6"/>
        <v>28.917240000000007</v>
      </c>
      <c r="M85" s="60">
        <f t="shared" si="7"/>
        <v>0</v>
      </c>
      <c r="N85" s="60">
        <f t="shared" si="8"/>
        <v>25.873320000000007</v>
      </c>
      <c r="O85" s="60">
        <f t="shared" si="9"/>
        <v>0</v>
      </c>
      <c r="P85" s="60">
        <f t="shared" si="10"/>
        <v>23.463550000000001</v>
      </c>
      <c r="Q85" s="60">
        <f t="shared" si="11"/>
        <v>0</v>
      </c>
    </row>
    <row r="86" spans="1:17" s="266" customFormat="1" ht="13.5" thickBot="1">
      <c r="A86" s="1057"/>
      <c r="B86" s="548"/>
      <c r="C86" s="267" t="s">
        <v>4327</v>
      </c>
      <c r="D86" s="268" t="s">
        <v>4328</v>
      </c>
      <c r="E86" s="269">
        <v>2427</v>
      </c>
      <c r="F86" s="59">
        <f t="shared" si="0"/>
        <v>1334.8500000000001</v>
      </c>
      <c r="G86" s="62">
        <f t="shared" si="1"/>
        <v>0</v>
      </c>
      <c r="H86" s="60">
        <f t="shared" si="2"/>
        <v>41.87424450000001</v>
      </c>
      <c r="I86" s="61">
        <f t="shared" si="3"/>
        <v>0</v>
      </c>
      <c r="J86" s="60">
        <f t="shared" si="4"/>
        <v>36.574890000000003</v>
      </c>
      <c r="K86" s="61">
        <f t="shared" si="5"/>
        <v>0</v>
      </c>
      <c r="L86" s="60">
        <f t="shared" si="6"/>
        <v>30.434580000000004</v>
      </c>
      <c r="M86" s="60">
        <f t="shared" si="7"/>
        <v>0</v>
      </c>
      <c r="N86" s="60">
        <f t="shared" si="8"/>
        <v>27.230940000000004</v>
      </c>
      <c r="O86" s="60">
        <f t="shared" si="9"/>
        <v>0</v>
      </c>
      <c r="P86" s="60">
        <f t="shared" si="10"/>
        <v>24.694725000000002</v>
      </c>
      <c r="Q86" s="60">
        <f t="shared" si="11"/>
        <v>0</v>
      </c>
    </row>
    <row r="87" spans="1:17" s="729" customFormat="1" ht="13.5" thickBot="1">
      <c r="A87" s="1057"/>
      <c r="B87" s="548"/>
      <c r="C87" s="267" t="s">
        <v>4329</v>
      </c>
      <c r="D87" s="268" t="s">
        <v>4330</v>
      </c>
      <c r="E87" s="269">
        <v>2601</v>
      </c>
      <c r="F87" s="59">
        <f t="shared" si="0"/>
        <v>1430.5500000000002</v>
      </c>
      <c r="G87" s="62">
        <f t="shared" si="1"/>
        <v>0</v>
      </c>
      <c r="H87" s="60">
        <f t="shared" si="2"/>
        <v>44.876353500000008</v>
      </c>
      <c r="I87" s="61">
        <f t="shared" si="3"/>
        <v>0</v>
      </c>
      <c r="J87" s="60">
        <f t="shared" si="4"/>
        <v>39.197070000000004</v>
      </c>
      <c r="K87" s="61">
        <f t="shared" si="5"/>
        <v>0</v>
      </c>
      <c r="L87" s="60">
        <f t="shared" si="6"/>
        <v>32.616540000000008</v>
      </c>
      <c r="M87" s="60">
        <f t="shared" si="7"/>
        <v>0</v>
      </c>
      <c r="N87" s="60">
        <f t="shared" si="8"/>
        <v>29.183220000000006</v>
      </c>
      <c r="O87" s="60">
        <f t="shared" si="9"/>
        <v>0</v>
      </c>
      <c r="P87" s="60">
        <f t="shared" si="10"/>
        <v>26.465175000000002</v>
      </c>
      <c r="Q87" s="60">
        <f t="shared" si="11"/>
        <v>0</v>
      </c>
    </row>
    <row r="88" spans="1:17" s="266" customFormat="1" ht="26.25" thickBot="1">
      <c r="A88" s="1057"/>
      <c r="B88" s="548"/>
      <c r="C88" s="267" t="s">
        <v>4331</v>
      </c>
      <c r="D88" s="268" t="s">
        <v>4332</v>
      </c>
      <c r="E88" s="269">
        <v>943</v>
      </c>
      <c r="F88" s="59">
        <f t="shared" si="0"/>
        <v>518.65000000000009</v>
      </c>
      <c r="G88" s="62">
        <f t="shared" si="1"/>
        <v>0</v>
      </c>
      <c r="H88" s="60">
        <f t="shared" si="2"/>
        <v>16.270050500000004</v>
      </c>
      <c r="I88" s="61">
        <f t="shared" si="3"/>
        <v>0</v>
      </c>
      <c r="J88" s="60">
        <f t="shared" si="4"/>
        <v>14.211010000000003</v>
      </c>
      <c r="K88" s="61">
        <f t="shared" si="5"/>
        <v>0</v>
      </c>
      <c r="L88" s="60">
        <f t="shared" si="6"/>
        <v>11.825220000000002</v>
      </c>
      <c r="M88" s="60">
        <f t="shared" si="7"/>
        <v>0</v>
      </c>
      <c r="N88" s="60">
        <f t="shared" si="8"/>
        <v>10.580460000000002</v>
      </c>
      <c r="O88" s="60">
        <f t="shared" si="9"/>
        <v>0</v>
      </c>
      <c r="P88" s="60">
        <f t="shared" si="10"/>
        <v>9.5950250000000015</v>
      </c>
      <c r="Q88" s="60">
        <f t="shared" si="11"/>
        <v>0</v>
      </c>
    </row>
    <row r="89" spans="1:17" s="266" customFormat="1" ht="26.25" thickBot="1">
      <c r="A89" s="1057"/>
      <c r="B89" s="548"/>
      <c r="C89" s="267" t="s">
        <v>4333</v>
      </c>
      <c r="D89" s="268" t="s">
        <v>4334</v>
      </c>
      <c r="E89" s="269">
        <v>1887</v>
      </c>
      <c r="F89" s="59">
        <f t="shared" si="0"/>
        <v>1037.8500000000001</v>
      </c>
      <c r="G89" s="62">
        <f t="shared" si="1"/>
        <v>0</v>
      </c>
      <c r="H89" s="60">
        <f t="shared" si="2"/>
        <v>32.55735450000001</v>
      </c>
      <c r="I89" s="61">
        <f t="shared" si="3"/>
        <v>0</v>
      </c>
      <c r="J89" s="60">
        <f t="shared" si="4"/>
        <v>28.437090000000005</v>
      </c>
      <c r="K89" s="61">
        <f t="shared" si="5"/>
        <v>0</v>
      </c>
      <c r="L89" s="60">
        <f t="shared" si="6"/>
        <v>23.662980000000005</v>
      </c>
      <c r="M89" s="60">
        <f t="shared" si="7"/>
        <v>0</v>
      </c>
      <c r="N89" s="60">
        <f t="shared" si="8"/>
        <v>21.172140000000006</v>
      </c>
      <c r="O89" s="60">
        <f t="shared" si="9"/>
        <v>0</v>
      </c>
      <c r="P89" s="60">
        <f t="shared" si="10"/>
        <v>19.200225000000003</v>
      </c>
      <c r="Q89" s="60">
        <f t="shared" si="11"/>
        <v>0</v>
      </c>
    </row>
    <row r="90" spans="1:17" s="266" customFormat="1" ht="26.25" thickBot="1">
      <c r="A90" s="1057"/>
      <c r="B90" s="548"/>
      <c r="C90" s="270" t="s">
        <v>4335</v>
      </c>
      <c r="D90" s="268" t="s">
        <v>4336</v>
      </c>
      <c r="E90" s="269">
        <v>2688</v>
      </c>
      <c r="F90" s="59">
        <f t="shared" si="0"/>
        <v>1478.4</v>
      </c>
      <c r="G90" s="62">
        <f t="shared" si="1"/>
        <v>0</v>
      </c>
      <c r="H90" s="60">
        <f t="shared" si="2"/>
        <v>46.377408000000003</v>
      </c>
      <c r="I90" s="61">
        <f t="shared" si="3"/>
        <v>0</v>
      </c>
      <c r="J90" s="60">
        <f t="shared" si="4"/>
        <v>40.508160000000004</v>
      </c>
      <c r="K90" s="61">
        <f t="shared" si="5"/>
        <v>0</v>
      </c>
      <c r="L90" s="60">
        <f t="shared" si="6"/>
        <v>33.707520000000002</v>
      </c>
      <c r="M90" s="60">
        <f t="shared" si="7"/>
        <v>0</v>
      </c>
      <c r="N90" s="60">
        <f t="shared" si="8"/>
        <v>30.159360000000003</v>
      </c>
      <c r="O90" s="60">
        <f t="shared" si="9"/>
        <v>0</v>
      </c>
      <c r="P90" s="60">
        <f t="shared" si="10"/>
        <v>27.3504</v>
      </c>
      <c r="Q90" s="60">
        <f t="shared" si="11"/>
        <v>0</v>
      </c>
    </row>
    <row r="91" spans="1:17" s="413" customFormat="1" ht="26.25" thickBot="1">
      <c r="A91" s="1057"/>
      <c r="B91" s="548"/>
      <c r="C91" s="267" t="s">
        <v>4337</v>
      </c>
      <c r="D91" s="268" t="s">
        <v>4338</v>
      </c>
      <c r="E91" s="269">
        <v>2830</v>
      </c>
      <c r="F91" s="59">
        <f t="shared" si="0"/>
        <v>1556.5000000000002</v>
      </c>
      <c r="G91" s="62">
        <f t="shared" si="1"/>
        <v>0</v>
      </c>
      <c r="H91" s="60">
        <f t="shared" si="2"/>
        <v>48.827405000000013</v>
      </c>
      <c r="I91" s="61">
        <f t="shared" si="3"/>
        <v>0</v>
      </c>
      <c r="J91" s="60">
        <f t="shared" si="4"/>
        <v>42.648100000000007</v>
      </c>
      <c r="K91" s="61">
        <f t="shared" si="5"/>
        <v>0</v>
      </c>
      <c r="L91" s="60">
        <f t="shared" si="6"/>
        <v>35.488200000000006</v>
      </c>
      <c r="M91" s="60">
        <f t="shared" si="7"/>
        <v>0</v>
      </c>
      <c r="N91" s="60">
        <f t="shared" si="8"/>
        <v>31.752600000000008</v>
      </c>
      <c r="O91" s="60">
        <f t="shared" si="9"/>
        <v>0</v>
      </c>
      <c r="P91" s="60">
        <f t="shared" si="10"/>
        <v>28.795250000000003</v>
      </c>
      <c r="Q91" s="60">
        <f t="shared" si="11"/>
        <v>0</v>
      </c>
    </row>
    <row r="92" spans="1:17" s="413" customFormat="1" ht="26.25" thickBot="1">
      <c r="A92" s="1057"/>
      <c r="B92" s="548"/>
      <c r="C92" s="267" t="s">
        <v>4339</v>
      </c>
      <c r="D92" s="268" t="s">
        <v>4340</v>
      </c>
      <c r="E92" s="269">
        <v>3104</v>
      </c>
      <c r="F92" s="59">
        <f t="shared" si="0"/>
        <v>1707.2</v>
      </c>
      <c r="G92" s="62">
        <f t="shared" si="1"/>
        <v>0</v>
      </c>
      <c r="H92" s="60">
        <f t="shared" si="2"/>
        <v>53.554864000000002</v>
      </c>
      <c r="I92" s="61">
        <f t="shared" si="3"/>
        <v>0</v>
      </c>
      <c r="J92" s="60">
        <f t="shared" si="4"/>
        <v>46.777280000000005</v>
      </c>
      <c r="K92" s="61">
        <f t="shared" si="5"/>
        <v>0</v>
      </c>
      <c r="L92" s="60">
        <f t="shared" si="6"/>
        <v>38.924160000000001</v>
      </c>
      <c r="M92" s="60">
        <f t="shared" si="7"/>
        <v>0</v>
      </c>
      <c r="N92" s="60">
        <f t="shared" si="8"/>
        <v>34.826880000000003</v>
      </c>
      <c r="O92" s="60">
        <f t="shared" si="9"/>
        <v>0</v>
      </c>
      <c r="P92" s="60">
        <f t="shared" si="10"/>
        <v>31.583199999999998</v>
      </c>
      <c r="Q92" s="60">
        <f t="shared" si="11"/>
        <v>0</v>
      </c>
    </row>
    <row r="93" spans="1:17" s="729" customFormat="1" ht="13.5" thickBot="1">
      <c r="A93" s="1057"/>
      <c r="B93" s="548"/>
      <c r="C93" s="933" t="s">
        <v>4341</v>
      </c>
      <c r="D93" s="267" t="s">
        <v>4342</v>
      </c>
      <c r="E93" s="556">
        <v>1851</v>
      </c>
      <c r="F93" s="59">
        <f t="shared" si="0"/>
        <v>1018.0500000000001</v>
      </c>
      <c r="G93" s="62">
        <f t="shared" si="1"/>
        <v>0</v>
      </c>
      <c r="H93" s="60">
        <f t="shared" si="2"/>
        <v>31.936228500000006</v>
      </c>
      <c r="I93" s="61">
        <f t="shared" si="3"/>
        <v>0</v>
      </c>
      <c r="J93" s="60">
        <f t="shared" si="4"/>
        <v>27.894570000000002</v>
      </c>
      <c r="K93" s="61">
        <f t="shared" si="5"/>
        <v>0</v>
      </c>
      <c r="L93" s="60">
        <f t="shared" si="6"/>
        <v>23.211540000000003</v>
      </c>
      <c r="M93" s="60">
        <f t="shared" si="7"/>
        <v>0</v>
      </c>
      <c r="N93" s="60">
        <f t="shared" si="8"/>
        <v>20.768220000000003</v>
      </c>
      <c r="O93" s="60">
        <f t="shared" si="9"/>
        <v>0</v>
      </c>
      <c r="P93" s="60">
        <f t="shared" si="10"/>
        <v>18.833925000000001</v>
      </c>
      <c r="Q93" s="60">
        <f t="shared" si="11"/>
        <v>0</v>
      </c>
    </row>
    <row r="94" spans="1:17" s="413" customFormat="1" ht="13.5" thickBot="1">
      <c r="A94" s="1057"/>
      <c r="B94" s="548"/>
      <c r="C94" s="267" t="s">
        <v>4343</v>
      </c>
      <c r="D94" s="268" t="s">
        <v>4344</v>
      </c>
      <c r="E94" s="269">
        <v>3703</v>
      </c>
      <c r="F94" s="59">
        <f t="shared" si="0"/>
        <v>2036.65</v>
      </c>
      <c r="G94" s="62">
        <f t="shared" si="1"/>
        <v>0</v>
      </c>
      <c r="H94" s="60">
        <f t="shared" si="2"/>
        <v>63.889710500000007</v>
      </c>
      <c r="I94" s="61">
        <f t="shared" si="3"/>
        <v>0</v>
      </c>
      <c r="J94" s="60">
        <f t="shared" si="4"/>
        <v>55.804210000000005</v>
      </c>
      <c r="K94" s="61">
        <f t="shared" si="5"/>
        <v>0</v>
      </c>
      <c r="L94" s="60">
        <f t="shared" si="6"/>
        <v>46.435620000000007</v>
      </c>
      <c r="M94" s="60">
        <f t="shared" si="7"/>
        <v>0</v>
      </c>
      <c r="N94" s="60">
        <f t="shared" si="8"/>
        <v>41.547660000000008</v>
      </c>
      <c r="O94" s="60">
        <f t="shared" si="9"/>
        <v>0</v>
      </c>
      <c r="P94" s="60">
        <f t="shared" si="10"/>
        <v>37.678024999999998</v>
      </c>
      <c r="Q94" s="60">
        <f t="shared" si="11"/>
        <v>0</v>
      </c>
    </row>
    <row r="95" spans="1:17" s="413" customFormat="1" ht="26.25" customHeight="1" thickBot="1">
      <c r="A95" s="1057"/>
      <c r="B95" s="548"/>
      <c r="C95" s="267" t="s">
        <v>4345</v>
      </c>
      <c r="D95" s="268" t="s">
        <v>4346</v>
      </c>
      <c r="E95" s="269">
        <v>5278</v>
      </c>
      <c r="F95" s="59">
        <f t="shared" si="0"/>
        <v>2902.9</v>
      </c>
      <c r="G95" s="62">
        <f t="shared" si="1"/>
        <v>0</v>
      </c>
      <c r="H95" s="60">
        <f t="shared" si="2"/>
        <v>91.063973000000004</v>
      </c>
      <c r="I95" s="61">
        <f t="shared" si="3"/>
        <v>0</v>
      </c>
      <c r="J95" s="60">
        <f t="shared" si="4"/>
        <v>79.539460000000005</v>
      </c>
      <c r="K95" s="61">
        <f t="shared" si="5"/>
        <v>0</v>
      </c>
      <c r="L95" s="60">
        <f t="shared" si="6"/>
        <v>66.186120000000003</v>
      </c>
      <c r="M95" s="60">
        <f t="shared" si="7"/>
        <v>0</v>
      </c>
      <c r="N95" s="60">
        <f t="shared" si="8"/>
        <v>59.219160000000009</v>
      </c>
      <c r="O95" s="60">
        <f t="shared" si="9"/>
        <v>0</v>
      </c>
      <c r="P95" s="60">
        <f t="shared" si="10"/>
        <v>53.703649999999996</v>
      </c>
      <c r="Q95" s="60">
        <f t="shared" si="11"/>
        <v>0</v>
      </c>
    </row>
    <row r="96" spans="1:17" s="413" customFormat="1" ht="13.5" thickBot="1">
      <c r="A96" s="1057"/>
      <c r="B96" s="548"/>
      <c r="C96" s="267" t="s">
        <v>4347</v>
      </c>
      <c r="D96" s="268" t="s">
        <v>4348</v>
      </c>
      <c r="E96" s="269">
        <v>6667</v>
      </c>
      <c r="F96" s="59">
        <f t="shared" si="0"/>
        <v>3666.8500000000004</v>
      </c>
      <c r="G96" s="62">
        <f t="shared" si="1"/>
        <v>0</v>
      </c>
      <c r="H96" s="60">
        <f t="shared" si="2"/>
        <v>115.02908450000002</v>
      </c>
      <c r="I96" s="61">
        <f t="shared" si="3"/>
        <v>0</v>
      </c>
      <c r="J96" s="60">
        <f t="shared" si="4"/>
        <v>100.47169000000001</v>
      </c>
      <c r="K96" s="61">
        <f t="shared" si="5"/>
        <v>0</v>
      </c>
      <c r="L96" s="60">
        <f t="shared" si="6"/>
        <v>83.604180000000014</v>
      </c>
      <c r="M96" s="60">
        <f t="shared" si="7"/>
        <v>0</v>
      </c>
      <c r="N96" s="60">
        <f t="shared" si="8"/>
        <v>74.803740000000019</v>
      </c>
      <c r="O96" s="60">
        <f t="shared" si="9"/>
        <v>0</v>
      </c>
      <c r="P96" s="60">
        <f t="shared" si="10"/>
        <v>67.836725000000001</v>
      </c>
      <c r="Q96" s="60">
        <f t="shared" si="11"/>
        <v>0</v>
      </c>
    </row>
    <row r="97" spans="1:17" s="413" customFormat="1" ht="13.5" thickBot="1">
      <c r="A97" s="1057"/>
      <c r="B97" s="548"/>
      <c r="C97" s="267" t="s">
        <v>4349</v>
      </c>
      <c r="D97" s="268" t="s">
        <v>4350</v>
      </c>
      <c r="E97" s="269">
        <v>7909</v>
      </c>
      <c r="F97" s="59">
        <f t="shared" ref="F97:F152" si="12">E97*(1-45%)</f>
        <v>4349.9500000000007</v>
      </c>
      <c r="G97" s="62">
        <f t="shared" ref="G97:G152" si="13">F97*B97</f>
        <v>0</v>
      </c>
      <c r="H97" s="60">
        <f t="shared" ref="H97:H152" si="14">F97*0.03137</f>
        <v>136.45793150000003</v>
      </c>
      <c r="I97" s="61">
        <f t="shared" ref="I97:I152" si="15">H97*B97</f>
        <v>0</v>
      </c>
      <c r="J97" s="60">
        <f t="shared" ref="J97:J114" si="16">F97*0.0274</f>
        <v>119.18863000000002</v>
      </c>
      <c r="K97" s="61">
        <f t="shared" ref="K97:K152" si="17">J97*B97</f>
        <v>0</v>
      </c>
      <c r="L97" s="60">
        <f t="shared" ref="L97:L114" si="18">F97*0.0228</f>
        <v>99.178860000000014</v>
      </c>
      <c r="M97" s="60">
        <f t="shared" ref="M97:M152" si="19">L97*B97</f>
        <v>0</v>
      </c>
      <c r="N97" s="60">
        <f t="shared" ref="N97:N152" si="20">F97*0.0204</f>
        <v>88.738980000000026</v>
      </c>
      <c r="O97" s="60">
        <f t="shared" ref="O97:O152" si="21">N97*B97</f>
        <v>0</v>
      </c>
      <c r="P97" s="60">
        <f t="shared" ref="P97:P152" si="22">F97*0.0185</f>
        <v>80.474075000000013</v>
      </c>
      <c r="Q97" s="60">
        <f t="shared" ref="Q97:Q152" si="23">P97*B97</f>
        <v>0</v>
      </c>
    </row>
    <row r="98" spans="1:17" s="413" customFormat="1" ht="13.5" thickBot="1">
      <c r="A98" s="1057"/>
      <c r="B98" s="548"/>
      <c r="C98" s="267" t="s">
        <v>3830</v>
      </c>
      <c r="D98" s="268" t="s">
        <v>4107</v>
      </c>
      <c r="E98" s="269">
        <v>5955.04</v>
      </c>
      <c r="F98" s="59">
        <f t="shared" si="12"/>
        <v>3275.2720000000004</v>
      </c>
      <c r="G98" s="62">
        <f t="shared" si="13"/>
        <v>0</v>
      </c>
      <c r="H98" s="60">
        <f t="shared" si="14"/>
        <v>102.74528264000001</v>
      </c>
      <c r="I98" s="61">
        <f t="shared" si="15"/>
        <v>0</v>
      </c>
      <c r="J98" s="60">
        <f t="shared" si="16"/>
        <v>89.742452800000009</v>
      </c>
      <c r="K98" s="61">
        <f t="shared" si="17"/>
        <v>0</v>
      </c>
      <c r="L98" s="60">
        <f t="shared" si="18"/>
        <v>74.676201600000013</v>
      </c>
      <c r="M98" s="60">
        <f t="shared" si="19"/>
        <v>0</v>
      </c>
      <c r="N98" s="60">
        <f t="shared" si="20"/>
        <v>66.815548800000016</v>
      </c>
      <c r="O98" s="60">
        <f t="shared" si="21"/>
        <v>0</v>
      </c>
      <c r="P98" s="60">
        <f t="shared" si="22"/>
        <v>60.592532000000006</v>
      </c>
      <c r="Q98" s="60">
        <f t="shared" si="23"/>
        <v>0</v>
      </c>
    </row>
    <row r="99" spans="1:17" s="413" customFormat="1" ht="13.5" thickBot="1">
      <c r="A99" s="1057"/>
      <c r="B99" s="548"/>
      <c r="C99" s="267" t="s">
        <v>3738</v>
      </c>
      <c r="D99" s="268" t="s">
        <v>4168</v>
      </c>
      <c r="E99" s="269">
        <v>6756.88</v>
      </c>
      <c r="F99" s="59">
        <f t="shared" si="12"/>
        <v>3716.2840000000006</v>
      </c>
      <c r="G99" s="62">
        <f t="shared" si="13"/>
        <v>0</v>
      </c>
      <c r="H99" s="60">
        <f t="shared" si="14"/>
        <v>116.57982908000002</v>
      </c>
      <c r="I99" s="61">
        <f t="shared" si="15"/>
        <v>0</v>
      </c>
      <c r="J99" s="60">
        <f t="shared" si="16"/>
        <v>101.82618160000001</v>
      </c>
      <c r="K99" s="61">
        <f t="shared" si="17"/>
        <v>0</v>
      </c>
      <c r="L99" s="60">
        <f t="shared" si="18"/>
        <v>84.731275200000013</v>
      </c>
      <c r="M99" s="60">
        <f t="shared" si="19"/>
        <v>0</v>
      </c>
      <c r="N99" s="60">
        <f t="shared" si="20"/>
        <v>75.812193600000015</v>
      </c>
      <c r="O99" s="60">
        <f t="shared" si="21"/>
        <v>0</v>
      </c>
      <c r="P99" s="60">
        <f t="shared" si="22"/>
        <v>68.751254000000003</v>
      </c>
      <c r="Q99" s="60">
        <f t="shared" si="23"/>
        <v>0</v>
      </c>
    </row>
    <row r="100" spans="1:17" s="413" customFormat="1" ht="13.5" thickBot="1">
      <c r="A100" s="1057"/>
      <c r="B100" s="548"/>
      <c r="C100" s="267" t="s">
        <v>4130</v>
      </c>
      <c r="D100" s="268" t="s">
        <v>4117</v>
      </c>
      <c r="E100" s="269">
        <v>23887.5</v>
      </c>
      <c r="F100" s="59">
        <f t="shared" si="12"/>
        <v>13138.125000000002</v>
      </c>
      <c r="G100" s="62">
        <f t="shared" si="13"/>
        <v>0</v>
      </c>
      <c r="H100" s="60">
        <f t="shared" si="14"/>
        <v>412.1429812500001</v>
      </c>
      <c r="I100" s="61">
        <f t="shared" si="15"/>
        <v>0</v>
      </c>
      <c r="J100" s="60">
        <f t="shared" si="16"/>
        <v>359.98462500000005</v>
      </c>
      <c r="K100" s="61">
        <f t="shared" si="17"/>
        <v>0</v>
      </c>
      <c r="L100" s="60">
        <f t="shared" si="18"/>
        <v>299.54925000000003</v>
      </c>
      <c r="M100" s="60">
        <f t="shared" si="19"/>
        <v>0</v>
      </c>
      <c r="N100" s="60">
        <f t="shared" si="20"/>
        <v>268.01775000000004</v>
      </c>
      <c r="O100" s="60">
        <f t="shared" si="21"/>
        <v>0</v>
      </c>
      <c r="P100" s="60">
        <f t="shared" si="22"/>
        <v>243.05531250000001</v>
      </c>
      <c r="Q100" s="60">
        <f t="shared" si="23"/>
        <v>0</v>
      </c>
    </row>
    <row r="101" spans="1:17" s="413" customFormat="1" ht="13.5" thickBot="1">
      <c r="A101" s="1057"/>
      <c r="B101" s="548"/>
      <c r="C101" s="267">
        <v>7723000</v>
      </c>
      <c r="D101" s="268" t="s">
        <v>669</v>
      </c>
      <c r="E101" s="269">
        <v>49337.79</v>
      </c>
      <c r="F101" s="59">
        <f t="shared" si="12"/>
        <v>27135.784500000002</v>
      </c>
      <c r="G101" s="62">
        <f t="shared" si="13"/>
        <v>0</v>
      </c>
      <c r="H101" s="60">
        <f t="shared" si="14"/>
        <v>851.24955976500007</v>
      </c>
      <c r="I101" s="61">
        <f t="shared" si="15"/>
        <v>0</v>
      </c>
      <c r="J101" s="60">
        <f t="shared" si="16"/>
        <v>743.52049530000011</v>
      </c>
      <c r="K101" s="61">
        <f t="shared" si="17"/>
        <v>0</v>
      </c>
      <c r="L101" s="60">
        <f t="shared" si="18"/>
        <v>618.69588660000011</v>
      </c>
      <c r="M101" s="60">
        <f t="shared" si="19"/>
        <v>0</v>
      </c>
      <c r="N101" s="60">
        <f t="shared" si="20"/>
        <v>553.57000380000011</v>
      </c>
      <c r="O101" s="60">
        <f t="shared" si="21"/>
        <v>0</v>
      </c>
      <c r="P101" s="60">
        <f t="shared" si="22"/>
        <v>502.01201325</v>
      </c>
      <c r="Q101" s="60">
        <f t="shared" si="23"/>
        <v>0</v>
      </c>
    </row>
    <row r="102" spans="1:17" s="413" customFormat="1" ht="13.5" thickBot="1">
      <c r="A102" s="1057"/>
      <c r="B102" s="548"/>
      <c r="C102" s="267" t="s">
        <v>574</v>
      </c>
      <c r="D102" s="268" t="s">
        <v>570</v>
      </c>
      <c r="E102" s="269">
        <v>1761.76</v>
      </c>
      <c r="F102" s="59">
        <f t="shared" si="12"/>
        <v>968.96800000000007</v>
      </c>
      <c r="G102" s="62">
        <f t="shared" si="13"/>
        <v>0</v>
      </c>
      <c r="H102" s="60">
        <f t="shared" si="14"/>
        <v>30.396526160000004</v>
      </c>
      <c r="I102" s="61">
        <f t="shared" si="15"/>
        <v>0</v>
      </c>
      <c r="J102" s="60">
        <f t="shared" si="16"/>
        <v>26.549723200000003</v>
      </c>
      <c r="K102" s="61">
        <f t="shared" si="17"/>
        <v>0</v>
      </c>
      <c r="L102" s="60">
        <f t="shared" si="18"/>
        <v>22.092470400000003</v>
      </c>
      <c r="M102" s="60">
        <f t="shared" si="19"/>
        <v>0</v>
      </c>
      <c r="N102" s="60">
        <f t="shared" si="20"/>
        <v>19.766947200000004</v>
      </c>
      <c r="O102" s="60">
        <f t="shared" si="21"/>
        <v>0</v>
      </c>
      <c r="P102" s="60">
        <f t="shared" si="22"/>
        <v>17.925908</v>
      </c>
      <c r="Q102" s="60">
        <f t="shared" si="23"/>
        <v>0</v>
      </c>
    </row>
    <row r="103" spans="1:17" s="413" customFormat="1" ht="13.5" thickBot="1">
      <c r="A103" s="1057"/>
      <c r="B103" s="548"/>
      <c r="C103" s="267" t="s">
        <v>575</v>
      </c>
      <c r="D103" s="268" t="s">
        <v>3962</v>
      </c>
      <c r="E103" s="269">
        <v>12126.4</v>
      </c>
      <c r="F103" s="59">
        <f t="shared" si="12"/>
        <v>6669.52</v>
      </c>
      <c r="G103" s="62">
        <f t="shared" si="13"/>
        <v>0</v>
      </c>
      <c r="H103" s="60">
        <f t="shared" si="14"/>
        <v>209.22284240000002</v>
      </c>
      <c r="I103" s="61">
        <f t="shared" si="15"/>
        <v>0</v>
      </c>
      <c r="J103" s="60">
        <f t="shared" si="16"/>
        <v>182.74484800000002</v>
      </c>
      <c r="K103" s="61">
        <f t="shared" si="17"/>
        <v>0</v>
      </c>
      <c r="L103" s="60">
        <f t="shared" si="18"/>
        <v>152.06505600000003</v>
      </c>
      <c r="M103" s="60">
        <f t="shared" si="19"/>
        <v>0</v>
      </c>
      <c r="N103" s="60">
        <f t="shared" si="20"/>
        <v>136.05820800000001</v>
      </c>
      <c r="O103" s="60">
        <f t="shared" si="21"/>
        <v>0</v>
      </c>
      <c r="P103" s="60">
        <f t="shared" si="22"/>
        <v>123.38612000000001</v>
      </c>
      <c r="Q103" s="60">
        <f t="shared" si="23"/>
        <v>0</v>
      </c>
    </row>
    <row r="104" spans="1:17" s="266" customFormat="1" ht="13.5" thickBot="1">
      <c r="A104" s="1057"/>
      <c r="B104" s="548"/>
      <c r="C104" s="933" t="s">
        <v>576</v>
      </c>
      <c r="D104" s="267" t="s">
        <v>4183</v>
      </c>
      <c r="E104" s="556">
        <v>2668.64</v>
      </c>
      <c r="F104" s="59">
        <f t="shared" si="12"/>
        <v>1467.752</v>
      </c>
      <c r="G104" s="62">
        <f t="shared" si="13"/>
        <v>0</v>
      </c>
      <c r="H104" s="60">
        <f t="shared" si="14"/>
        <v>46.043380240000005</v>
      </c>
      <c r="I104" s="61">
        <f t="shared" si="15"/>
        <v>0</v>
      </c>
      <c r="J104" s="60">
        <f t="shared" si="16"/>
        <v>40.216404799999999</v>
      </c>
      <c r="K104" s="61">
        <f t="shared" si="17"/>
        <v>0</v>
      </c>
      <c r="L104" s="60">
        <f t="shared" si="18"/>
        <v>33.464745600000001</v>
      </c>
      <c r="M104" s="60">
        <f t="shared" si="19"/>
        <v>0</v>
      </c>
      <c r="N104" s="60">
        <f t="shared" si="20"/>
        <v>29.942140800000001</v>
      </c>
      <c r="O104" s="60">
        <f t="shared" si="21"/>
        <v>0</v>
      </c>
      <c r="P104" s="60">
        <f t="shared" si="22"/>
        <v>27.153411999999999</v>
      </c>
      <c r="Q104" s="60">
        <f t="shared" si="23"/>
        <v>0</v>
      </c>
    </row>
    <row r="105" spans="1:17" s="266" customFormat="1" ht="13.5" thickBot="1">
      <c r="A105" s="1057"/>
      <c r="B105" s="548"/>
      <c r="C105" s="917" t="s">
        <v>4206</v>
      </c>
      <c r="D105" s="268" t="s">
        <v>4351</v>
      </c>
      <c r="E105" s="269">
        <v>5200</v>
      </c>
      <c r="F105" s="59">
        <f t="shared" si="12"/>
        <v>2860.0000000000005</v>
      </c>
      <c r="G105" s="62">
        <f t="shared" si="13"/>
        <v>0</v>
      </c>
      <c r="H105" s="60">
        <f t="shared" si="14"/>
        <v>89.718200000000024</v>
      </c>
      <c r="I105" s="61">
        <f t="shared" si="15"/>
        <v>0</v>
      </c>
      <c r="J105" s="60">
        <f t="shared" si="16"/>
        <v>78.364000000000019</v>
      </c>
      <c r="K105" s="61">
        <f t="shared" si="17"/>
        <v>0</v>
      </c>
      <c r="L105" s="60">
        <f t="shared" si="18"/>
        <v>65.208000000000013</v>
      </c>
      <c r="M105" s="60">
        <f t="shared" si="19"/>
        <v>0</v>
      </c>
      <c r="N105" s="60">
        <f t="shared" si="20"/>
        <v>58.344000000000015</v>
      </c>
      <c r="O105" s="60">
        <f t="shared" si="21"/>
        <v>0</v>
      </c>
      <c r="P105" s="60">
        <f t="shared" si="22"/>
        <v>52.910000000000004</v>
      </c>
      <c r="Q105" s="60">
        <f t="shared" si="23"/>
        <v>0</v>
      </c>
    </row>
    <row r="106" spans="1:17" s="266" customFormat="1" ht="13.5" thickBot="1">
      <c r="A106" s="1057"/>
      <c r="B106" s="548"/>
      <c r="C106" s="267" t="s">
        <v>4204</v>
      </c>
      <c r="D106" s="268" t="s">
        <v>4352</v>
      </c>
      <c r="E106" s="269">
        <v>5200</v>
      </c>
      <c r="F106" s="59">
        <f t="shared" si="12"/>
        <v>2860.0000000000005</v>
      </c>
      <c r="G106" s="62">
        <f t="shared" si="13"/>
        <v>0</v>
      </c>
      <c r="H106" s="60">
        <f t="shared" si="14"/>
        <v>89.718200000000024</v>
      </c>
      <c r="I106" s="61">
        <f t="shared" si="15"/>
        <v>0</v>
      </c>
      <c r="J106" s="60">
        <f t="shared" si="16"/>
        <v>78.364000000000019</v>
      </c>
      <c r="K106" s="61">
        <f t="shared" si="17"/>
        <v>0</v>
      </c>
      <c r="L106" s="60">
        <f t="shared" si="18"/>
        <v>65.208000000000013</v>
      </c>
      <c r="M106" s="60">
        <f t="shared" si="19"/>
        <v>0</v>
      </c>
      <c r="N106" s="60">
        <f t="shared" si="20"/>
        <v>58.344000000000015</v>
      </c>
      <c r="O106" s="60">
        <f t="shared" si="21"/>
        <v>0</v>
      </c>
      <c r="P106" s="60">
        <f t="shared" si="22"/>
        <v>52.910000000000004</v>
      </c>
      <c r="Q106" s="60">
        <f t="shared" si="23"/>
        <v>0</v>
      </c>
    </row>
    <row r="107" spans="1:17" s="413" customFormat="1" ht="13.5" thickBot="1">
      <c r="A107" s="1057"/>
      <c r="B107" s="548"/>
      <c r="C107" s="267" t="s">
        <v>4210</v>
      </c>
      <c r="D107" s="268" t="s">
        <v>4353</v>
      </c>
      <c r="E107" s="269">
        <v>9995</v>
      </c>
      <c r="F107" s="59">
        <f t="shared" si="12"/>
        <v>5497.25</v>
      </c>
      <c r="G107" s="62">
        <f t="shared" si="13"/>
        <v>0</v>
      </c>
      <c r="H107" s="60">
        <f t="shared" si="14"/>
        <v>172.44873250000001</v>
      </c>
      <c r="I107" s="61">
        <f t="shared" si="15"/>
        <v>0</v>
      </c>
      <c r="J107" s="60">
        <f t="shared" si="16"/>
        <v>150.62465</v>
      </c>
      <c r="K107" s="61">
        <f t="shared" si="17"/>
        <v>0</v>
      </c>
      <c r="L107" s="60">
        <f t="shared" si="18"/>
        <v>125.3373</v>
      </c>
      <c r="M107" s="60">
        <f t="shared" si="19"/>
        <v>0</v>
      </c>
      <c r="N107" s="60">
        <f t="shared" si="20"/>
        <v>112.1439</v>
      </c>
      <c r="O107" s="60">
        <f t="shared" si="21"/>
        <v>0</v>
      </c>
      <c r="P107" s="60">
        <f t="shared" si="22"/>
        <v>101.699125</v>
      </c>
      <c r="Q107" s="60">
        <f t="shared" si="23"/>
        <v>0</v>
      </c>
    </row>
    <row r="108" spans="1:17" s="413" customFormat="1" ht="13.5" thickBot="1">
      <c r="A108" s="1057"/>
      <c r="B108" s="548"/>
      <c r="C108" s="267" t="s">
        <v>4354</v>
      </c>
      <c r="D108" s="268" t="s">
        <v>4355</v>
      </c>
      <c r="E108" s="269">
        <v>21275</v>
      </c>
      <c r="F108" s="59">
        <f t="shared" si="12"/>
        <v>11701.250000000002</v>
      </c>
      <c r="G108" s="62">
        <f t="shared" si="13"/>
        <v>0</v>
      </c>
      <c r="H108" s="60">
        <f t="shared" si="14"/>
        <v>367.06821250000007</v>
      </c>
      <c r="I108" s="61">
        <f t="shared" si="15"/>
        <v>0</v>
      </c>
      <c r="J108" s="60">
        <f t="shared" si="16"/>
        <v>320.61425000000008</v>
      </c>
      <c r="K108" s="61">
        <f t="shared" si="17"/>
        <v>0</v>
      </c>
      <c r="L108" s="60">
        <f t="shared" si="18"/>
        <v>266.78850000000006</v>
      </c>
      <c r="M108" s="60">
        <f t="shared" si="19"/>
        <v>0</v>
      </c>
      <c r="N108" s="60">
        <f t="shared" si="20"/>
        <v>238.70550000000006</v>
      </c>
      <c r="O108" s="60">
        <f t="shared" si="21"/>
        <v>0</v>
      </c>
      <c r="P108" s="60">
        <f t="shared" si="22"/>
        <v>216.47312500000001</v>
      </c>
      <c r="Q108" s="60">
        <f t="shared" si="23"/>
        <v>0</v>
      </c>
    </row>
    <row r="109" spans="1:17" s="413" customFormat="1" ht="13.5" thickBot="1">
      <c r="A109" s="1057"/>
      <c r="B109" s="548"/>
      <c r="C109" s="267" t="s">
        <v>4123</v>
      </c>
      <c r="D109" s="268" t="s">
        <v>4110</v>
      </c>
      <c r="E109" s="269">
        <v>1784.64</v>
      </c>
      <c r="F109" s="59">
        <f t="shared" si="12"/>
        <v>981.55200000000013</v>
      </c>
      <c r="G109" s="62">
        <f t="shared" si="13"/>
        <v>0</v>
      </c>
      <c r="H109" s="60">
        <f t="shared" si="14"/>
        <v>30.791286240000005</v>
      </c>
      <c r="I109" s="61">
        <f t="shared" si="15"/>
        <v>0</v>
      </c>
      <c r="J109" s="60">
        <f t="shared" si="16"/>
        <v>26.894524800000003</v>
      </c>
      <c r="K109" s="61">
        <f t="shared" si="17"/>
        <v>0</v>
      </c>
      <c r="L109" s="60">
        <f t="shared" si="18"/>
        <v>22.379385600000003</v>
      </c>
      <c r="M109" s="60">
        <f t="shared" si="19"/>
        <v>0</v>
      </c>
      <c r="N109" s="60">
        <f t="shared" si="20"/>
        <v>20.023660800000005</v>
      </c>
      <c r="O109" s="60">
        <f t="shared" si="21"/>
        <v>0</v>
      </c>
      <c r="P109" s="60">
        <f t="shared" si="22"/>
        <v>18.158712000000001</v>
      </c>
      <c r="Q109" s="60">
        <f t="shared" si="23"/>
        <v>0</v>
      </c>
    </row>
    <row r="110" spans="1:17" s="413" customFormat="1" ht="13.5" thickBot="1">
      <c r="A110" s="1057"/>
      <c r="B110" s="548"/>
      <c r="C110" s="267" t="s">
        <v>577</v>
      </c>
      <c r="D110" s="268" t="s">
        <v>571</v>
      </c>
      <c r="E110" s="269">
        <v>20592</v>
      </c>
      <c r="F110" s="59">
        <f t="shared" si="12"/>
        <v>11325.6</v>
      </c>
      <c r="G110" s="62">
        <f t="shared" si="13"/>
        <v>0</v>
      </c>
      <c r="H110" s="60">
        <f t="shared" si="14"/>
        <v>355.28407200000004</v>
      </c>
      <c r="I110" s="61">
        <f t="shared" si="15"/>
        <v>0</v>
      </c>
      <c r="J110" s="60">
        <f t="shared" si="16"/>
        <v>310.32144</v>
      </c>
      <c r="K110" s="61">
        <f t="shared" si="17"/>
        <v>0</v>
      </c>
      <c r="L110" s="60">
        <f t="shared" si="18"/>
        <v>258.22368</v>
      </c>
      <c r="M110" s="60">
        <f t="shared" si="19"/>
        <v>0</v>
      </c>
      <c r="N110" s="60">
        <f t="shared" si="20"/>
        <v>231.04224000000002</v>
      </c>
      <c r="O110" s="60">
        <f t="shared" si="21"/>
        <v>0</v>
      </c>
      <c r="P110" s="60">
        <f t="shared" si="22"/>
        <v>209.52359999999999</v>
      </c>
      <c r="Q110" s="60">
        <f t="shared" si="23"/>
        <v>0</v>
      </c>
    </row>
    <row r="111" spans="1:17" s="413" customFormat="1" ht="13.5" thickBot="1">
      <c r="A111" s="1057"/>
      <c r="B111" s="548"/>
      <c r="C111" s="267" t="s">
        <v>4356</v>
      </c>
      <c r="D111" s="268" t="s">
        <v>3971</v>
      </c>
      <c r="E111" s="269">
        <v>1281.28</v>
      </c>
      <c r="F111" s="59">
        <f t="shared" si="12"/>
        <v>704.70400000000006</v>
      </c>
      <c r="G111" s="62">
        <f t="shared" si="13"/>
        <v>0</v>
      </c>
      <c r="H111" s="60">
        <f t="shared" si="14"/>
        <v>22.106564480000003</v>
      </c>
      <c r="I111" s="61">
        <f t="shared" si="15"/>
        <v>0</v>
      </c>
      <c r="J111" s="60">
        <f t="shared" si="16"/>
        <v>19.308889600000001</v>
      </c>
      <c r="K111" s="61">
        <f t="shared" si="17"/>
        <v>0</v>
      </c>
      <c r="L111" s="60">
        <f t="shared" si="18"/>
        <v>16.067251200000001</v>
      </c>
      <c r="M111" s="60">
        <f t="shared" si="19"/>
        <v>0</v>
      </c>
      <c r="N111" s="60">
        <f t="shared" si="20"/>
        <v>14.375961600000002</v>
      </c>
      <c r="O111" s="60">
        <f t="shared" si="21"/>
        <v>0</v>
      </c>
      <c r="P111" s="60">
        <f t="shared" si="22"/>
        <v>13.037024000000001</v>
      </c>
      <c r="Q111" s="60">
        <f t="shared" si="23"/>
        <v>0</v>
      </c>
    </row>
    <row r="112" spans="1:17" s="729" customFormat="1" ht="13.5" thickBot="1">
      <c r="A112" s="1057"/>
      <c r="B112" s="548"/>
      <c r="C112" s="930" t="s">
        <v>3742</v>
      </c>
      <c r="D112" s="267" t="s">
        <v>3676</v>
      </c>
      <c r="E112" s="556">
        <v>1019.2</v>
      </c>
      <c r="F112" s="59">
        <f t="shared" si="12"/>
        <v>560.56000000000006</v>
      </c>
      <c r="G112" s="62">
        <f t="shared" si="13"/>
        <v>0</v>
      </c>
      <c r="H112" s="60">
        <f t="shared" si="14"/>
        <v>17.584767200000002</v>
      </c>
      <c r="I112" s="61">
        <f t="shared" si="15"/>
        <v>0</v>
      </c>
      <c r="J112" s="60">
        <f t="shared" si="16"/>
        <v>15.359344000000002</v>
      </c>
      <c r="K112" s="61">
        <f t="shared" si="17"/>
        <v>0</v>
      </c>
      <c r="L112" s="60">
        <f t="shared" si="18"/>
        <v>12.780768000000002</v>
      </c>
      <c r="M112" s="60">
        <f t="shared" si="19"/>
        <v>0</v>
      </c>
      <c r="N112" s="60">
        <f t="shared" si="20"/>
        <v>11.435424000000001</v>
      </c>
      <c r="O112" s="60">
        <f t="shared" si="21"/>
        <v>0</v>
      </c>
      <c r="P112" s="60">
        <f t="shared" si="22"/>
        <v>10.37036</v>
      </c>
      <c r="Q112" s="60">
        <f t="shared" si="23"/>
        <v>0</v>
      </c>
    </row>
    <row r="113" spans="1:17" s="413" customFormat="1" ht="13.5" thickBot="1">
      <c r="A113" s="1057"/>
      <c r="B113" s="548"/>
      <c r="C113" s="267" t="s">
        <v>3737</v>
      </c>
      <c r="D113" s="268" t="s">
        <v>3669</v>
      </c>
      <c r="E113" s="269">
        <v>23968.880000000001</v>
      </c>
      <c r="F113" s="59">
        <f t="shared" si="12"/>
        <v>13182.884000000002</v>
      </c>
      <c r="G113" s="62">
        <f t="shared" si="13"/>
        <v>0</v>
      </c>
      <c r="H113" s="60">
        <f t="shared" si="14"/>
        <v>413.54707108000008</v>
      </c>
      <c r="I113" s="61">
        <f t="shared" si="15"/>
        <v>0</v>
      </c>
      <c r="J113" s="60">
        <f t="shared" si="16"/>
        <v>361.21102160000004</v>
      </c>
      <c r="K113" s="61">
        <f t="shared" si="17"/>
        <v>0</v>
      </c>
      <c r="L113" s="60">
        <f t="shared" si="18"/>
        <v>300.56975520000003</v>
      </c>
      <c r="M113" s="60">
        <f t="shared" si="19"/>
        <v>0</v>
      </c>
      <c r="N113" s="60">
        <f t="shared" si="20"/>
        <v>268.93083360000008</v>
      </c>
      <c r="O113" s="60">
        <f t="shared" si="21"/>
        <v>0</v>
      </c>
      <c r="P113" s="60">
        <f t="shared" si="22"/>
        <v>243.88335400000003</v>
      </c>
      <c r="Q113" s="60">
        <f t="shared" si="23"/>
        <v>0</v>
      </c>
    </row>
    <row r="114" spans="1:17" s="413" customFormat="1" ht="13.5" thickBot="1">
      <c r="A114" s="1057"/>
      <c r="B114" s="548"/>
      <c r="C114" s="267" t="s">
        <v>4357</v>
      </c>
      <c r="D114" s="268" t="s">
        <v>4358</v>
      </c>
      <c r="E114" s="269">
        <v>18000</v>
      </c>
      <c r="F114" s="59">
        <f t="shared" si="12"/>
        <v>9900</v>
      </c>
      <c r="G114" s="62">
        <f t="shared" si="13"/>
        <v>0</v>
      </c>
      <c r="H114" s="60">
        <f t="shared" si="14"/>
        <v>310.56300000000005</v>
      </c>
      <c r="I114" s="61">
        <f t="shared" si="15"/>
        <v>0</v>
      </c>
      <c r="J114" s="60">
        <f t="shared" si="16"/>
        <v>271.26</v>
      </c>
      <c r="K114" s="61">
        <f t="shared" si="17"/>
        <v>0</v>
      </c>
      <c r="L114" s="60">
        <f t="shared" si="18"/>
        <v>225.72</v>
      </c>
      <c r="M114" s="60">
        <f t="shared" si="19"/>
        <v>0</v>
      </c>
      <c r="N114" s="60">
        <f t="shared" si="20"/>
        <v>201.96</v>
      </c>
      <c r="O114" s="60">
        <f t="shared" si="21"/>
        <v>0</v>
      </c>
      <c r="P114" s="60">
        <f t="shared" si="22"/>
        <v>183.14999999999998</v>
      </c>
      <c r="Q114" s="60">
        <f t="shared" si="23"/>
        <v>0</v>
      </c>
    </row>
    <row r="115" spans="1:17" s="413" customFormat="1" ht="13.5" thickBot="1">
      <c r="A115" s="1057"/>
      <c r="B115" s="548"/>
      <c r="C115" s="267" t="s">
        <v>56</v>
      </c>
      <c r="D115" s="268" t="s">
        <v>3848</v>
      </c>
      <c r="E115" s="269">
        <v>509.6</v>
      </c>
      <c r="F115" s="59">
        <f t="shared" si="12"/>
        <v>280.28000000000003</v>
      </c>
      <c r="G115" s="62">
        <f t="shared" si="13"/>
        <v>0</v>
      </c>
      <c r="H115" s="60">
        <f t="shared" si="14"/>
        <v>8.7923836000000009</v>
      </c>
      <c r="I115" s="61">
        <f t="shared" si="15"/>
        <v>0</v>
      </c>
      <c r="J115" s="60">
        <f>F115*0.02564</f>
        <v>7.1863792000000011</v>
      </c>
      <c r="K115" s="61">
        <f t="shared" si="17"/>
        <v>0</v>
      </c>
      <c r="L115" s="60">
        <f>F115*0.0256</f>
        <v>7.1751680000000011</v>
      </c>
      <c r="M115" s="60">
        <f t="shared" si="19"/>
        <v>0</v>
      </c>
      <c r="N115" s="60">
        <f t="shared" si="20"/>
        <v>5.7177120000000006</v>
      </c>
      <c r="O115" s="60">
        <f t="shared" si="21"/>
        <v>0</v>
      </c>
      <c r="P115" s="60">
        <f t="shared" si="22"/>
        <v>5.1851799999999999</v>
      </c>
      <c r="Q115" s="60">
        <f t="shared" si="23"/>
        <v>0</v>
      </c>
    </row>
    <row r="116" spans="1:17" s="413" customFormat="1" ht="13.5" thickBot="1">
      <c r="A116" s="1057"/>
      <c r="B116" s="548"/>
      <c r="C116" s="561" t="s">
        <v>578</v>
      </c>
      <c r="D116" s="268" t="s">
        <v>3958</v>
      </c>
      <c r="E116" s="269">
        <v>1630.72</v>
      </c>
      <c r="F116" s="59">
        <f t="shared" si="12"/>
        <v>896.89600000000007</v>
      </c>
      <c r="G116" s="62">
        <f t="shared" si="13"/>
        <v>0</v>
      </c>
      <c r="H116" s="60">
        <f t="shared" si="14"/>
        <v>28.135627520000003</v>
      </c>
      <c r="I116" s="61">
        <f t="shared" si="15"/>
        <v>0</v>
      </c>
      <c r="J116" s="60">
        <f t="shared" ref="J116:J135" si="24">F116*0.0274</f>
        <v>24.574950400000002</v>
      </c>
      <c r="K116" s="61">
        <f t="shared" si="17"/>
        <v>0</v>
      </c>
      <c r="L116" s="60">
        <f t="shared" ref="L116:L152" si="25">F116*0.0228</f>
        <v>20.449228800000004</v>
      </c>
      <c r="M116" s="60">
        <f t="shared" si="19"/>
        <v>0</v>
      </c>
      <c r="N116" s="60">
        <f t="shared" si="20"/>
        <v>18.296678400000001</v>
      </c>
      <c r="O116" s="60">
        <f t="shared" si="21"/>
        <v>0</v>
      </c>
      <c r="P116" s="60">
        <f t="shared" si="22"/>
        <v>16.592576000000001</v>
      </c>
      <c r="Q116" s="60">
        <f t="shared" si="23"/>
        <v>0</v>
      </c>
    </row>
    <row r="117" spans="1:17" s="413" customFormat="1" ht="13.5" thickBot="1">
      <c r="A117" s="1057"/>
      <c r="B117" s="548"/>
      <c r="C117" s="267" t="s">
        <v>3903</v>
      </c>
      <c r="D117" s="268" t="s">
        <v>4173</v>
      </c>
      <c r="E117" s="269">
        <v>3840.72</v>
      </c>
      <c r="F117" s="59">
        <f t="shared" si="12"/>
        <v>2112.3960000000002</v>
      </c>
      <c r="G117" s="62">
        <f t="shared" si="13"/>
        <v>0</v>
      </c>
      <c r="H117" s="60">
        <f t="shared" si="14"/>
        <v>66.265862520000013</v>
      </c>
      <c r="I117" s="61">
        <f t="shared" si="15"/>
        <v>0</v>
      </c>
      <c r="J117" s="60">
        <f t="shared" si="24"/>
        <v>57.87965040000001</v>
      </c>
      <c r="K117" s="61">
        <f t="shared" si="17"/>
        <v>0</v>
      </c>
      <c r="L117" s="60">
        <f t="shared" si="25"/>
        <v>48.162628800000007</v>
      </c>
      <c r="M117" s="60">
        <f t="shared" si="19"/>
        <v>0</v>
      </c>
      <c r="N117" s="60">
        <f t="shared" si="20"/>
        <v>43.092878400000004</v>
      </c>
      <c r="O117" s="60">
        <f t="shared" si="21"/>
        <v>0</v>
      </c>
      <c r="P117" s="60">
        <f t="shared" si="22"/>
        <v>39.079326000000002</v>
      </c>
      <c r="Q117" s="60">
        <f t="shared" si="23"/>
        <v>0</v>
      </c>
    </row>
    <row r="118" spans="1:17" s="413" customFormat="1" ht="13.5" thickBot="1">
      <c r="A118" s="1057"/>
      <c r="B118" s="548"/>
      <c r="C118" s="267" t="s">
        <v>3741</v>
      </c>
      <c r="D118" s="268" t="s">
        <v>4359</v>
      </c>
      <c r="E118" s="269">
        <v>4345.12</v>
      </c>
      <c r="F118" s="59">
        <f t="shared" si="12"/>
        <v>2389.8160000000003</v>
      </c>
      <c r="G118" s="62">
        <f t="shared" si="13"/>
        <v>0</v>
      </c>
      <c r="H118" s="60">
        <f t="shared" si="14"/>
        <v>74.968527920000014</v>
      </c>
      <c r="I118" s="61">
        <f t="shared" si="15"/>
        <v>0</v>
      </c>
      <c r="J118" s="60">
        <f t="shared" si="24"/>
        <v>65.480958400000006</v>
      </c>
      <c r="K118" s="61">
        <f t="shared" si="17"/>
        <v>0</v>
      </c>
      <c r="L118" s="60">
        <f t="shared" si="25"/>
        <v>54.487804800000006</v>
      </c>
      <c r="M118" s="60">
        <f t="shared" si="19"/>
        <v>0</v>
      </c>
      <c r="N118" s="60">
        <f t="shared" si="20"/>
        <v>48.752246400000011</v>
      </c>
      <c r="O118" s="60">
        <f t="shared" si="21"/>
        <v>0</v>
      </c>
      <c r="P118" s="60">
        <f t="shared" si="22"/>
        <v>44.211596</v>
      </c>
      <c r="Q118" s="60">
        <f t="shared" si="23"/>
        <v>0</v>
      </c>
    </row>
    <row r="119" spans="1:17" s="413" customFormat="1" ht="13.5" thickBot="1">
      <c r="A119" s="1057"/>
      <c r="B119" s="548"/>
      <c r="C119" s="267" t="s">
        <v>3730</v>
      </c>
      <c r="D119" s="268" t="s">
        <v>3952</v>
      </c>
      <c r="E119" s="269">
        <v>51294.879999999997</v>
      </c>
      <c r="F119" s="59">
        <f t="shared" si="12"/>
        <v>28212.184000000001</v>
      </c>
      <c r="G119" s="62">
        <f t="shared" si="13"/>
        <v>0</v>
      </c>
      <c r="H119" s="60">
        <f t="shared" si="14"/>
        <v>885.01621208000006</v>
      </c>
      <c r="I119" s="61">
        <f t="shared" si="15"/>
        <v>0</v>
      </c>
      <c r="J119" s="60">
        <f t="shared" si="24"/>
        <v>773.01384160000009</v>
      </c>
      <c r="K119" s="61">
        <f t="shared" si="17"/>
        <v>0</v>
      </c>
      <c r="L119" s="60">
        <f t="shared" si="25"/>
        <v>643.23779520000005</v>
      </c>
      <c r="M119" s="60">
        <f t="shared" si="19"/>
        <v>0</v>
      </c>
      <c r="N119" s="60">
        <f t="shared" si="20"/>
        <v>575.52855360000001</v>
      </c>
      <c r="O119" s="60">
        <f t="shared" si="21"/>
        <v>0</v>
      </c>
      <c r="P119" s="60">
        <f t="shared" si="22"/>
        <v>521.92540399999996</v>
      </c>
      <c r="Q119" s="60">
        <f t="shared" si="23"/>
        <v>0</v>
      </c>
    </row>
    <row r="120" spans="1:17" s="413" customFormat="1" ht="13.5" thickBot="1">
      <c r="A120" s="1057"/>
      <c r="B120" s="548"/>
      <c r="C120" s="267" t="s">
        <v>3904</v>
      </c>
      <c r="D120" s="268" t="s">
        <v>4174</v>
      </c>
      <c r="E120" s="269">
        <v>6406.4</v>
      </c>
      <c r="F120" s="59">
        <f t="shared" si="12"/>
        <v>3523.52</v>
      </c>
      <c r="G120" s="62">
        <f t="shared" si="13"/>
        <v>0</v>
      </c>
      <c r="H120" s="60">
        <f t="shared" si="14"/>
        <v>110.5328224</v>
      </c>
      <c r="I120" s="61">
        <f t="shared" si="15"/>
        <v>0</v>
      </c>
      <c r="J120" s="60">
        <f t="shared" si="24"/>
        <v>96.544448000000003</v>
      </c>
      <c r="K120" s="61">
        <f t="shared" si="17"/>
        <v>0</v>
      </c>
      <c r="L120" s="60">
        <f t="shared" si="25"/>
        <v>80.336256000000006</v>
      </c>
      <c r="M120" s="60">
        <f t="shared" si="19"/>
        <v>0</v>
      </c>
      <c r="N120" s="60">
        <f t="shared" si="20"/>
        <v>71.879808000000011</v>
      </c>
      <c r="O120" s="60">
        <f t="shared" si="21"/>
        <v>0</v>
      </c>
      <c r="P120" s="60">
        <f t="shared" si="22"/>
        <v>65.185119999999998</v>
      </c>
      <c r="Q120" s="60">
        <f t="shared" si="23"/>
        <v>0</v>
      </c>
    </row>
    <row r="121" spans="1:17" s="413" customFormat="1" ht="26.25" thickBot="1">
      <c r="A121" s="1057"/>
      <c r="B121" s="548"/>
      <c r="C121" s="267" t="s">
        <v>4360</v>
      </c>
      <c r="D121" s="268" t="s">
        <v>4361</v>
      </c>
      <c r="E121" s="269">
        <v>4484.4799999999996</v>
      </c>
      <c r="F121" s="59">
        <f t="shared" si="12"/>
        <v>2466.4639999999999</v>
      </c>
      <c r="G121" s="62">
        <f t="shared" si="13"/>
        <v>0</v>
      </c>
      <c r="H121" s="60">
        <f t="shared" si="14"/>
        <v>77.372975679999996</v>
      </c>
      <c r="I121" s="61">
        <f t="shared" si="15"/>
        <v>0</v>
      </c>
      <c r="J121" s="60">
        <f t="shared" si="24"/>
        <v>67.581113599999995</v>
      </c>
      <c r="K121" s="61">
        <f t="shared" si="17"/>
        <v>0</v>
      </c>
      <c r="L121" s="60">
        <f t="shared" si="25"/>
        <v>56.235379200000004</v>
      </c>
      <c r="M121" s="60">
        <f t="shared" si="19"/>
        <v>0</v>
      </c>
      <c r="N121" s="60">
        <f t="shared" si="20"/>
        <v>50.315865600000002</v>
      </c>
      <c r="O121" s="60">
        <f t="shared" si="21"/>
        <v>0</v>
      </c>
      <c r="P121" s="60">
        <f t="shared" si="22"/>
        <v>45.629583999999994</v>
      </c>
      <c r="Q121" s="60">
        <f t="shared" si="23"/>
        <v>0</v>
      </c>
    </row>
    <row r="122" spans="1:17" s="413" customFormat="1" ht="13.5" thickBot="1">
      <c r="A122" s="1057"/>
      <c r="B122" s="548"/>
      <c r="C122" s="267" t="s">
        <v>4132</v>
      </c>
      <c r="D122" s="268" t="s">
        <v>4119</v>
      </c>
      <c r="E122" s="269">
        <v>7385.04</v>
      </c>
      <c r="F122" s="59">
        <f t="shared" si="12"/>
        <v>4061.7720000000004</v>
      </c>
      <c r="G122" s="62">
        <f t="shared" si="13"/>
        <v>0</v>
      </c>
      <c r="H122" s="60">
        <f t="shared" si="14"/>
        <v>127.41778764000001</v>
      </c>
      <c r="I122" s="61">
        <f t="shared" si="15"/>
        <v>0</v>
      </c>
      <c r="J122" s="60">
        <f t="shared" si="24"/>
        <v>111.29255280000001</v>
      </c>
      <c r="K122" s="61">
        <f t="shared" si="17"/>
        <v>0</v>
      </c>
      <c r="L122" s="60">
        <f t="shared" si="25"/>
        <v>92.608401600000008</v>
      </c>
      <c r="M122" s="60">
        <f t="shared" si="19"/>
        <v>0</v>
      </c>
      <c r="N122" s="60">
        <f t="shared" si="20"/>
        <v>82.860148800000019</v>
      </c>
      <c r="O122" s="60">
        <f t="shared" si="21"/>
        <v>0</v>
      </c>
      <c r="P122" s="60">
        <f t="shared" si="22"/>
        <v>75.142781999999997</v>
      </c>
      <c r="Q122" s="60">
        <f t="shared" si="23"/>
        <v>0</v>
      </c>
    </row>
    <row r="123" spans="1:17" s="413" customFormat="1" ht="13.5" thickBot="1">
      <c r="A123" s="1057"/>
      <c r="B123" s="548"/>
      <c r="C123" s="267" t="s">
        <v>4362</v>
      </c>
      <c r="D123" s="268" t="s">
        <v>4363</v>
      </c>
      <c r="E123" s="269">
        <v>12102.48</v>
      </c>
      <c r="F123" s="59">
        <f t="shared" si="12"/>
        <v>6656.3640000000005</v>
      </c>
      <c r="G123" s="62">
        <f t="shared" si="13"/>
        <v>0</v>
      </c>
      <c r="H123" s="60">
        <f t="shared" si="14"/>
        <v>208.81013868000002</v>
      </c>
      <c r="I123" s="61">
        <f t="shared" si="15"/>
        <v>0</v>
      </c>
      <c r="J123" s="60">
        <f t="shared" si="24"/>
        <v>182.38437360000003</v>
      </c>
      <c r="K123" s="61">
        <f t="shared" si="17"/>
        <v>0</v>
      </c>
      <c r="L123" s="60">
        <f t="shared" si="25"/>
        <v>151.76509920000001</v>
      </c>
      <c r="M123" s="60">
        <f t="shared" si="19"/>
        <v>0</v>
      </c>
      <c r="N123" s="60">
        <f t="shared" si="20"/>
        <v>135.78982560000003</v>
      </c>
      <c r="O123" s="60">
        <f t="shared" si="21"/>
        <v>0</v>
      </c>
      <c r="P123" s="60">
        <f t="shared" si="22"/>
        <v>123.142734</v>
      </c>
      <c r="Q123" s="60">
        <f t="shared" si="23"/>
        <v>0</v>
      </c>
    </row>
    <row r="124" spans="1:17" s="413" customFormat="1" ht="13.5" thickBot="1">
      <c r="A124" s="1057"/>
      <c r="B124" s="548"/>
      <c r="C124" s="267" t="s">
        <v>158</v>
      </c>
      <c r="D124" s="268" t="s">
        <v>3845</v>
      </c>
      <c r="E124" s="269">
        <v>1274</v>
      </c>
      <c r="F124" s="59">
        <f t="shared" si="12"/>
        <v>700.7</v>
      </c>
      <c r="G124" s="62">
        <f t="shared" si="13"/>
        <v>0</v>
      </c>
      <c r="H124" s="60">
        <f t="shared" si="14"/>
        <v>21.980959000000002</v>
      </c>
      <c r="I124" s="61">
        <f t="shared" si="15"/>
        <v>0</v>
      </c>
      <c r="J124" s="60">
        <f t="shared" si="24"/>
        <v>19.199180000000002</v>
      </c>
      <c r="K124" s="61">
        <f t="shared" si="17"/>
        <v>0</v>
      </c>
      <c r="L124" s="60">
        <f t="shared" si="25"/>
        <v>15.975960000000002</v>
      </c>
      <c r="M124" s="60">
        <f t="shared" si="19"/>
        <v>0</v>
      </c>
      <c r="N124" s="60">
        <f t="shared" si="20"/>
        <v>14.294280000000002</v>
      </c>
      <c r="O124" s="60">
        <f t="shared" si="21"/>
        <v>0</v>
      </c>
      <c r="P124" s="60">
        <f t="shared" si="22"/>
        <v>12.962950000000001</v>
      </c>
      <c r="Q124" s="60">
        <f t="shared" si="23"/>
        <v>0</v>
      </c>
    </row>
    <row r="125" spans="1:17" s="413" customFormat="1" ht="13.5" thickBot="1">
      <c r="A125" s="1057"/>
      <c r="B125" s="548"/>
      <c r="C125" s="267" t="s">
        <v>3740</v>
      </c>
      <c r="D125" s="268" t="s">
        <v>3851</v>
      </c>
      <c r="E125" s="269">
        <v>955.76</v>
      </c>
      <c r="F125" s="59">
        <f t="shared" si="12"/>
        <v>525.66800000000001</v>
      </c>
      <c r="G125" s="62">
        <f t="shared" si="13"/>
        <v>0</v>
      </c>
      <c r="H125" s="60">
        <f t="shared" si="14"/>
        <v>16.490205160000002</v>
      </c>
      <c r="I125" s="61">
        <f t="shared" si="15"/>
        <v>0</v>
      </c>
      <c r="J125" s="60">
        <f t="shared" si="24"/>
        <v>14.4033032</v>
      </c>
      <c r="K125" s="61">
        <f t="shared" si="17"/>
        <v>0</v>
      </c>
      <c r="L125" s="60">
        <f t="shared" si="25"/>
        <v>11.985230400000001</v>
      </c>
      <c r="M125" s="60">
        <f t="shared" si="19"/>
        <v>0</v>
      </c>
      <c r="N125" s="60">
        <f t="shared" si="20"/>
        <v>10.723627200000001</v>
      </c>
      <c r="O125" s="60">
        <f t="shared" si="21"/>
        <v>0</v>
      </c>
      <c r="P125" s="60">
        <f t="shared" si="22"/>
        <v>9.7248579999999993</v>
      </c>
      <c r="Q125" s="60">
        <f t="shared" si="23"/>
        <v>0</v>
      </c>
    </row>
    <row r="126" spans="1:17" s="413" customFormat="1" ht="13.5" thickBot="1">
      <c r="A126" s="1057"/>
      <c r="B126" s="548"/>
      <c r="C126" s="267" t="s">
        <v>4364</v>
      </c>
      <c r="D126" s="268" t="s">
        <v>4365</v>
      </c>
      <c r="E126" s="269">
        <v>1555.2</v>
      </c>
      <c r="F126" s="59">
        <f t="shared" si="12"/>
        <v>855.36000000000013</v>
      </c>
      <c r="G126" s="62">
        <f t="shared" si="13"/>
        <v>0</v>
      </c>
      <c r="H126" s="60">
        <f t="shared" si="14"/>
        <v>26.832643200000007</v>
      </c>
      <c r="I126" s="61">
        <f t="shared" si="15"/>
        <v>0</v>
      </c>
      <c r="J126" s="60">
        <f t="shared" si="24"/>
        <v>23.436864000000003</v>
      </c>
      <c r="K126" s="61">
        <f t="shared" si="17"/>
        <v>0</v>
      </c>
      <c r="L126" s="60">
        <f t="shared" si="25"/>
        <v>19.502208000000003</v>
      </c>
      <c r="M126" s="60">
        <f t="shared" si="19"/>
        <v>0</v>
      </c>
      <c r="N126" s="60">
        <f t="shared" si="20"/>
        <v>17.449344000000004</v>
      </c>
      <c r="O126" s="60">
        <f t="shared" si="21"/>
        <v>0</v>
      </c>
      <c r="P126" s="60">
        <f t="shared" si="22"/>
        <v>15.824160000000001</v>
      </c>
      <c r="Q126" s="60">
        <f t="shared" si="23"/>
        <v>0</v>
      </c>
    </row>
    <row r="127" spans="1:17" s="266" customFormat="1" ht="13.5" thickBot="1">
      <c r="A127" s="1057"/>
      <c r="B127" s="548"/>
      <c r="C127" s="267" t="s">
        <v>4366</v>
      </c>
      <c r="D127" s="268" t="s">
        <v>4367</v>
      </c>
      <c r="E127" s="269">
        <v>2430</v>
      </c>
      <c r="F127" s="59">
        <f t="shared" si="12"/>
        <v>1336.5</v>
      </c>
      <c r="G127" s="62">
        <f t="shared" si="13"/>
        <v>0</v>
      </c>
      <c r="H127" s="60">
        <f t="shared" si="14"/>
        <v>41.926005000000004</v>
      </c>
      <c r="I127" s="61">
        <f t="shared" si="15"/>
        <v>0</v>
      </c>
      <c r="J127" s="60">
        <f t="shared" si="24"/>
        <v>36.620100000000001</v>
      </c>
      <c r="K127" s="61">
        <f t="shared" si="17"/>
        <v>0</v>
      </c>
      <c r="L127" s="60">
        <f t="shared" si="25"/>
        <v>30.472200000000001</v>
      </c>
      <c r="M127" s="60">
        <f t="shared" si="19"/>
        <v>0</v>
      </c>
      <c r="N127" s="60">
        <f t="shared" si="20"/>
        <v>27.264600000000002</v>
      </c>
      <c r="O127" s="60">
        <f t="shared" si="21"/>
        <v>0</v>
      </c>
      <c r="P127" s="60">
        <f t="shared" si="22"/>
        <v>24.725249999999999</v>
      </c>
      <c r="Q127" s="60">
        <f t="shared" si="23"/>
        <v>0</v>
      </c>
    </row>
    <row r="128" spans="1:17" s="266" customFormat="1" ht="13.5" thickBot="1">
      <c r="A128" s="1057"/>
      <c r="B128" s="548"/>
      <c r="C128" s="267" t="s">
        <v>4368</v>
      </c>
      <c r="D128" s="268" t="s">
        <v>4369</v>
      </c>
      <c r="E128" s="269">
        <v>30094</v>
      </c>
      <c r="F128" s="59">
        <f t="shared" si="12"/>
        <v>16551.7</v>
      </c>
      <c r="G128" s="62">
        <f t="shared" si="13"/>
        <v>0</v>
      </c>
      <c r="H128" s="60">
        <f t="shared" si="14"/>
        <v>519.22682900000007</v>
      </c>
      <c r="I128" s="61">
        <f t="shared" si="15"/>
        <v>0</v>
      </c>
      <c r="J128" s="60">
        <f t="shared" si="24"/>
        <v>453.51658000000003</v>
      </c>
      <c r="K128" s="61">
        <f t="shared" si="17"/>
        <v>0</v>
      </c>
      <c r="L128" s="60">
        <f t="shared" si="25"/>
        <v>377.37876000000006</v>
      </c>
      <c r="M128" s="60">
        <f t="shared" si="19"/>
        <v>0</v>
      </c>
      <c r="N128" s="60">
        <f t="shared" si="20"/>
        <v>337.65468000000004</v>
      </c>
      <c r="O128" s="60">
        <f t="shared" si="21"/>
        <v>0</v>
      </c>
      <c r="P128" s="60">
        <f t="shared" si="22"/>
        <v>306.20645000000002</v>
      </c>
      <c r="Q128" s="60">
        <f t="shared" si="23"/>
        <v>0</v>
      </c>
    </row>
    <row r="129" spans="1:17" s="266" customFormat="1" ht="13.5" thickBot="1">
      <c r="A129" s="1057"/>
      <c r="B129" s="548"/>
      <c r="C129" s="267">
        <v>13200002</v>
      </c>
      <c r="D129" s="268" t="s">
        <v>4370</v>
      </c>
      <c r="E129" s="269">
        <v>642</v>
      </c>
      <c r="F129" s="59">
        <f t="shared" si="12"/>
        <v>353.1</v>
      </c>
      <c r="G129" s="62">
        <f t="shared" si="13"/>
        <v>0</v>
      </c>
      <c r="H129" s="60">
        <f t="shared" si="14"/>
        <v>11.076747000000001</v>
      </c>
      <c r="I129" s="61">
        <f t="shared" si="15"/>
        <v>0</v>
      </c>
      <c r="J129" s="60">
        <f t="shared" si="24"/>
        <v>9.6749400000000012</v>
      </c>
      <c r="K129" s="61">
        <f t="shared" si="17"/>
        <v>0</v>
      </c>
      <c r="L129" s="60">
        <f t="shared" si="25"/>
        <v>8.0506800000000016</v>
      </c>
      <c r="M129" s="60">
        <f t="shared" si="19"/>
        <v>0</v>
      </c>
      <c r="N129" s="60">
        <f t="shared" si="20"/>
        <v>7.203240000000001</v>
      </c>
      <c r="O129" s="60">
        <f t="shared" si="21"/>
        <v>0</v>
      </c>
      <c r="P129" s="60">
        <f t="shared" si="22"/>
        <v>6.5323500000000001</v>
      </c>
      <c r="Q129" s="60">
        <f t="shared" si="23"/>
        <v>0</v>
      </c>
    </row>
    <row r="130" spans="1:17" s="413" customFormat="1" ht="13.5" thickBot="1">
      <c r="A130" s="1057"/>
      <c r="B130" s="548"/>
      <c r="C130" s="267" t="s">
        <v>4371</v>
      </c>
      <c r="D130" s="268" t="s">
        <v>4372</v>
      </c>
      <c r="E130" s="269">
        <v>7294</v>
      </c>
      <c r="F130" s="59">
        <f t="shared" si="12"/>
        <v>4011.7000000000003</v>
      </c>
      <c r="G130" s="62">
        <f t="shared" si="13"/>
        <v>0</v>
      </c>
      <c r="H130" s="60">
        <f t="shared" si="14"/>
        <v>125.84702900000002</v>
      </c>
      <c r="I130" s="61">
        <f t="shared" si="15"/>
        <v>0</v>
      </c>
      <c r="J130" s="60">
        <f t="shared" si="24"/>
        <v>109.92058000000002</v>
      </c>
      <c r="K130" s="61">
        <f t="shared" si="17"/>
        <v>0</v>
      </c>
      <c r="L130" s="60">
        <f t="shared" si="25"/>
        <v>91.466760000000008</v>
      </c>
      <c r="M130" s="60">
        <f t="shared" si="19"/>
        <v>0</v>
      </c>
      <c r="N130" s="60">
        <f t="shared" si="20"/>
        <v>81.838680000000011</v>
      </c>
      <c r="O130" s="60">
        <f t="shared" si="21"/>
        <v>0</v>
      </c>
      <c r="P130" s="60">
        <f t="shared" si="22"/>
        <v>74.216449999999995</v>
      </c>
      <c r="Q130" s="60">
        <f t="shared" si="23"/>
        <v>0</v>
      </c>
    </row>
    <row r="131" spans="1:17" s="413" customFormat="1" ht="13.5" thickBot="1">
      <c r="A131" s="1057"/>
      <c r="B131" s="548"/>
      <c r="C131" s="267" t="s">
        <v>4373</v>
      </c>
      <c r="D131" s="268" t="s">
        <v>4374</v>
      </c>
      <c r="E131" s="269">
        <v>49417</v>
      </c>
      <c r="F131" s="59">
        <f t="shared" si="12"/>
        <v>27179.350000000002</v>
      </c>
      <c r="G131" s="62">
        <f t="shared" si="13"/>
        <v>0</v>
      </c>
      <c r="H131" s="60">
        <f t="shared" si="14"/>
        <v>852.61620950000008</v>
      </c>
      <c r="I131" s="61">
        <f t="shared" si="15"/>
        <v>0</v>
      </c>
      <c r="J131" s="60">
        <f t="shared" si="24"/>
        <v>744.71419000000003</v>
      </c>
      <c r="K131" s="61">
        <f t="shared" si="17"/>
        <v>0</v>
      </c>
      <c r="L131" s="60">
        <f t="shared" si="25"/>
        <v>619.68918000000008</v>
      </c>
      <c r="M131" s="60">
        <f t="shared" si="19"/>
        <v>0</v>
      </c>
      <c r="N131" s="60">
        <f t="shared" si="20"/>
        <v>554.45874000000003</v>
      </c>
      <c r="O131" s="60">
        <f t="shared" si="21"/>
        <v>0</v>
      </c>
      <c r="P131" s="60">
        <f t="shared" si="22"/>
        <v>502.81797499999999</v>
      </c>
      <c r="Q131" s="60">
        <f t="shared" si="23"/>
        <v>0</v>
      </c>
    </row>
    <row r="132" spans="1:17" s="413" customFormat="1" ht="13.5" thickBot="1">
      <c r="A132" s="1057"/>
      <c r="B132" s="548"/>
      <c r="C132" s="267">
        <v>13207010</v>
      </c>
      <c r="D132" s="268" t="s">
        <v>4375</v>
      </c>
      <c r="E132" s="269">
        <v>25233</v>
      </c>
      <c r="F132" s="59">
        <f t="shared" si="12"/>
        <v>13878.150000000001</v>
      </c>
      <c r="G132" s="62">
        <f t="shared" si="13"/>
        <v>0</v>
      </c>
      <c r="H132" s="60">
        <f t="shared" si="14"/>
        <v>435.35756550000008</v>
      </c>
      <c r="I132" s="61">
        <f t="shared" si="15"/>
        <v>0</v>
      </c>
      <c r="J132" s="60">
        <f t="shared" si="24"/>
        <v>380.26131000000004</v>
      </c>
      <c r="K132" s="61">
        <f t="shared" si="17"/>
        <v>0</v>
      </c>
      <c r="L132" s="60">
        <f t="shared" si="25"/>
        <v>316.42182000000003</v>
      </c>
      <c r="M132" s="60">
        <f t="shared" si="19"/>
        <v>0</v>
      </c>
      <c r="N132" s="60">
        <f t="shared" si="20"/>
        <v>283.11426000000006</v>
      </c>
      <c r="O132" s="60">
        <f t="shared" si="21"/>
        <v>0</v>
      </c>
      <c r="P132" s="60">
        <f t="shared" si="22"/>
        <v>256.74577500000004</v>
      </c>
      <c r="Q132" s="60">
        <f t="shared" si="23"/>
        <v>0</v>
      </c>
    </row>
    <row r="133" spans="1:17" s="413" customFormat="1" ht="13.5" thickBot="1">
      <c r="A133" s="1057"/>
      <c r="B133" s="548"/>
      <c r="C133" s="267">
        <v>13700022</v>
      </c>
      <c r="D133" s="268" t="s">
        <v>4376</v>
      </c>
      <c r="E133" s="269">
        <v>17994</v>
      </c>
      <c r="F133" s="59">
        <f t="shared" si="12"/>
        <v>9896.7000000000007</v>
      </c>
      <c r="G133" s="62">
        <f t="shared" si="13"/>
        <v>0</v>
      </c>
      <c r="H133" s="60">
        <f t="shared" si="14"/>
        <v>310.45947900000004</v>
      </c>
      <c r="I133" s="61">
        <f t="shared" si="15"/>
        <v>0</v>
      </c>
      <c r="J133" s="60">
        <f t="shared" si="24"/>
        <v>271.16958000000005</v>
      </c>
      <c r="K133" s="61">
        <f t="shared" si="17"/>
        <v>0</v>
      </c>
      <c r="L133" s="60">
        <f t="shared" si="25"/>
        <v>225.64476000000002</v>
      </c>
      <c r="M133" s="60">
        <f t="shared" si="19"/>
        <v>0</v>
      </c>
      <c r="N133" s="60">
        <f t="shared" si="20"/>
        <v>201.89268000000004</v>
      </c>
      <c r="O133" s="60">
        <f t="shared" si="21"/>
        <v>0</v>
      </c>
      <c r="P133" s="60">
        <f t="shared" si="22"/>
        <v>183.08895000000001</v>
      </c>
      <c r="Q133" s="60">
        <f t="shared" si="23"/>
        <v>0</v>
      </c>
    </row>
    <row r="134" spans="1:17" s="413" customFormat="1" ht="26.25" thickBot="1">
      <c r="A134" s="1057"/>
      <c r="B134" s="548"/>
      <c r="C134" s="270" t="s">
        <v>159</v>
      </c>
      <c r="D134" s="268" t="s">
        <v>572</v>
      </c>
      <c r="E134" s="269">
        <v>1528.8</v>
      </c>
      <c r="F134" s="59">
        <f t="shared" si="12"/>
        <v>840.84</v>
      </c>
      <c r="G134" s="62">
        <f t="shared" si="13"/>
        <v>0</v>
      </c>
      <c r="H134" s="60">
        <f t="shared" si="14"/>
        <v>26.377150800000003</v>
      </c>
      <c r="I134" s="61">
        <f t="shared" si="15"/>
        <v>0</v>
      </c>
      <c r="J134" s="60">
        <f t="shared" si="24"/>
        <v>23.039016</v>
      </c>
      <c r="K134" s="61">
        <f t="shared" si="17"/>
        <v>0</v>
      </c>
      <c r="L134" s="60">
        <f t="shared" si="25"/>
        <v>19.171152000000003</v>
      </c>
      <c r="M134" s="60">
        <f t="shared" si="19"/>
        <v>0</v>
      </c>
      <c r="N134" s="60">
        <f t="shared" si="20"/>
        <v>17.153136000000003</v>
      </c>
      <c r="O134" s="60">
        <f t="shared" si="21"/>
        <v>0</v>
      </c>
      <c r="P134" s="60">
        <f t="shared" si="22"/>
        <v>15.555540000000001</v>
      </c>
      <c r="Q134" s="60">
        <f t="shared" si="23"/>
        <v>0</v>
      </c>
    </row>
    <row r="135" spans="1:17" s="729" customFormat="1" ht="26.25" thickBot="1">
      <c r="A135" s="1057"/>
      <c r="B135" s="548"/>
      <c r="C135" s="267" t="s">
        <v>4377</v>
      </c>
      <c r="D135" s="268" t="s">
        <v>4378</v>
      </c>
      <c r="E135" s="269">
        <v>3990.48</v>
      </c>
      <c r="F135" s="59">
        <f t="shared" si="12"/>
        <v>2194.7640000000001</v>
      </c>
      <c r="G135" s="62">
        <f t="shared" si="13"/>
        <v>0</v>
      </c>
      <c r="H135" s="60">
        <f t="shared" si="14"/>
        <v>68.84974668000001</v>
      </c>
      <c r="I135" s="61">
        <f t="shared" si="15"/>
        <v>0</v>
      </c>
      <c r="J135" s="60">
        <f t="shared" si="24"/>
        <v>60.136533600000007</v>
      </c>
      <c r="K135" s="61">
        <f t="shared" si="17"/>
        <v>0</v>
      </c>
      <c r="L135" s="60">
        <f t="shared" si="25"/>
        <v>50.040619200000002</v>
      </c>
      <c r="M135" s="60">
        <f t="shared" si="19"/>
        <v>0</v>
      </c>
      <c r="N135" s="60">
        <f t="shared" si="20"/>
        <v>44.773185600000005</v>
      </c>
      <c r="O135" s="60">
        <f t="shared" si="21"/>
        <v>0</v>
      </c>
      <c r="P135" s="60">
        <f t="shared" si="22"/>
        <v>40.603133999999997</v>
      </c>
      <c r="Q135" s="60">
        <f t="shared" si="23"/>
        <v>0</v>
      </c>
    </row>
    <row r="136" spans="1:17" s="413" customFormat="1" ht="13.5" thickBot="1">
      <c r="A136" s="1057"/>
      <c r="B136" s="548"/>
      <c r="C136" s="267" t="s">
        <v>3731</v>
      </c>
      <c r="D136" s="268" t="s">
        <v>126</v>
      </c>
      <c r="E136" s="269">
        <v>4098</v>
      </c>
      <c r="F136" s="59">
        <f t="shared" si="12"/>
        <v>2253.9</v>
      </c>
      <c r="G136" s="62">
        <f t="shared" si="13"/>
        <v>0</v>
      </c>
      <c r="H136" s="60">
        <f t="shared" si="14"/>
        <v>70.704843000000011</v>
      </c>
      <c r="I136" s="61">
        <f t="shared" si="15"/>
        <v>0</v>
      </c>
      <c r="J136" s="60">
        <f>F136*0.02564</f>
        <v>57.789996000000002</v>
      </c>
      <c r="K136" s="61">
        <f t="shared" si="17"/>
        <v>0</v>
      </c>
      <c r="L136" s="60">
        <f t="shared" si="25"/>
        <v>51.388920000000006</v>
      </c>
      <c r="M136" s="60">
        <f t="shared" si="19"/>
        <v>0</v>
      </c>
      <c r="N136" s="60">
        <f t="shared" si="20"/>
        <v>45.979560000000006</v>
      </c>
      <c r="O136" s="60">
        <f t="shared" si="21"/>
        <v>0</v>
      </c>
      <c r="P136" s="60">
        <f t="shared" si="22"/>
        <v>41.697150000000001</v>
      </c>
      <c r="Q136" s="60">
        <f t="shared" si="23"/>
        <v>0</v>
      </c>
    </row>
    <row r="137" spans="1:17" s="413" customFormat="1" ht="13.5" thickBot="1">
      <c r="A137" s="1057"/>
      <c r="B137" s="548"/>
      <c r="C137" s="267" t="s">
        <v>3736</v>
      </c>
      <c r="D137" s="268" t="s">
        <v>3961</v>
      </c>
      <c r="E137" s="269">
        <v>10067.200000000001</v>
      </c>
      <c r="F137" s="59">
        <f t="shared" si="12"/>
        <v>5536.9600000000009</v>
      </c>
      <c r="G137" s="62">
        <f t="shared" si="13"/>
        <v>0</v>
      </c>
      <c r="H137" s="60">
        <f t="shared" si="14"/>
        <v>173.69443520000004</v>
      </c>
      <c r="I137" s="61">
        <f t="shared" si="15"/>
        <v>0</v>
      </c>
      <c r="J137" s="60">
        <f t="shared" ref="J137:J152" si="26">F137*0.0274</f>
        <v>151.71270400000003</v>
      </c>
      <c r="K137" s="61">
        <f t="shared" si="17"/>
        <v>0</v>
      </c>
      <c r="L137" s="60">
        <f t="shared" si="25"/>
        <v>126.24268800000003</v>
      </c>
      <c r="M137" s="60">
        <f t="shared" si="19"/>
        <v>0</v>
      </c>
      <c r="N137" s="60">
        <f t="shared" si="20"/>
        <v>112.95398400000003</v>
      </c>
      <c r="O137" s="60">
        <f t="shared" si="21"/>
        <v>0</v>
      </c>
      <c r="P137" s="60">
        <f t="shared" si="22"/>
        <v>102.43376000000001</v>
      </c>
      <c r="Q137" s="60">
        <f t="shared" si="23"/>
        <v>0</v>
      </c>
    </row>
    <row r="138" spans="1:17" s="413" customFormat="1" ht="13.5" thickBot="1">
      <c r="A138" s="1057"/>
      <c r="B138" s="548"/>
      <c r="C138" s="267" t="s">
        <v>803</v>
      </c>
      <c r="D138" s="268" t="s">
        <v>3673</v>
      </c>
      <c r="E138" s="269">
        <v>5772</v>
      </c>
      <c r="F138" s="59">
        <f t="shared" si="12"/>
        <v>3174.6000000000004</v>
      </c>
      <c r="G138" s="62">
        <f t="shared" si="13"/>
        <v>0</v>
      </c>
      <c r="H138" s="60">
        <f t="shared" si="14"/>
        <v>99.587202000000019</v>
      </c>
      <c r="I138" s="61">
        <f t="shared" si="15"/>
        <v>0</v>
      </c>
      <c r="J138" s="60">
        <f t="shared" si="26"/>
        <v>86.984040000000007</v>
      </c>
      <c r="K138" s="61">
        <f t="shared" si="17"/>
        <v>0</v>
      </c>
      <c r="L138" s="60">
        <f t="shared" si="25"/>
        <v>72.380880000000005</v>
      </c>
      <c r="M138" s="60">
        <f t="shared" si="19"/>
        <v>0</v>
      </c>
      <c r="N138" s="60">
        <f t="shared" si="20"/>
        <v>64.761840000000007</v>
      </c>
      <c r="O138" s="60">
        <f t="shared" si="21"/>
        <v>0</v>
      </c>
      <c r="P138" s="60">
        <f t="shared" si="22"/>
        <v>58.730100000000007</v>
      </c>
      <c r="Q138" s="60">
        <f t="shared" si="23"/>
        <v>0</v>
      </c>
    </row>
    <row r="139" spans="1:17" s="413" customFormat="1" ht="13.5" thickBot="1">
      <c r="A139" s="1057"/>
      <c r="B139" s="548"/>
      <c r="C139" s="267" t="s">
        <v>3729</v>
      </c>
      <c r="D139" s="268" t="s">
        <v>2</v>
      </c>
      <c r="E139" s="269">
        <v>31832.32</v>
      </c>
      <c r="F139" s="59">
        <f t="shared" si="12"/>
        <v>17507.776000000002</v>
      </c>
      <c r="G139" s="62">
        <f t="shared" si="13"/>
        <v>0</v>
      </c>
      <c r="H139" s="60">
        <f t="shared" si="14"/>
        <v>549.21893312000009</v>
      </c>
      <c r="I139" s="61">
        <f t="shared" si="15"/>
        <v>0</v>
      </c>
      <c r="J139" s="60">
        <f t="shared" si="26"/>
        <v>479.71306240000007</v>
      </c>
      <c r="K139" s="61">
        <f t="shared" si="17"/>
        <v>0</v>
      </c>
      <c r="L139" s="60">
        <f t="shared" si="25"/>
        <v>399.17729280000003</v>
      </c>
      <c r="M139" s="60">
        <f t="shared" si="19"/>
        <v>0</v>
      </c>
      <c r="N139" s="60">
        <f t="shared" si="20"/>
        <v>357.15863040000005</v>
      </c>
      <c r="O139" s="60">
        <f t="shared" si="21"/>
        <v>0</v>
      </c>
      <c r="P139" s="60">
        <f t="shared" si="22"/>
        <v>323.89385600000003</v>
      </c>
      <c r="Q139" s="60">
        <f t="shared" si="23"/>
        <v>0</v>
      </c>
    </row>
    <row r="140" spans="1:17" s="413" customFormat="1" ht="13.5" thickBot="1">
      <c r="A140" s="1057"/>
      <c r="B140" s="548"/>
      <c r="C140" s="267" t="s">
        <v>55</v>
      </c>
      <c r="D140" s="268" t="s">
        <v>3847</v>
      </c>
      <c r="E140" s="269">
        <v>2263.04</v>
      </c>
      <c r="F140" s="59">
        <f t="shared" si="12"/>
        <v>1244.672</v>
      </c>
      <c r="G140" s="62">
        <f t="shared" si="13"/>
        <v>0</v>
      </c>
      <c r="H140" s="60">
        <f t="shared" si="14"/>
        <v>39.045360640000006</v>
      </c>
      <c r="I140" s="61">
        <f t="shared" si="15"/>
        <v>0</v>
      </c>
      <c r="J140" s="60">
        <f t="shared" si="26"/>
        <v>34.1040128</v>
      </c>
      <c r="K140" s="61">
        <f t="shared" si="17"/>
        <v>0</v>
      </c>
      <c r="L140" s="60">
        <f t="shared" si="25"/>
        <v>28.378521600000003</v>
      </c>
      <c r="M140" s="60">
        <f t="shared" si="19"/>
        <v>0</v>
      </c>
      <c r="N140" s="60">
        <f t="shared" si="20"/>
        <v>25.391308800000001</v>
      </c>
      <c r="O140" s="60">
        <f t="shared" si="21"/>
        <v>0</v>
      </c>
      <c r="P140" s="60">
        <f t="shared" si="22"/>
        <v>23.026432</v>
      </c>
      <c r="Q140" s="60">
        <f t="shared" si="23"/>
        <v>0</v>
      </c>
    </row>
    <row r="141" spans="1:17" s="413" customFormat="1" ht="13.5" thickBot="1">
      <c r="A141" s="1057"/>
      <c r="B141" s="548"/>
      <c r="C141" s="267" t="s">
        <v>3733</v>
      </c>
      <c r="D141" s="268" t="s">
        <v>4166</v>
      </c>
      <c r="E141" s="269">
        <v>18550.48</v>
      </c>
      <c r="F141" s="59">
        <f t="shared" si="12"/>
        <v>10202.764000000001</v>
      </c>
      <c r="G141" s="62">
        <f t="shared" si="13"/>
        <v>0</v>
      </c>
      <c r="H141" s="60">
        <f t="shared" si="14"/>
        <v>320.06070668000007</v>
      </c>
      <c r="I141" s="61">
        <f t="shared" si="15"/>
        <v>0</v>
      </c>
      <c r="J141" s="60">
        <f t="shared" si="26"/>
        <v>279.55573360000005</v>
      </c>
      <c r="K141" s="61">
        <f t="shared" si="17"/>
        <v>0</v>
      </c>
      <c r="L141" s="60">
        <f t="shared" si="25"/>
        <v>232.62301920000004</v>
      </c>
      <c r="M141" s="60">
        <f t="shared" si="19"/>
        <v>0</v>
      </c>
      <c r="N141" s="60">
        <f t="shared" si="20"/>
        <v>208.13638560000004</v>
      </c>
      <c r="O141" s="60">
        <f t="shared" si="21"/>
        <v>0</v>
      </c>
      <c r="P141" s="60">
        <f t="shared" si="22"/>
        <v>188.75113400000001</v>
      </c>
      <c r="Q141" s="60">
        <f t="shared" si="23"/>
        <v>0</v>
      </c>
    </row>
    <row r="142" spans="1:17" s="413" customFormat="1" ht="13.5" thickBot="1">
      <c r="A142" s="1057"/>
      <c r="B142" s="548"/>
      <c r="C142" s="267" t="s">
        <v>555</v>
      </c>
      <c r="D142" s="268" t="s">
        <v>3959</v>
      </c>
      <c r="E142" s="269">
        <v>18524.48</v>
      </c>
      <c r="F142" s="59">
        <f t="shared" si="12"/>
        <v>10188.464</v>
      </c>
      <c r="G142" s="62">
        <f t="shared" si="13"/>
        <v>0</v>
      </c>
      <c r="H142" s="60">
        <f t="shared" si="14"/>
        <v>319.61211568000004</v>
      </c>
      <c r="I142" s="61">
        <f t="shared" si="15"/>
        <v>0</v>
      </c>
      <c r="J142" s="60">
        <f t="shared" si="26"/>
        <v>279.1639136</v>
      </c>
      <c r="K142" s="61">
        <f t="shared" si="17"/>
        <v>0</v>
      </c>
      <c r="L142" s="60">
        <f t="shared" si="25"/>
        <v>232.29697920000001</v>
      </c>
      <c r="M142" s="60">
        <f t="shared" si="19"/>
        <v>0</v>
      </c>
      <c r="N142" s="60">
        <f t="shared" si="20"/>
        <v>207.84466560000001</v>
      </c>
      <c r="O142" s="60">
        <f t="shared" si="21"/>
        <v>0</v>
      </c>
      <c r="P142" s="60">
        <f t="shared" si="22"/>
        <v>188.48658399999999</v>
      </c>
      <c r="Q142" s="60">
        <f t="shared" si="23"/>
        <v>0</v>
      </c>
    </row>
    <row r="143" spans="1:17" s="266" customFormat="1" ht="13.5" thickBot="1">
      <c r="A143" s="1057"/>
      <c r="B143" s="548"/>
      <c r="C143" s="267" t="s">
        <v>3744</v>
      </c>
      <c r="D143" s="560" t="s">
        <v>4379</v>
      </c>
      <c r="E143" s="269">
        <v>5657.6</v>
      </c>
      <c r="F143" s="59">
        <f t="shared" si="12"/>
        <v>3111.6800000000003</v>
      </c>
      <c r="G143" s="62">
        <f t="shared" si="13"/>
        <v>0</v>
      </c>
      <c r="H143" s="60">
        <f t="shared" si="14"/>
        <v>97.613401600000017</v>
      </c>
      <c r="I143" s="61">
        <f t="shared" si="15"/>
        <v>0</v>
      </c>
      <c r="J143" s="60">
        <f t="shared" si="26"/>
        <v>85.26003200000001</v>
      </c>
      <c r="K143" s="61">
        <f t="shared" si="17"/>
        <v>0</v>
      </c>
      <c r="L143" s="60">
        <f t="shared" si="25"/>
        <v>70.946304000000012</v>
      </c>
      <c r="M143" s="60">
        <f t="shared" si="19"/>
        <v>0</v>
      </c>
      <c r="N143" s="60">
        <f t="shared" si="20"/>
        <v>63.478272000000011</v>
      </c>
      <c r="O143" s="60">
        <f t="shared" si="21"/>
        <v>0</v>
      </c>
      <c r="P143" s="60">
        <f t="shared" si="22"/>
        <v>57.566079999999999</v>
      </c>
      <c r="Q143" s="60">
        <f t="shared" si="23"/>
        <v>0</v>
      </c>
    </row>
    <row r="144" spans="1:17" s="266" customFormat="1" ht="13.5" thickBot="1">
      <c r="A144" s="1057"/>
      <c r="B144" s="548"/>
      <c r="C144" s="267" t="s">
        <v>4380</v>
      </c>
      <c r="D144" s="268" t="s">
        <v>4381</v>
      </c>
      <c r="E144" s="269">
        <v>6382</v>
      </c>
      <c r="F144" s="59">
        <f t="shared" si="12"/>
        <v>3510.1000000000004</v>
      </c>
      <c r="G144" s="62">
        <f t="shared" si="13"/>
        <v>0</v>
      </c>
      <c r="H144" s="60">
        <f t="shared" si="14"/>
        <v>110.11183700000002</v>
      </c>
      <c r="I144" s="61">
        <f t="shared" si="15"/>
        <v>0</v>
      </c>
      <c r="J144" s="60">
        <f t="shared" si="26"/>
        <v>96.176740000000009</v>
      </c>
      <c r="K144" s="61">
        <f t="shared" si="17"/>
        <v>0</v>
      </c>
      <c r="L144" s="60">
        <f t="shared" si="25"/>
        <v>80.030280000000005</v>
      </c>
      <c r="M144" s="60">
        <f t="shared" si="19"/>
        <v>0</v>
      </c>
      <c r="N144" s="60">
        <f t="shared" si="20"/>
        <v>71.606040000000007</v>
      </c>
      <c r="O144" s="60">
        <f t="shared" si="21"/>
        <v>0</v>
      </c>
      <c r="P144" s="60">
        <f t="shared" si="22"/>
        <v>64.936850000000007</v>
      </c>
      <c r="Q144" s="60">
        <f t="shared" si="23"/>
        <v>0</v>
      </c>
    </row>
    <row r="145" spans="1:17" s="266" customFormat="1" ht="13.5" thickBot="1">
      <c r="A145" s="1057"/>
      <c r="B145" s="548"/>
      <c r="C145" s="270" t="s">
        <v>556</v>
      </c>
      <c r="D145" s="268" t="s">
        <v>3956</v>
      </c>
      <c r="E145" s="269">
        <v>18120.96</v>
      </c>
      <c r="F145" s="59">
        <f t="shared" si="12"/>
        <v>9966.5280000000002</v>
      </c>
      <c r="G145" s="62">
        <f t="shared" si="13"/>
        <v>0</v>
      </c>
      <c r="H145" s="60">
        <f t="shared" si="14"/>
        <v>312.64998336000002</v>
      </c>
      <c r="I145" s="61">
        <f t="shared" si="15"/>
        <v>0</v>
      </c>
      <c r="J145" s="60">
        <f t="shared" si="26"/>
        <v>273.08286720000001</v>
      </c>
      <c r="K145" s="61">
        <f t="shared" si="17"/>
        <v>0</v>
      </c>
      <c r="L145" s="60">
        <f t="shared" si="25"/>
        <v>227.23683840000001</v>
      </c>
      <c r="M145" s="60">
        <f t="shared" si="19"/>
        <v>0</v>
      </c>
      <c r="N145" s="60">
        <f t="shared" si="20"/>
        <v>203.31717120000002</v>
      </c>
      <c r="O145" s="60">
        <f t="shared" si="21"/>
        <v>0</v>
      </c>
      <c r="P145" s="60">
        <f t="shared" si="22"/>
        <v>184.38076799999999</v>
      </c>
      <c r="Q145" s="60">
        <f t="shared" si="23"/>
        <v>0</v>
      </c>
    </row>
    <row r="146" spans="1:17" s="413" customFormat="1" ht="13.5" thickBot="1">
      <c r="A146" s="1057"/>
      <c r="B146" s="548"/>
      <c r="C146" s="267" t="s">
        <v>4382</v>
      </c>
      <c r="D146" s="268" t="s">
        <v>3964</v>
      </c>
      <c r="E146" s="269">
        <v>32976.32</v>
      </c>
      <c r="F146" s="59">
        <f t="shared" si="12"/>
        <v>18136.976000000002</v>
      </c>
      <c r="G146" s="62">
        <f t="shared" si="13"/>
        <v>0</v>
      </c>
      <c r="H146" s="60">
        <f t="shared" si="14"/>
        <v>568.95693712000013</v>
      </c>
      <c r="I146" s="61">
        <f t="shared" si="15"/>
        <v>0</v>
      </c>
      <c r="J146" s="60">
        <f t="shared" si="26"/>
        <v>496.9531424000001</v>
      </c>
      <c r="K146" s="61">
        <f t="shared" si="17"/>
        <v>0</v>
      </c>
      <c r="L146" s="60">
        <f t="shared" si="25"/>
        <v>413.52305280000007</v>
      </c>
      <c r="M146" s="60">
        <f t="shared" si="19"/>
        <v>0</v>
      </c>
      <c r="N146" s="60">
        <f t="shared" si="20"/>
        <v>369.99431040000007</v>
      </c>
      <c r="O146" s="60">
        <f t="shared" si="21"/>
        <v>0</v>
      </c>
      <c r="P146" s="60">
        <f t="shared" si="22"/>
        <v>335.53405600000002</v>
      </c>
      <c r="Q146" s="60">
        <f t="shared" si="23"/>
        <v>0</v>
      </c>
    </row>
    <row r="147" spans="1:17" s="413" customFormat="1" ht="13.5" thickBot="1">
      <c r="A147" s="1057"/>
      <c r="B147" s="548"/>
      <c r="C147" s="267" t="s">
        <v>4383</v>
      </c>
      <c r="D147" s="268" t="s">
        <v>4384</v>
      </c>
      <c r="E147" s="269">
        <v>586.55999999999995</v>
      </c>
      <c r="F147" s="59">
        <f t="shared" si="12"/>
        <v>322.608</v>
      </c>
      <c r="G147" s="62">
        <f t="shared" si="13"/>
        <v>0</v>
      </c>
      <c r="H147" s="60">
        <f t="shared" si="14"/>
        <v>10.12021296</v>
      </c>
      <c r="I147" s="61">
        <f t="shared" si="15"/>
        <v>0</v>
      </c>
      <c r="J147" s="60">
        <f t="shared" si="26"/>
        <v>8.8394592000000003</v>
      </c>
      <c r="K147" s="61">
        <f t="shared" si="17"/>
        <v>0</v>
      </c>
      <c r="L147" s="60">
        <f t="shared" si="25"/>
        <v>7.3554624000000004</v>
      </c>
      <c r="M147" s="60">
        <f t="shared" si="19"/>
        <v>0</v>
      </c>
      <c r="N147" s="60">
        <f t="shared" si="20"/>
        <v>6.5812032000000009</v>
      </c>
      <c r="O147" s="60">
        <f t="shared" si="21"/>
        <v>0</v>
      </c>
      <c r="P147" s="60">
        <f t="shared" si="22"/>
        <v>5.968248</v>
      </c>
      <c r="Q147" s="60">
        <f t="shared" si="23"/>
        <v>0</v>
      </c>
    </row>
    <row r="148" spans="1:17" s="413" customFormat="1" ht="13.5" thickBot="1">
      <c r="A148" s="1057"/>
      <c r="B148" s="548"/>
      <c r="C148" s="267" t="s">
        <v>805</v>
      </c>
      <c r="D148" s="268" t="s">
        <v>4385</v>
      </c>
      <c r="E148" s="269">
        <v>9375.6</v>
      </c>
      <c r="F148" s="59">
        <f t="shared" si="12"/>
        <v>5156.5800000000008</v>
      </c>
      <c r="G148" s="62">
        <f t="shared" si="13"/>
        <v>0</v>
      </c>
      <c r="H148" s="60">
        <f t="shared" si="14"/>
        <v>161.76191460000004</v>
      </c>
      <c r="I148" s="61">
        <f t="shared" si="15"/>
        <v>0</v>
      </c>
      <c r="J148" s="60">
        <f t="shared" si="26"/>
        <v>141.29029200000002</v>
      </c>
      <c r="K148" s="61">
        <f t="shared" si="17"/>
        <v>0</v>
      </c>
      <c r="L148" s="60">
        <f t="shared" si="25"/>
        <v>117.57002400000002</v>
      </c>
      <c r="M148" s="60">
        <f t="shared" si="19"/>
        <v>0</v>
      </c>
      <c r="N148" s="60">
        <f t="shared" si="20"/>
        <v>105.19423200000003</v>
      </c>
      <c r="O148" s="60">
        <f t="shared" si="21"/>
        <v>0</v>
      </c>
      <c r="P148" s="60">
        <f t="shared" si="22"/>
        <v>95.396730000000005</v>
      </c>
      <c r="Q148" s="60">
        <f t="shared" si="23"/>
        <v>0</v>
      </c>
    </row>
    <row r="149" spans="1:17" s="413" customFormat="1" ht="15" thickBot="1">
      <c r="A149" s="1057"/>
      <c r="B149" s="548"/>
      <c r="C149" s="934" t="s">
        <v>3906</v>
      </c>
      <c r="D149" s="420" t="s">
        <v>3977</v>
      </c>
      <c r="E149" s="693">
        <v>4461.6000000000004</v>
      </c>
      <c r="F149" s="62">
        <f t="shared" si="12"/>
        <v>2453.8800000000006</v>
      </c>
      <c r="G149" s="62">
        <f t="shared" si="13"/>
        <v>0</v>
      </c>
      <c r="H149" s="60">
        <f t="shared" si="14"/>
        <v>76.978215600000027</v>
      </c>
      <c r="I149" s="61">
        <f t="shared" si="15"/>
        <v>0</v>
      </c>
      <c r="J149" s="60">
        <f t="shared" si="26"/>
        <v>67.236312000000012</v>
      </c>
      <c r="K149" s="61">
        <f t="shared" si="17"/>
        <v>0</v>
      </c>
      <c r="L149" s="60">
        <f t="shared" si="25"/>
        <v>55.948464000000016</v>
      </c>
      <c r="M149" s="60">
        <f t="shared" si="19"/>
        <v>0</v>
      </c>
      <c r="N149" s="60">
        <f t="shared" si="20"/>
        <v>50.059152000000012</v>
      </c>
      <c r="O149" s="60">
        <f t="shared" si="21"/>
        <v>0</v>
      </c>
      <c r="P149" s="60">
        <f t="shared" si="22"/>
        <v>45.396780000000007</v>
      </c>
      <c r="Q149" s="60">
        <f t="shared" si="23"/>
        <v>0</v>
      </c>
    </row>
    <row r="150" spans="1:17" s="413" customFormat="1" ht="13.5" thickBot="1">
      <c r="A150" s="1057"/>
      <c r="B150" s="548"/>
      <c r="C150" s="267" t="s">
        <v>3907</v>
      </c>
      <c r="D150" s="268" t="s">
        <v>3978</v>
      </c>
      <c r="E150" s="269">
        <v>20809.36</v>
      </c>
      <c r="F150" s="59">
        <f t="shared" si="12"/>
        <v>11445.148000000001</v>
      </c>
      <c r="G150" s="62">
        <f t="shared" si="13"/>
        <v>0</v>
      </c>
      <c r="H150" s="60">
        <f t="shared" si="14"/>
        <v>359.03429276000003</v>
      </c>
      <c r="I150" s="61">
        <f t="shared" si="15"/>
        <v>0</v>
      </c>
      <c r="J150" s="60">
        <f t="shared" si="26"/>
        <v>313.59705520000006</v>
      </c>
      <c r="K150" s="61">
        <f t="shared" si="17"/>
        <v>0</v>
      </c>
      <c r="L150" s="60">
        <f t="shared" si="25"/>
        <v>260.94937440000001</v>
      </c>
      <c r="M150" s="60">
        <f t="shared" si="19"/>
        <v>0</v>
      </c>
      <c r="N150" s="60">
        <f t="shared" si="20"/>
        <v>233.48101920000005</v>
      </c>
      <c r="O150" s="60">
        <f t="shared" si="21"/>
        <v>0</v>
      </c>
      <c r="P150" s="60">
        <f t="shared" si="22"/>
        <v>211.73523800000001</v>
      </c>
      <c r="Q150" s="60">
        <f t="shared" si="23"/>
        <v>0</v>
      </c>
    </row>
    <row r="151" spans="1:17" s="729" customFormat="1" ht="13.5" thickBot="1">
      <c r="A151" s="1057"/>
      <c r="B151" s="548"/>
      <c r="C151" s="267" t="s">
        <v>4386</v>
      </c>
      <c r="D151" s="268" t="s">
        <v>4387</v>
      </c>
      <c r="E151" s="269">
        <v>1372.8</v>
      </c>
      <c r="F151" s="59">
        <f t="shared" si="12"/>
        <v>755.04000000000008</v>
      </c>
      <c r="G151" s="62">
        <f t="shared" si="13"/>
        <v>0</v>
      </c>
      <c r="H151" s="60">
        <f t="shared" si="14"/>
        <v>23.685604800000004</v>
      </c>
      <c r="I151" s="61">
        <f t="shared" si="15"/>
        <v>0</v>
      </c>
      <c r="J151" s="60">
        <f t="shared" si="26"/>
        <v>20.688096000000002</v>
      </c>
      <c r="K151" s="61">
        <f t="shared" si="17"/>
        <v>0</v>
      </c>
      <c r="L151" s="60">
        <f t="shared" si="25"/>
        <v>17.214912000000002</v>
      </c>
      <c r="M151" s="60">
        <f t="shared" si="19"/>
        <v>0</v>
      </c>
      <c r="N151" s="60">
        <f t="shared" si="20"/>
        <v>15.402816000000003</v>
      </c>
      <c r="O151" s="60">
        <f t="shared" si="21"/>
        <v>0</v>
      </c>
      <c r="P151" s="60">
        <f t="shared" si="22"/>
        <v>13.968240000000002</v>
      </c>
      <c r="Q151" s="60">
        <f t="shared" si="23"/>
        <v>0</v>
      </c>
    </row>
    <row r="152" spans="1:17" s="413" customFormat="1" ht="13.5" thickBot="1">
      <c r="A152" s="1058"/>
      <c r="B152" s="935"/>
      <c r="C152" s="267" t="s">
        <v>4388</v>
      </c>
      <c r="D152" s="268" t="s">
        <v>4389</v>
      </c>
      <c r="E152" s="269">
        <v>1081.5999999999999</v>
      </c>
      <c r="F152" s="59">
        <f t="shared" si="12"/>
        <v>594.88</v>
      </c>
      <c r="G152" s="62">
        <f t="shared" si="13"/>
        <v>0</v>
      </c>
      <c r="H152" s="60">
        <f t="shared" si="14"/>
        <v>18.661385600000003</v>
      </c>
      <c r="I152" s="61">
        <f t="shared" si="15"/>
        <v>0</v>
      </c>
      <c r="J152" s="60">
        <f t="shared" si="26"/>
        <v>16.299712</v>
      </c>
      <c r="K152" s="61">
        <f t="shared" si="17"/>
        <v>0</v>
      </c>
      <c r="L152" s="60">
        <f t="shared" si="25"/>
        <v>13.563264</v>
      </c>
      <c r="M152" s="60">
        <f t="shared" si="19"/>
        <v>0</v>
      </c>
      <c r="N152" s="60">
        <f t="shared" si="20"/>
        <v>12.135552000000001</v>
      </c>
      <c r="O152" s="60">
        <f t="shared" si="21"/>
        <v>0</v>
      </c>
      <c r="P152" s="60">
        <f t="shared" si="22"/>
        <v>11.005279999999999</v>
      </c>
      <c r="Q152" s="60">
        <f t="shared" si="23"/>
        <v>0</v>
      </c>
    </row>
    <row r="153" spans="1:17" s="413" customFormat="1" ht="15">
      <c r="A153" s="729"/>
      <c r="B153" s="380"/>
      <c r="C153" s="380"/>
      <c r="D153" s="1200" t="s">
        <v>183</v>
      </c>
      <c r="E153" s="1060"/>
      <c r="F153" s="1060"/>
      <c r="G153" s="730">
        <f>SUM(G33:G152)+G30</f>
        <v>0</v>
      </c>
      <c r="H153" s="451" t="s">
        <v>185</v>
      </c>
      <c r="I153" s="730">
        <f>SUM(I33:I152)+I30</f>
        <v>0</v>
      </c>
      <c r="J153" s="451" t="s">
        <v>186</v>
      </c>
      <c r="K153" s="730">
        <f>SUM(K33:K152)+K30</f>
        <v>0</v>
      </c>
      <c r="L153" s="451" t="s">
        <v>187</v>
      </c>
      <c r="M153" s="730">
        <f>SUM(M33:M152)+M30</f>
        <v>0</v>
      </c>
      <c r="N153" s="451" t="s">
        <v>94</v>
      </c>
      <c r="O153" s="730">
        <f>SUM(O33:O152)+O30</f>
        <v>0</v>
      </c>
      <c r="P153" s="451" t="s">
        <v>826</v>
      </c>
      <c r="Q153" s="730">
        <f>SUM(Q33:Q152)+Q30</f>
        <v>0</v>
      </c>
    </row>
    <row r="154" spans="1:17" s="413" customFormat="1">
      <c r="A154" s="437"/>
      <c r="B154" s="378"/>
      <c r="C154" s="378"/>
      <c r="D154" s="437"/>
      <c r="E154" s="437"/>
      <c r="F154" s="626"/>
      <c r="G154" s="626"/>
      <c r="H154" s="437"/>
      <c r="I154" s="437"/>
      <c r="J154" s="437"/>
      <c r="K154" s="437"/>
      <c r="L154" s="437"/>
      <c r="M154" s="437"/>
      <c r="N154" s="437"/>
      <c r="O154" s="437"/>
      <c r="P154" s="437"/>
      <c r="Q154" s="437"/>
    </row>
    <row r="155" spans="1:17" s="413" customFormat="1" ht="15.75">
      <c r="A155" s="378"/>
      <c r="B155" s="731"/>
      <c r="C155" s="731"/>
      <c r="D155" s="732"/>
      <c r="E155" s="732"/>
      <c r="F155" s="733"/>
      <c r="G155" s="455"/>
      <c r="H155" s="378"/>
      <c r="I155" s="378"/>
      <c r="J155" s="378"/>
      <c r="K155" s="378"/>
      <c r="L155" s="378"/>
      <c r="M155" s="378"/>
      <c r="N155" s="378"/>
      <c r="O155" s="378"/>
      <c r="P155" s="378"/>
      <c r="Q155" s="378"/>
    </row>
    <row r="156" spans="1:17" s="729" customFormat="1">
      <c r="A156" s="378"/>
      <c r="B156" s="378"/>
      <c r="C156" s="378"/>
      <c r="D156" s="378"/>
      <c r="E156" s="378"/>
      <c r="F156" s="733"/>
      <c r="G156" s="455"/>
      <c r="H156" s="378"/>
      <c r="I156" s="378"/>
      <c r="J156" s="378"/>
      <c r="K156" s="378"/>
      <c r="L156" s="378"/>
      <c r="M156" s="378"/>
      <c r="N156" s="378"/>
      <c r="O156" s="378"/>
      <c r="P156" s="378"/>
      <c r="Q156" s="378"/>
    </row>
    <row r="157" spans="1:17" s="729" customFormat="1">
      <c r="A157" s="378"/>
      <c r="B157" s="378"/>
      <c r="C157" s="378"/>
      <c r="D157" s="378"/>
      <c r="E157" s="378"/>
      <c r="F157" s="455"/>
      <c r="G157" s="455"/>
      <c r="H157" s="378"/>
      <c r="I157" s="378"/>
      <c r="J157" s="378"/>
      <c r="K157" s="378"/>
      <c r="L157" s="378"/>
      <c r="M157" s="378"/>
      <c r="N157" s="378"/>
      <c r="O157" s="378"/>
      <c r="P157" s="378"/>
      <c r="Q157" s="378"/>
    </row>
    <row r="158" spans="1:17" s="734" customFormat="1" hidden="1">
      <c r="A158" s="378"/>
      <c r="B158" s="378"/>
      <c r="C158" s="378"/>
      <c r="D158" s="378"/>
      <c r="E158" s="378"/>
      <c r="F158" s="455"/>
      <c r="G158" s="455"/>
      <c r="H158" s="378"/>
      <c r="I158" s="378"/>
      <c r="J158" s="378"/>
      <c r="K158" s="378"/>
      <c r="L158" s="378"/>
      <c r="M158" s="378"/>
      <c r="N158" s="378"/>
      <c r="O158" s="378"/>
      <c r="P158" s="378"/>
      <c r="Q158" s="378"/>
    </row>
    <row r="159" spans="1:17" s="729" customFormat="1">
      <c r="A159" s="378"/>
      <c r="B159" s="378"/>
      <c r="C159" s="378"/>
      <c r="D159" s="378"/>
      <c r="E159" s="378"/>
      <c r="F159" s="455"/>
      <c r="G159" s="455"/>
      <c r="H159" s="378"/>
      <c r="I159" s="378"/>
      <c r="J159" s="378"/>
      <c r="K159" s="378"/>
      <c r="L159" s="378"/>
      <c r="M159" s="378"/>
      <c r="N159" s="378"/>
      <c r="O159" s="378"/>
      <c r="P159" s="378"/>
      <c r="Q159" s="378"/>
    </row>
    <row r="160" spans="1:17" s="437" customFormat="1">
      <c r="A160" s="378"/>
      <c r="B160" s="378"/>
      <c r="C160" s="378"/>
      <c r="D160" s="378"/>
      <c r="E160" s="378"/>
      <c r="F160" s="455"/>
      <c r="G160" s="455"/>
      <c r="H160" s="378"/>
      <c r="I160" s="378"/>
      <c r="J160" s="378"/>
      <c r="K160" s="378"/>
      <c r="L160" s="378"/>
      <c r="M160" s="378"/>
      <c r="N160" s="378"/>
      <c r="O160" s="378"/>
      <c r="P160" s="378"/>
      <c r="Q160" s="378"/>
    </row>
    <row r="173" spans="2:3">
      <c r="B173" s="380"/>
      <c r="C173" s="380"/>
    </row>
  </sheetData>
  <mergeCells count="19">
    <mergeCell ref="A32:Q32"/>
    <mergeCell ref="A86:A152"/>
    <mergeCell ref="D153:F153"/>
    <mergeCell ref="F28:G28"/>
    <mergeCell ref="H28:Q28"/>
    <mergeCell ref="A30:A31"/>
    <mergeCell ref="B30:B31"/>
    <mergeCell ref="G30:G31"/>
    <mergeCell ref="I30:I31"/>
    <mergeCell ref="K30:K31"/>
    <mergeCell ref="M30:M31"/>
    <mergeCell ref="O30:O31"/>
    <mergeCell ref="Q30:Q31"/>
    <mergeCell ref="A26:Q26"/>
    <mergeCell ref="A4:O4"/>
    <mergeCell ref="A5:O5"/>
    <mergeCell ref="H8:J8"/>
    <mergeCell ref="D20:D21"/>
    <mergeCell ref="A25:Q2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FAB96-EB93-468B-AB7B-15F88A8E6DCD}">
  <sheetPr>
    <tabColor indexed="62"/>
  </sheetPr>
  <dimension ref="A1:U173"/>
  <sheetViews>
    <sheetView topLeftCell="A18" zoomScale="86" zoomScaleNormal="86" workbookViewId="0">
      <selection activeCell="N22" sqref="N22"/>
    </sheetView>
  </sheetViews>
  <sheetFormatPr defaultColWidth="8.85546875" defaultRowHeight="12.75"/>
  <cols>
    <col min="1" max="1" width="15" style="378" customWidth="1"/>
    <col min="2" max="2" width="10" style="378" customWidth="1"/>
    <col min="3" max="3" width="14" style="378" customWidth="1"/>
    <col min="4" max="4" width="44.42578125" style="378" customWidth="1"/>
    <col min="5" max="5" width="17.42578125" style="378" customWidth="1"/>
    <col min="6" max="6" width="15.5703125" style="455" customWidth="1"/>
    <col min="7" max="7" width="23.42578125" style="455" customWidth="1"/>
    <col min="8" max="8" width="28.28515625" style="378" bestFit="1" customWidth="1"/>
    <col min="9" max="9" width="19" style="378" customWidth="1"/>
    <col min="10" max="10" width="25" style="378" bestFit="1" customWidth="1"/>
    <col min="11" max="11" width="19" style="378" customWidth="1"/>
    <col min="12" max="12" width="25" style="378" bestFit="1" customWidth="1"/>
    <col min="13" max="13" width="18.42578125" style="378" customWidth="1"/>
    <col min="14" max="14" width="25" style="378" bestFit="1" customWidth="1"/>
    <col min="15" max="15" width="19.28515625" style="378" customWidth="1"/>
    <col min="16" max="16" width="25" style="378" bestFit="1" customWidth="1"/>
    <col min="17" max="17" width="19.28515625" style="378" customWidth="1"/>
    <col min="18" max="16384" width="8.85546875" style="378"/>
  </cols>
  <sheetData>
    <row r="1" spans="1:18" ht="13.5" thickBot="1">
      <c r="B1" s="379"/>
      <c r="C1" s="379"/>
      <c r="D1" s="380"/>
      <c r="E1" s="380"/>
      <c r="F1" s="381"/>
      <c r="G1" s="381"/>
      <c r="H1" s="381"/>
      <c r="I1" s="381"/>
      <c r="J1" s="381"/>
      <c r="K1" s="380"/>
      <c r="L1" s="381"/>
    </row>
    <row r="2" spans="1:18" ht="9" customHeight="1">
      <c r="A2" s="382"/>
      <c r="B2" s="383"/>
      <c r="C2" s="383"/>
      <c r="D2" s="384"/>
      <c r="E2" s="384"/>
      <c r="F2" s="385"/>
      <c r="G2" s="385"/>
      <c r="H2" s="385"/>
      <c r="I2" s="386"/>
      <c r="J2" s="386"/>
      <c r="K2" s="386"/>
      <c r="L2" s="386"/>
      <c r="M2" s="382"/>
      <c r="N2" s="382"/>
      <c r="O2" s="382"/>
      <c r="P2" s="382"/>
      <c r="Q2" s="382"/>
    </row>
    <row r="3" spans="1:18" ht="10.5" customHeight="1">
      <c r="B3" s="379"/>
      <c r="C3" s="379"/>
      <c r="D3" s="380"/>
      <c r="E3" s="380"/>
      <c r="F3" s="381"/>
      <c r="G3" s="381"/>
      <c r="H3" s="381"/>
      <c r="I3" s="387"/>
      <c r="J3" s="387"/>
      <c r="K3" s="387"/>
      <c r="L3" s="387"/>
    </row>
    <row r="4" spans="1:18" ht="36" customHeight="1">
      <c r="A4" s="1141" t="s">
        <v>4390</v>
      </c>
      <c r="B4" s="1023"/>
      <c r="C4" s="1023"/>
      <c r="D4" s="1023"/>
      <c r="E4" s="1023"/>
      <c r="F4" s="1023"/>
      <c r="G4" s="1023"/>
      <c r="H4" s="1023"/>
      <c r="I4" s="1023"/>
      <c r="J4" s="1023"/>
      <c r="K4" s="1023"/>
      <c r="L4" s="1023"/>
      <c r="M4" s="1023"/>
      <c r="N4" s="1023"/>
      <c r="O4" s="1023"/>
    </row>
    <row r="5" spans="1:18" s="388" customFormat="1" ht="41.25" customHeight="1">
      <c r="A5" s="1196" t="s">
        <v>4391</v>
      </c>
      <c r="B5" s="1025"/>
      <c r="C5" s="1025"/>
      <c r="D5" s="1025"/>
      <c r="E5" s="1025"/>
      <c r="F5" s="1025"/>
      <c r="G5" s="1025"/>
      <c r="H5" s="1025"/>
      <c r="I5" s="1025"/>
      <c r="J5" s="1025"/>
      <c r="K5" s="1025"/>
      <c r="L5" s="1025"/>
      <c r="M5" s="1025"/>
      <c r="N5" s="1025"/>
      <c r="O5" s="1025"/>
    </row>
    <row r="6" spans="1:18" ht="9" customHeight="1" thickBot="1">
      <c r="A6" s="389"/>
      <c r="B6" s="389"/>
      <c r="C6" s="389"/>
      <c r="D6" s="389"/>
      <c r="E6" s="389"/>
      <c r="F6" s="389"/>
      <c r="G6" s="389"/>
      <c r="H6" s="389"/>
      <c r="I6" s="389"/>
      <c r="J6" s="389"/>
      <c r="K6" s="389"/>
      <c r="L6" s="716"/>
      <c r="M6" s="389"/>
      <c r="N6" s="389"/>
      <c r="O6" s="389"/>
      <c r="P6" s="389"/>
      <c r="Q6" s="389"/>
    </row>
    <row r="7" spans="1:18" s="387" customFormat="1" ht="14.25">
      <c r="B7" s="390"/>
      <c r="C7" s="390"/>
      <c r="D7" s="391"/>
      <c r="E7" s="391"/>
      <c r="F7" s="391"/>
      <c r="G7" s="391"/>
      <c r="H7" s="391"/>
      <c r="I7" s="391"/>
      <c r="J7" s="391"/>
      <c r="K7" s="391"/>
      <c r="L7" s="391"/>
      <c r="M7" s="391"/>
      <c r="N7" s="391"/>
      <c r="O7" s="391"/>
      <c r="P7" s="391"/>
      <c r="Q7" s="391"/>
      <c r="R7" s="391"/>
    </row>
    <row r="8" spans="1:18" s="387" customFormat="1" ht="14.25">
      <c r="F8" s="616"/>
      <c r="G8" s="616"/>
      <c r="H8" s="1188" t="s">
        <v>3</v>
      </c>
      <c r="I8" s="1188"/>
      <c r="J8" s="1188"/>
      <c r="K8" s="717"/>
    </row>
    <row r="9" spans="1:18" s="387" customFormat="1" ht="14.25">
      <c r="H9" s="200" t="s">
        <v>4</v>
      </c>
      <c r="I9" s="250" t="s">
        <v>127</v>
      </c>
      <c r="J9" s="250"/>
      <c r="L9" s="404"/>
    </row>
    <row r="10" spans="1:18" s="387" customFormat="1">
      <c r="F10" s="616"/>
      <c r="G10" s="616"/>
      <c r="H10" s="245" t="s">
        <v>9</v>
      </c>
      <c r="I10" s="250" t="s">
        <v>590</v>
      </c>
      <c r="J10" s="250"/>
      <c r="L10" s="404"/>
    </row>
    <row r="11" spans="1:18" s="387" customFormat="1">
      <c r="F11" s="616"/>
      <c r="G11" s="616"/>
      <c r="H11" s="245" t="s">
        <v>10</v>
      </c>
      <c r="I11" s="250" t="s">
        <v>128</v>
      </c>
      <c r="J11" s="250"/>
      <c r="L11" s="404"/>
    </row>
    <row r="12" spans="1:18" s="387" customFormat="1">
      <c r="B12" s="718"/>
      <c r="C12" s="718"/>
      <c r="F12" s="616"/>
      <c r="G12" s="616"/>
      <c r="H12" s="245" t="s">
        <v>11</v>
      </c>
      <c r="I12" s="250" t="s">
        <v>580</v>
      </c>
      <c r="J12" s="250"/>
      <c r="L12" s="404"/>
    </row>
    <row r="13" spans="1:18" s="387" customFormat="1">
      <c r="F13" s="424"/>
      <c r="G13" s="424"/>
      <c r="H13" s="245" t="s">
        <v>12</v>
      </c>
      <c r="I13" s="250" t="s">
        <v>591</v>
      </c>
      <c r="J13" s="250"/>
      <c r="L13" s="404"/>
    </row>
    <row r="14" spans="1:18" s="387" customFormat="1">
      <c r="F14" s="616"/>
      <c r="G14" s="616"/>
      <c r="H14" s="245" t="s">
        <v>13</v>
      </c>
      <c r="I14" s="250" t="s">
        <v>150</v>
      </c>
      <c r="J14" s="250"/>
      <c r="L14" s="404"/>
    </row>
    <row r="15" spans="1:18" s="387" customFormat="1">
      <c r="F15" s="616"/>
      <c r="G15" s="616"/>
      <c r="H15" s="196"/>
      <c r="I15" s="196" t="s">
        <v>130</v>
      </c>
      <c r="J15" s="196"/>
      <c r="L15" s="404"/>
    </row>
    <row r="16" spans="1:18" s="387" customFormat="1">
      <c r="H16" s="196"/>
      <c r="I16" s="196" t="s">
        <v>152</v>
      </c>
      <c r="J16" s="196"/>
    </row>
    <row r="17" spans="1:21" s="387" customFormat="1">
      <c r="H17" s="245" t="s">
        <v>15</v>
      </c>
      <c r="I17" s="196" t="s">
        <v>581</v>
      </c>
      <c r="J17" s="196"/>
    </row>
    <row r="18" spans="1:21" s="387" customFormat="1">
      <c r="H18" s="245" t="s">
        <v>16</v>
      </c>
      <c r="I18" s="196" t="s">
        <v>154</v>
      </c>
      <c r="J18" s="196"/>
    </row>
    <row r="19" spans="1:21" s="387" customFormat="1">
      <c r="H19" s="245" t="s">
        <v>18</v>
      </c>
      <c r="I19" s="196" t="s">
        <v>582</v>
      </c>
      <c r="J19" s="196"/>
    </row>
    <row r="20" spans="1:21" s="387" customFormat="1" ht="14.25">
      <c r="D20" s="1027"/>
      <c r="E20" s="399"/>
      <c r="H20" s="245" t="s">
        <v>19</v>
      </c>
      <c r="I20" s="196" t="s">
        <v>583</v>
      </c>
      <c r="J20" s="196"/>
    </row>
    <row r="21" spans="1:21" s="387" customFormat="1" ht="14.25">
      <c r="D21" s="1027"/>
      <c r="E21" s="399"/>
      <c r="H21" s="245" t="s">
        <v>20</v>
      </c>
      <c r="I21" s="196" t="s">
        <v>131</v>
      </c>
      <c r="J21" s="196"/>
    </row>
    <row r="22" spans="1:21" s="387" customFormat="1">
      <c r="F22" s="616"/>
      <c r="G22" s="616"/>
      <c r="H22" s="245" t="s">
        <v>21</v>
      </c>
      <c r="I22" s="250" t="s">
        <v>584</v>
      </c>
      <c r="J22" s="250"/>
    </row>
    <row r="23" spans="1:21" s="387" customFormat="1">
      <c r="F23" s="616"/>
      <c r="G23" s="616"/>
      <c r="H23" s="245" t="s">
        <v>22</v>
      </c>
      <c r="I23" s="250" t="s">
        <v>585</v>
      </c>
      <c r="J23" s="250"/>
      <c r="L23" s="404"/>
    </row>
    <row r="24" spans="1:21" s="387" customFormat="1" ht="12" customHeight="1">
      <c r="F24" s="616"/>
      <c r="G24" s="616"/>
      <c r="H24" s="392"/>
      <c r="I24" s="404"/>
      <c r="J24" s="404"/>
      <c r="L24" s="404"/>
    </row>
    <row r="25" spans="1:21" s="387" customFormat="1" ht="15" thickBot="1">
      <c r="A25" s="1328" t="s">
        <v>23</v>
      </c>
      <c r="B25" s="1328"/>
      <c r="C25" s="1328"/>
      <c r="D25" s="1328"/>
      <c r="E25" s="1328"/>
      <c r="F25" s="1328"/>
      <c r="G25" s="1328"/>
      <c r="H25" s="1328"/>
      <c r="I25" s="1328"/>
      <c r="J25" s="1328"/>
      <c r="K25" s="1328"/>
      <c r="L25" s="1328"/>
      <c r="M25" s="1328"/>
      <c r="N25" s="1328"/>
      <c r="O25" s="1328"/>
      <c r="P25" s="1328"/>
      <c r="Q25" s="1328"/>
      <c r="R25" s="741"/>
      <c r="S25" s="741"/>
      <c r="T25" s="741"/>
      <c r="U25" s="741"/>
    </row>
    <row r="26" spans="1:21" s="387" customFormat="1" ht="26.25" thickBot="1">
      <c r="A26" s="1316" t="s">
        <v>887</v>
      </c>
      <c r="B26" s="1317"/>
      <c r="C26" s="1317"/>
      <c r="D26" s="1317"/>
      <c r="E26" s="1317"/>
      <c r="F26" s="1317"/>
      <c r="G26" s="1317"/>
      <c r="H26" s="1317"/>
      <c r="I26" s="1317"/>
      <c r="J26" s="1317"/>
      <c r="K26" s="1317"/>
      <c r="L26" s="1317"/>
      <c r="M26" s="1317"/>
      <c r="N26" s="1317"/>
      <c r="O26" s="1317"/>
      <c r="P26" s="1317"/>
      <c r="Q26" s="1317"/>
      <c r="R26" s="742"/>
      <c r="S26" s="742"/>
      <c r="T26" s="742"/>
      <c r="U26" s="742"/>
    </row>
    <row r="27" spans="1:21" s="387" customFormat="1" ht="15" thickBot="1">
      <c r="D27" s="399"/>
      <c r="E27" s="399"/>
      <c r="F27" s="405"/>
      <c r="G27" s="405"/>
      <c r="I27" s="410"/>
      <c r="J27" s="410"/>
      <c r="K27" s="410"/>
      <c r="L27" s="410"/>
    </row>
    <row r="28" spans="1:21" s="387" customFormat="1" ht="13.5" thickBot="1">
      <c r="F28" s="1040" t="s">
        <v>167</v>
      </c>
      <c r="G28" s="1041"/>
      <c r="H28" s="1042" t="s">
        <v>168</v>
      </c>
      <c r="I28" s="1043"/>
      <c r="J28" s="1043"/>
      <c r="K28" s="1043"/>
      <c r="L28" s="1043"/>
      <c r="M28" s="1043"/>
      <c r="N28" s="1043"/>
      <c r="O28" s="1043"/>
      <c r="P28" s="1043"/>
      <c r="Q28" s="1206"/>
    </row>
    <row r="29" spans="1:21" s="387" customFormat="1" ht="57.75" customHeight="1" thickBot="1">
      <c r="A29" s="254" t="s">
        <v>122</v>
      </c>
      <c r="B29" s="254" t="s">
        <v>169</v>
      </c>
      <c r="C29" s="255" t="s">
        <v>170</v>
      </c>
      <c r="D29" s="255" t="s">
        <v>171</v>
      </c>
      <c r="E29" s="255" t="s">
        <v>172</v>
      </c>
      <c r="F29" s="255" t="s">
        <v>173</v>
      </c>
      <c r="G29" s="254" t="s">
        <v>174</v>
      </c>
      <c r="H29" s="255" t="s">
        <v>176</v>
      </c>
      <c r="I29" s="254" t="s">
        <v>174</v>
      </c>
      <c r="J29" s="255" t="s">
        <v>177</v>
      </c>
      <c r="K29" s="254" t="s">
        <v>174</v>
      </c>
      <c r="L29" s="255" t="s">
        <v>178</v>
      </c>
      <c r="M29" s="254" t="s">
        <v>174</v>
      </c>
      <c r="N29" s="255" t="s">
        <v>157</v>
      </c>
      <c r="O29" s="254" t="s">
        <v>174</v>
      </c>
      <c r="P29" s="255" t="s">
        <v>824</v>
      </c>
      <c r="Q29" s="254" t="s">
        <v>174</v>
      </c>
    </row>
    <row r="30" spans="1:21" s="387" customFormat="1" ht="38.25" customHeight="1" thickBot="1">
      <c r="A30" s="1287" t="s">
        <v>997</v>
      </c>
      <c r="B30" s="1288"/>
      <c r="C30" s="258" t="s">
        <v>4392</v>
      </c>
      <c r="D30" s="259" t="s">
        <v>4393</v>
      </c>
      <c r="E30" s="260">
        <v>97020</v>
      </c>
      <c r="F30" s="720">
        <f>SUM(E30:E31)*(1-65%)</f>
        <v>34047.65</v>
      </c>
      <c r="G30" s="1131">
        <f>F30*B30</f>
        <v>0</v>
      </c>
      <c r="H30" s="720">
        <f>F30*0.03137</f>
        <v>1068.0747805000001</v>
      </c>
      <c r="I30" s="1131">
        <f>H30*B30</f>
        <v>0</v>
      </c>
      <c r="J30" s="720">
        <f>F30*0.0274</f>
        <v>932.90561000000002</v>
      </c>
      <c r="K30" s="1131">
        <f>J30*B30</f>
        <v>0</v>
      </c>
      <c r="L30" s="51">
        <f>F30*0.0228</f>
        <v>776.28642000000002</v>
      </c>
      <c r="M30" s="1131">
        <f>L30*B30</f>
        <v>0</v>
      </c>
      <c r="N30" s="51">
        <f>F30*0.0204</f>
        <v>694.57206000000008</v>
      </c>
      <c r="O30" s="1131">
        <f>N30*B30</f>
        <v>0</v>
      </c>
      <c r="P30" s="51">
        <f>F30*0.0185</f>
        <v>629.88152500000001</v>
      </c>
      <c r="Q30" s="1131">
        <f>P30*B30</f>
        <v>0</v>
      </c>
    </row>
    <row r="31" spans="1:21" s="387" customFormat="1" ht="12.75" customHeight="1" thickBot="1">
      <c r="A31" s="1319"/>
      <c r="B31" s="1320"/>
      <c r="C31" s="930" t="s">
        <v>104</v>
      </c>
      <c r="D31" s="267" t="s">
        <v>180</v>
      </c>
      <c r="E31" s="722">
        <v>259</v>
      </c>
      <c r="F31" s="931" t="s">
        <v>162</v>
      </c>
      <c r="G31" s="1325"/>
      <c r="H31" s="723" t="s">
        <v>162</v>
      </c>
      <c r="I31" s="1325"/>
      <c r="J31" s="723" t="s">
        <v>162</v>
      </c>
      <c r="K31" s="1325"/>
      <c r="L31" s="723" t="s">
        <v>162</v>
      </c>
      <c r="M31" s="1325"/>
      <c r="N31" s="723" t="s">
        <v>162</v>
      </c>
      <c r="O31" s="1325"/>
      <c r="P31" s="723" t="s">
        <v>162</v>
      </c>
      <c r="Q31" s="1325"/>
    </row>
    <row r="32" spans="1:21" s="266" customFormat="1" ht="15.75" customHeight="1" thickBot="1">
      <c r="A32" s="1054" t="s">
        <v>182</v>
      </c>
      <c r="B32" s="1323"/>
      <c r="C32" s="1323"/>
      <c r="D32" s="1323"/>
      <c r="E32" s="1323"/>
      <c r="F32" s="1323"/>
      <c r="G32" s="1323"/>
      <c r="H32" s="1323"/>
      <c r="I32" s="1323"/>
      <c r="J32" s="1323"/>
      <c r="K32" s="1323"/>
      <c r="L32" s="1323"/>
      <c r="M32" s="1323"/>
      <c r="N32" s="1323"/>
      <c r="O32" s="1323"/>
      <c r="P32" s="1323"/>
      <c r="Q32" s="1324"/>
    </row>
    <row r="33" spans="1:18" s="266" customFormat="1" ht="13.5" thickBot="1">
      <c r="A33" s="1057"/>
      <c r="B33" s="571"/>
      <c r="C33" s="650" t="s">
        <v>4394</v>
      </c>
      <c r="D33" s="651" t="s">
        <v>4395</v>
      </c>
      <c r="E33" s="936">
        <v>1500</v>
      </c>
      <c r="F33" s="924">
        <f t="shared" ref="F33:F96" si="0">E33*(1-45%)</f>
        <v>825.00000000000011</v>
      </c>
      <c r="G33" s="61">
        <f t="shared" ref="G33:G96" si="1">F33*B33</f>
        <v>0</v>
      </c>
      <c r="H33" s="60">
        <f t="shared" ref="H33:H96" si="2">F33*0.03137</f>
        <v>25.880250000000004</v>
      </c>
      <c r="I33" s="61">
        <f t="shared" ref="I33:I96" si="3">H33*B33</f>
        <v>0</v>
      </c>
      <c r="J33" s="60">
        <f t="shared" ref="J33:J96" si="4">F33*0.0274</f>
        <v>22.605000000000004</v>
      </c>
      <c r="K33" s="61">
        <f t="shared" ref="K33:K96" si="5">J33*B33</f>
        <v>0</v>
      </c>
      <c r="L33" s="60">
        <f t="shared" ref="L33:L96" si="6">F33*0.0228</f>
        <v>18.810000000000002</v>
      </c>
      <c r="M33" s="60">
        <f t="shared" ref="M33:M96" si="7">L33*B33</f>
        <v>0</v>
      </c>
      <c r="N33" s="60">
        <f t="shared" ref="N33:N96" si="8">F33*0.0204</f>
        <v>16.830000000000002</v>
      </c>
      <c r="O33" s="60">
        <f t="shared" ref="O33:O96" si="9">N33*B33</f>
        <v>0</v>
      </c>
      <c r="P33" s="937">
        <f t="shared" ref="P33:P96" si="10">F33*0.0185</f>
        <v>15.262500000000001</v>
      </c>
      <c r="Q33" s="60">
        <f t="shared" ref="Q33:Q96" si="11">P33*B33</f>
        <v>0</v>
      </c>
      <c r="R33" s="740"/>
    </row>
    <row r="34" spans="1:18" s="266" customFormat="1" ht="13.5" thickBot="1">
      <c r="A34" s="1057"/>
      <c r="B34" s="548"/>
      <c r="C34" s="267" t="s">
        <v>541</v>
      </c>
      <c r="D34" s="268" t="s">
        <v>3957</v>
      </c>
      <c r="E34" s="936">
        <v>12080.64</v>
      </c>
      <c r="F34" s="59">
        <f t="shared" si="0"/>
        <v>6644.3519999999999</v>
      </c>
      <c r="G34" s="62">
        <f t="shared" si="1"/>
        <v>0</v>
      </c>
      <c r="H34" s="60">
        <f t="shared" si="2"/>
        <v>208.43332224</v>
      </c>
      <c r="I34" s="61">
        <f t="shared" si="3"/>
        <v>0</v>
      </c>
      <c r="J34" s="60">
        <f t="shared" si="4"/>
        <v>182.0552448</v>
      </c>
      <c r="K34" s="61">
        <f t="shared" si="5"/>
        <v>0</v>
      </c>
      <c r="L34" s="60">
        <f t="shared" si="6"/>
        <v>151.49122560000001</v>
      </c>
      <c r="M34" s="60">
        <f t="shared" si="7"/>
        <v>0</v>
      </c>
      <c r="N34" s="60">
        <f t="shared" si="8"/>
        <v>135.54478080000001</v>
      </c>
      <c r="O34" s="60">
        <f t="shared" si="9"/>
        <v>0</v>
      </c>
      <c r="P34" s="938">
        <f t="shared" si="10"/>
        <v>122.92051199999999</v>
      </c>
      <c r="Q34" s="60">
        <f t="shared" si="11"/>
        <v>0</v>
      </c>
      <c r="R34" s="740"/>
    </row>
    <row r="35" spans="1:18" s="266" customFormat="1" ht="13.5" thickBot="1">
      <c r="A35" s="1057"/>
      <c r="B35" s="548"/>
      <c r="C35" s="267" t="s">
        <v>3743</v>
      </c>
      <c r="D35" s="268" t="s">
        <v>4171</v>
      </c>
      <c r="E35" s="936">
        <v>3840.72</v>
      </c>
      <c r="F35" s="59">
        <f t="shared" si="0"/>
        <v>2112.3960000000002</v>
      </c>
      <c r="G35" s="62">
        <f t="shared" si="1"/>
        <v>0</v>
      </c>
      <c r="H35" s="60">
        <f t="shared" si="2"/>
        <v>66.265862520000013</v>
      </c>
      <c r="I35" s="61">
        <f t="shared" si="3"/>
        <v>0</v>
      </c>
      <c r="J35" s="60">
        <f t="shared" si="4"/>
        <v>57.87965040000001</v>
      </c>
      <c r="K35" s="61">
        <f t="shared" si="5"/>
        <v>0</v>
      </c>
      <c r="L35" s="60">
        <f t="shared" si="6"/>
        <v>48.162628800000007</v>
      </c>
      <c r="M35" s="60">
        <f t="shared" si="7"/>
        <v>0</v>
      </c>
      <c r="N35" s="60">
        <f t="shared" si="8"/>
        <v>43.092878400000004</v>
      </c>
      <c r="O35" s="60">
        <f t="shared" si="9"/>
        <v>0</v>
      </c>
      <c r="P35" s="938">
        <f t="shared" si="10"/>
        <v>39.079326000000002</v>
      </c>
      <c r="Q35" s="60">
        <f t="shared" si="11"/>
        <v>0</v>
      </c>
      <c r="R35" s="740"/>
    </row>
    <row r="36" spans="1:18" s="266" customFormat="1" ht="13.5" thickBot="1">
      <c r="A36" s="1057"/>
      <c r="B36" s="548"/>
      <c r="C36" s="267" t="s">
        <v>3902</v>
      </c>
      <c r="D36" s="268" t="s">
        <v>4172</v>
      </c>
      <c r="E36" s="936">
        <v>3203.2</v>
      </c>
      <c r="F36" s="59">
        <f t="shared" si="0"/>
        <v>1761.76</v>
      </c>
      <c r="G36" s="62">
        <f t="shared" si="1"/>
        <v>0</v>
      </c>
      <c r="H36" s="60">
        <f t="shared" si="2"/>
        <v>55.2664112</v>
      </c>
      <c r="I36" s="61">
        <f t="shared" si="3"/>
        <v>0</v>
      </c>
      <c r="J36" s="60">
        <f t="shared" si="4"/>
        <v>48.272224000000001</v>
      </c>
      <c r="K36" s="61">
        <f t="shared" si="5"/>
        <v>0</v>
      </c>
      <c r="L36" s="60">
        <f t="shared" si="6"/>
        <v>40.168128000000003</v>
      </c>
      <c r="M36" s="60">
        <f t="shared" si="7"/>
        <v>0</v>
      </c>
      <c r="N36" s="60">
        <f t="shared" si="8"/>
        <v>35.939904000000006</v>
      </c>
      <c r="O36" s="60">
        <f t="shared" si="9"/>
        <v>0</v>
      </c>
      <c r="P36" s="938">
        <f t="shared" si="10"/>
        <v>32.592559999999999</v>
      </c>
      <c r="Q36" s="60">
        <f t="shared" si="11"/>
        <v>0</v>
      </c>
      <c r="R36" s="740"/>
    </row>
    <row r="37" spans="1:18" s="266" customFormat="1" ht="13.5" thickBot="1">
      <c r="A37" s="1057"/>
      <c r="B37" s="548"/>
      <c r="C37" s="267" t="s">
        <v>614</v>
      </c>
      <c r="D37" s="268" t="s">
        <v>3929</v>
      </c>
      <c r="E37" s="936">
        <v>3501.91</v>
      </c>
      <c r="F37" s="59">
        <f t="shared" si="0"/>
        <v>1926.0505000000001</v>
      </c>
      <c r="G37" s="62">
        <f t="shared" si="1"/>
        <v>0</v>
      </c>
      <c r="H37" s="60">
        <f t="shared" si="2"/>
        <v>60.420204185000003</v>
      </c>
      <c r="I37" s="61">
        <f t="shared" si="3"/>
        <v>0</v>
      </c>
      <c r="J37" s="60">
        <f t="shared" si="4"/>
        <v>52.773783700000003</v>
      </c>
      <c r="K37" s="61">
        <f t="shared" si="5"/>
        <v>0</v>
      </c>
      <c r="L37" s="60">
        <f t="shared" si="6"/>
        <v>43.913951400000002</v>
      </c>
      <c r="M37" s="60">
        <f t="shared" si="7"/>
        <v>0</v>
      </c>
      <c r="N37" s="60">
        <f t="shared" si="8"/>
        <v>39.291430200000001</v>
      </c>
      <c r="O37" s="60">
        <f t="shared" si="9"/>
        <v>0</v>
      </c>
      <c r="P37" s="938">
        <f t="shared" si="10"/>
        <v>35.63193425</v>
      </c>
      <c r="Q37" s="60">
        <f t="shared" si="11"/>
        <v>0</v>
      </c>
      <c r="R37" s="740"/>
    </row>
    <row r="38" spans="1:18" s="266" customFormat="1" ht="13.5" thickBot="1">
      <c r="A38" s="1057"/>
      <c r="B38" s="548"/>
      <c r="C38" s="267" t="s">
        <v>604</v>
      </c>
      <c r="D38" s="268" t="s">
        <v>3919</v>
      </c>
      <c r="E38" s="936">
        <v>1580.85</v>
      </c>
      <c r="F38" s="59">
        <f t="shared" si="0"/>
        <v>869.46749999999997</v>
      </c>
      <c r="G38" s="62">
        <f t="shared" si="1"/>
        <v>0</v>
      </c>
      <c r="H38" s="60">
        <f t="shared" si="2"/>
        <v>27.275195475</v>
      </c>
      <c r="I38" s="61">
        <f t="shared" si="3"/>
        <v>0</v>
      </c>
      <c r="J38" s="60">
        <f t="shared" si="4"/>
        <v>23.8234095</v>
      </c>
      <c r="K38" s="61">
        <f t="shared" si="5"/>
        <v>0</v>
      </c>
      <c r="L38" s="60">
        <f t="shared" si="6"/>
        <v>19.823858999999999</v>
      </c>
      <c r="M38" s="60">
        <f t="shared" si="7"/>
        <v>0</v>
      </c>
      <c r="N38" s="60">
        <f t="shared" si="8"/>
        <v>17.737137000000001</v>
      </c>
      <c r="O38" s="60">
        <f t="shared" si="9"/>
        <v>0</v>
      </c>
      <c r="P38" s="938">
        <f t="shared" si="10"/>
        <v>16.085148749999998</v>
      </c>
      <c r="Q38" s="60">
        <f t="shared" si="11"/>
        <v>0</v>
      </c>
      <c r="R38" s="740"/>
    </row>
    <row r="39" spans="1:18" s="266" customFormat="1" ht="13.5" thickBot="1">
      <c r="A39" s="1057"/>
      <c r="B39" s="548"/>
      <c r="C39" s="267" t="s">
        <v>615</v>
      </c>
      <c r="D39" s="268" t="s">
        <v>3932</v>
      </c>
      <c r="E39" s="936">
        <v>4294.2299999999996</v>
      </c>
      <c r="F39" s="59">
        <f t="shared" si="0"/>
        <v>2361.8265000000001</v>
      </c>
      <c r="G39" s="62">
        <f t="shared" si="1"/>
        <v>0</v>
      </c>
      <c r="H39" s="60">
        <f t="shared" si="2"/>
        <v>74.090497305000014</v>
      </c>
      <c r="I39" s="61">
        <f t="shared" si="3"/>
        <v>0</v>
      </c>
      <c r="J39" s="60">
        <f t="shared" si="4"/>
        <v>64.714046100000004</v>
      </c>
      <c r="K39" s="61">
        <f t="shared" si="5"/>
        <v>0</v>
      </c>
      <c r="L39" s="60">
        <f t="shared" si="6"/>
        <v>53.849644200000007</v>
      </c>
      <c r="M39" s="60">
        <f t="shared" si="7"/>
        <v>0</v>
      </c>
      <c r="N39" s="60">
        <f t="shared" si="8"/>
        <v>48.181260600000009</v>
      </c>
      <c r="O39" s="60">
        <f t="shared" si="9"/>
        <v>0</v>
      </c>
      <c r="P39" s="938">
        <f t="shared" si="10"/>
        <v>43.693790249999999</v>
      </c>
      <c r="Q39" s="60">
        <f t="shared" si="11"/>
        <v>0</v>
      </c>
      <c r="R39" s="740"/>
    </row>
    <row r="40" spans="1:18" s="266" customFormat="1" ht="13.5" thickBot="1">
      <c r="A40" s="1057"/>
      <c r="B40" s="548"/>
      <c r="C40" s="267" t="s">
        <v>611</v>
      </c>
      <c r="D40" s="268" t="s">
        <v>3926</v>
      </c>
      <c r="E40" s="936">
        <v>1380.76</v>
      </c>
      <c r="F40" s="59">
        <f t="shared" si="0"/>
        <v>759.41800000000001</v>
      </c>
      <c r="G40" s="62">
        <f t="shared" si="1"/>
        <v>0</v>
      </c>
      <c r="H40" s="60">
        <f t="shared" si="2"/>
        <v>23.822942660000002</v>
      </c>
      <c r="I40" s="61">
        <f t="shared" si="3"/>
        <v>0</v>
      </c>
      <c r="J40" s="60">
        <f t="shared" si="4"/>
        <v>20.8080532</v>
      </c>
      <c r="K40" s="61">
        <f t="shared" si="5"/>
        <v>0</v>
      </c>
      <c r="L40" s="60">
        <f t="shared" si="6"/>
        <v>17.314730400000002</v>
      </c>
      <c r="M40" s="60">
        <f t="shared" si="7"/>
        <v>0</v>
      </c>
      <c r="N40" s="60">
        <f t="shared" si="8"/>
        <v>15.492127200000001</v>
      </c>
      <c r="O40" s="60">
        <f t="shared" si="9"/>
        <v>0</v>
      </c>
      <c r="P40" s="938">
        <f t="shared" si="10"/>
        <v>14.049232999999999</v>
      </c>
      <c r="Q40" s="60">
        <f t="shared" si="11"/>
        <v>0</v>
      </c>
      <c r="R40" s="740"/>
    </row>
    <row r="41" spans="1:18" s="266" customFormat="1" ht="13.5" thickBot="1">
      <c r="A41" s="1057"/>
      <c r="B41" s="548"/>
      <c r="C41" s="267" t="s">
        <v>605</v>
      </c>
      <c r="D41" s="268" t="s">
        <v>3920</v>
      </c>
      <c r="E41" s="936">
        <v>1580.85</v>
      </c>
      <c r="F41" s="59">
        <f t="shared" si="0"/>
        <v>869.46749999999997</v>
      </c>
      <c r="G41" s="62">
        <f t="shared" si="1"/>
        <v>0</v>
      </c>
      <c r="H41" s="60">
        <f t="shared" si="2"/>
        <v>27.275195475</v>
      </c>
      <c r="I41" s="61">
        <f t="shared" si="3"/>
        <v>0</v>
      </c>
      <c r="J41" s="60">
        <f t="shared" si="4"/>
        <v>23.8234095</v>
      </c>
      <c r="K41" s="61">
        <f t="shared" si="5"/>
        <v>0</v>
      </c>
      <c r="L41" s="60">
        <f t="shared" si="6"/>
        <v>19.823858999999999</v>
      </c>
      <c r="M41" s="60">
        <f t="shared" si="7"/>
        <v>0</v>
      </c>
      <c r="N41" s="60">
        <f t="shared" si="8"/>
        <v>17.737137000000001</v>
      </c>
      <c r="O41" s="60">
        <f t="shared" si="9"/>
        <v>0</v>
      </c>
      <c r="P41" s="938">
        <f t="shared" si="10"/>
        <v>16.085148749999998</v>
      </c>
      <c r="Q41" s="60">
        <f t="shared" si="11"/>
        <v>0</v>
      </c>
      <c r="R41" s="740"/>
    </row>
    <row r="42" spans="1:18" s="266" customFormat="1" ht="13.5" thickBot="1">
      <c r="A42" s="1057"/>
      <c r="B42" s="548"/>
      <c r="C42" s="267" t="s">
        <v>612</v>
      </c>
      <c r="D42" s="268" t="s">
        <v>3927</v>
      </c>
      <c r="E42" s="936">
        <v>1500.81</v>
      </c>
      <c r="F42" s="59">
        <f t="shared" si="0"/>
        <v>825.44550000000004</v>
      </c>
      <c r="G42" s="62">
        <f t="shared" si="1"/>
        <v>0</v>
      </c>
      <c r="H42" s="60">
        <f t="shared" si="2"/>
        <v>25.894225335000002</v>
      </c>
      <c r="I42" s="61">
        <f t="shared" si="3"/>
        <v>0</v>
      </c>
      <c r="J42" s="60">
        <f t="shared" si="4"/>
        <v>22.617206700000001</v>
      </c>
      <c r="K42" s="61">
        <f t="shared" si="5"/>
        <v>0</v>
      </c>
      <c r="L42" s="60">
        <f t="shared" si="6"/>
        <v>18.820157400000003</v>
      </c>
      <c r="M42" s="60">
        <f t="shared" si="7"/>
        <v>0</v>
      </c>
      <c r="N42" s="60">
        <f t="shared" si="8"/>
        <v>16.839088200000003</v>
      </c>
      <c r="O42" s="60">
        <f t="shared" si="9"/>
        <v>0</v>
      </c>
      <c r="P42" s="938">
        <f t="shared" si="10"/>
        <v>15.270741749999999</v>
      </c>
      <c r="Q42" s="60">
        <f t="shared" si="11"/>
        <v>0</v>
      </c>
      <c r="R42" s="740"/>
    </row>
    <row r="43" spans="1:18" s="266" customFormat="1" ht="13.5" thickBot="1">
      <c r="A43" s="1057"/>
      <c r="B43" s="548"/>
      <c r="C43" s="267" t="s">
        <v>606</v>
      </c>
      <c r="D43" s="268" t="s">
        <v>3921</v>
      </c>
      <c r="E43" s="936">
        <v>1580.85</v>
      </c>
      <c r="F43" s="59">
        <f t="shared" si="0"/>
        <v>869.46749999999997</v>
      </c>
      <c r="G43" s="62">
        <f t="shared" si="1"/>
        <v>0</v>
      </c>
      <c r="H43" s="60">
        <f t="shared" si="2"/>
        <v>27.275195475</v>
      </c>
      <c r="I43" s="61">
        <f t="shared" si="3"/>
        <v>0</v>
      </c>
      <c r="J43" s="60">
        <f t="shared" si="4"/>
        <v>23.8234095</v>
      </c>
      <c r="K43" s="61">
        <f t="shared" si="5"/>
        <v>0</v>
      </c>
      <c r="L43" s="60">
        <f t="shared" si="6"/>
        <v>19.823858999999999</v>
      </c>
      <c r="M43" s="60">
        <f t="shared" si="7"/>
        <v>0</v>
      </c>
      <c r="N43" s="60">
        <f t="shared" si="8"/>
        <v>17.737137000000001</v>
      </c>
      <c r="O43" s="60">
        <f t="shared" si="9"/>
        <v>0</v>
      </c>
      <c r="P43" s="938">
        <f t="shared" si="10"/>
        <v>16.085148749999998</v>
      </c>
      <c r="Q43" s="60">
        <f t="shared" si="11"/>
        <v>0</v>
      </c>
      <c r="R43" s="740"/>
    </row>
    <row r="44" spans="1:18" s="266" customFormat="1" ht="13.5" thickBot="1">
      <c r="A44" s="1057"/>
      <c r="B44" s="548"/>
      <c r="C44" s="267" t="s">
        <v>613</v>
      </c>
      <c r="D44" s="268" t="s">
        <v>3928</v>
      </c>
      <c r="E44" s="936">
        <v>1500.81</v>
      </c>
      <c r="F44" s="59">
        <f t="shared" si="0"/>
        <v>825.44550000000004</v>
      </c>
      <c r="G44" s="62">
        <f t="shared" si="1"/>
        <v>0</v>
      </c>
      <c r="H44" s="60">
        <f t="shared" si="2"/>
        <v>25.894225335000002</v>
      </c>
      <c r="I44" s="61">
        <f t="shared" si="3"/>
        <v>0</v>
      </c>
      <c r="J44" s="60">
        <f t="shared" si="4"/>
        <v>22.617206700000001</v>
      </c>
      <c r="K44" s="61">
        <f t="shared" si="5"/>
        <v>0</v>
      </c>
      <c r="L44" s="60">
        <f t="shared" si="6"/>
        <v>18.820157400000003</v>
      </c>
      <c r="M44" s="60">
        <f t="shared" si="7"/>
        <v>0</v>
      </c>
      <c r="N44" s="60">
        <f t="shared" si="8"/>
        <v>16.839088200000003</v>
      </c>
      <c r="O44" s="60">
        <f t="shared" si="9"/>
        <v>0</v>
      </c>
      <c r="P44" s="938">
        <f t="shared" si="10"/>
        <v>15.270741749999999</v>
      </c>
      <c r="Q44" s="60">
        <f t="shared" si="11"/>
        <v>0</v>
      </c>
      <c r="R44" s="740"/>
    </row>
    <row r="45" spans="1:18" s="266" customFormat="1" ht="13.5" thickBot="1">
      <c r="A45" s="1057"/>
      <c r="B45" s="548"/>
      <c r="C45" s="267" t="s">
        <v>609</v>
      </c>
      <c r="D45" s="268" t="s">
        <v>3924</v>
      </c>
      <c r="E45" s="936">
        <v>1500.81</v>
      </c>
      <c r="F45" s="59">
        <f t="shared" si="0"/>
        <v>825.44550000000004</v>
      </c>
      <c r="G45" s="62">
        <f t="shared" si="1"/>
        <v>0</v>
      </c>
      <c r="H45" s="60">
        <f t="shared" si="2"/>
        <v>25.894225335000002</v>
      </c>
      <c r="I45" s="61">
        <f t="shared" si="3"/>
        <v>0</v>
      </c>
      <c r="J45" s="60">
        <f t="shared" si="4"/>
        <v>22.617206700000001</v>
      </c>
      <c r="K45" s="61">
        <f t="shared" si="5"/>
        <v>0</v>
      </c>
      <c r="L45" s="60">
        <f t="shared" si="6"/>
        <v>18.820157400000003</v>
      </c>
      <c r="M45" s="60">
        <f t="shared" si="7"/>
        <v>0</v>
      </c>
      <c r="N45" s="60">
        <f t="shared" si="8"/>
        <v>16.839088200000003</v>
      </c>
      <c r="O45" s="60">
        <f t="shared" si="9"/>
        <v>0</v>
      </c>
      <c r="P45" s="938">
        <f t="shared" si="10"/>
        <v>15.270741749999999</v>
      </c>
      <c r="Q45" s="60">
        <f t="shared" si="11"/>
        <v>0</v>
      </c>
      <c r="R45" s="740"/>
    </row>
    <row r="46" spans="1:18" s="266" customFormat="1" ht="13.5" thickBot="1">
      <c r="A46" s="1057"/>
      <c r="B46" s="548"/>
      <c r="C46" s="267" t="s">
        <v>607</v>
      </c>
      <c r="D46" s="268" t="s">
        <v>3922</v>
      </c>
      <c r="E46" s="936">
        <v>1500.81</v>
      </c>
      <c r="F46" s="59">
        <f t="shared" si="0"/>
        <v>825.44550000000004</v>
      </c>
      <c r="G46" s="62">
        <f t="shared" si="1"/>
        <v>0</v>
      </c>
      <c r="H46" s="60">
        <f t="shared" si="2"/>
        <v>25.894225335000002</v>
      </c>
      <c r="I46" s="61">
        <f t="shared" si="3"/>
        <v>0</v>
      </c>
      <c r="J46" s="60">
        <f t="shared" si="4"/>
        <v>22.617206700000001</v>
      </c>
      <c r="K46" s="61">
        <f t="shared" si="5"/>
        <v>0</v>
      </c>
      <c r="L46" s="60">
        <f t="shared" si="6"/>
        <v>18.820157400000003</v>
      </c>
      <c r="M46" s="60">
        <f t="shared" si="7"/>
        <v>0</v>
      </c>
      <c r="N46" s="60">
        <f t="shared" si="8"/>
        <v>16.839088200000003</v>
      </c>
      <c r="O46" s="60">
        <f t="shared" si="9"/>
        <v>0</v>
      </c>
      <c r="P46" s="938">
        <f t="shared" si="10"/>
        <v>15.270741749999999</v>
      </c>
      <c r="Q46" s="60">
        <f t="shared" si="11"/>
        <v>0</v>
      </c>
      <c r="R46" s="740"/>
    </row>
    <row r="47" spans="1:18" s="266" customFormat="1" ht="13.5" thickBot="1">
      <c r="A47" s="1057"/>
      <c r="B47" s="548"/>
      <c r="C47" s="267" t="s">
        <v>616</v>
      </c>
      <c r="D47" s="268" t="s">
        <v>3933</v>
      </c>
      <c r="E47" s="936">
        <v>2601.41</v>
      </c>
      <c r="F47" s="59">
        <f t="shared" si="0"/>
        <v>1430.7755</v>
      </c>
      <c r="G47" s="62">
        <f t="shared" si="1"/>
        <v>0</v>
      </c>
      <c r="H47" s="60">
        <f t="shared" si="2"/>
        <v>44.883427435000002</v>
      </c>
      <c r="I47" s="61">
        <f t="shared" si="3"/>
        <v>0</v>
      </c>
      <c r="J47" s="60">
        <f t="shared" si="4"/>
        <v>39.203248700000003</v>
      </c>
      <c r="K47" s="61">
        <f t="shared" si="5"/>
        <v>0</v>
      </c>
      <c r="L47" s="60">
        <f t="shared" si="6"/>
        <v>32.6216814</v>
      </c>
      <c r="M47" s="60">
        <f t="shared" si="7"/>
        <v>0</v>
      </c>
      <c r="N47" s="60">
        <f t="shared" si="8"/>
        <v>29.187820200000001</v>
      </c>
      <c r="O47" s="60">
        <f t="shared" si="9"/>
        <v>0</v>
      </c>
      <c r="P47" s="938">
        <f t="shared" si="10"/>
        <v>26.46934675</v>
      </c>
      <c r="Q47" s="60">
        <f t="shared" si="11"/>
        <v>0</v>
      </c>
      <c r="R47" s="740"/>
    </row>
    <row r="48" spans="1:18" s="266" customFormat="1" ht="13.5" thickBot="1">
      <c r="A48" s="1057"/>
      <c r="B48" s="548"/>
      <c r="C48" s="267" t="s">
        <v>608</v>
      </c>
      <c r="D48" s="268" t="s">
        <v>3923</v>
      </c>
      <c r="E48" s="936">
        <v>1500.81</v>
      </c>
      <c r="F48" s="59">
        <f t="shared" si="0"/>
        <v>825.44550000000004</v>
      </c>
      <c r="G48" s="62">
        <f t="shared" si="1"/>
        <v>0</v>
      </c>
      <c r="H48" s="60">
        <f t="shared" si="2"/>
        <v>25.894225335000002</v>
      </c>
      <c r="I48" s="61">
        <f t="shared" si="3"/>
        <v>0</v>
      </c>
      <c r="J48" s="60">
        <f t="shared" si="4"/>
        <v>22.617206700000001</v>
      </c>
      <c r="K48" s="61">
        <f t="shared" si="5"/>
        <v>0</v>
      </c>
      <c r="L48" s="60">
        <f t="shared" si="6"/>
        <v>18.820157400000003</v>
      </c>
      <c r="M48" s="60">
        <f t="shared" si="7"/>
        <v>0</v>
      </c>
      <c r="N48" s="60">
        <f t="shared" si="8"/>
        <v>16.839088200000003</v>
      </c>
      <c r="O48" s="60">
        <f t="shared" si="9"/>
        <v>0</v>
      </c>
      <c r="P48" s="938">
        <f t="shared" si="10"/>
        <v>15.270741749999999</v>
      </c>
      <c r="Q48" s="60">
        <f t="shared" si="11"/>
        <v>0</v>
      </c>
      <c r="R48" s="740"/>
    </row>
    <row r="49" spans="1:18" s="266" customFormat="1" ht="13.5" thickBot="1">
      <c r="A49" s="1057"/>
      <c r="B49" s="548"/>
      <c r="C49" s="267" t="s">
        <v>617</v>
      </c>
      <c r="D49" s="268" t="s">
        <v>3934</v>
      </c>
      <c r="E49" s="936">
        <v>5002.74</v>
      </c>
      <c r="F49" s="59">
        <f t="shared" si="0"/>
        <v>2751.5070000000001</v>
      </c>
      <c r="G49" s="62">
        <f t="shared" si="1"/>
        <v>0</v>
      </c>
      <c r="H49" s="60">
        <f t="shared" si="2"/>
        <v>86.314774590000013</v>
      </c>
      <c r="I49" s="61">
        <f t="shared" si="3"/>
        <v>0</v>
      </c>
      <c r="J49" s="60">
        <f t="shared" si="4"/>
        <v>75.391291800000005</v>
      </c>
      <c r="K49" s="61">
        <f t="shared" si="5"/>
        <v>0</v>
      </c>
      <c r="L49" s="60">
        <f t="shared" si="6"/>
        <v>62.734359600000005</v>
      </c>
      <c r="M49" s="60">
        <f t="shared" si="7"/>
        <v>0</v>
      </c>
      <c r="N49" s="60">
        <f t="shared" si="8"/>
        <v>56.130742800000007</v>
      </c>
      <c r="O49" s="60">
        <f t="shared" si="9"/>
        <v>0</v>
      </c>
      <c r="P49" s="938">
        <f t="shared" si="10"/>
        <v>50.902879499999997</v>
      </c>
      <c r="Q49" s="60">
        <f t="shared" si="11"/>
        <v>0</v>
      </c>
      <c r="R49" s="740"/>
    </row>
    <row r="50" spans="1:18" s="266" customFormat="1" ht="13.5" thickBot="1">
      <c r="A50" s="1057"/>
      <c r="B50" s="548"/>
      <c r="C50" s="267" t="s">
        <v>797</v>
      </c>
      <c r="D50" s="268" t="s">
        <v>3930</v>
      </c>
      <c r="E50" s="936">
        <v>1600.87</v>
      </c>
      <c r="F50" s="59">
        <f t="shared" si="0"/>
        <v>880.47850000000005</v>
      </c>
      <c r="G50" s="62">
        <f t="shared" si="1"/>
        <v>0</v>
      </c>
      <c r="H50" s="60">
        <f t="shared" si="2"/>
        <v>27.620610545000005</v>
      </c>
      <c r="I50" s="61">
        <f t="shared" si="3"/>
        <v>0</v>
      </c>
      <c r="J50" s="60">
        <f t="shared" si="4"/>
        <v>24.125110900000003</v>
      </c>
      <c r="K50" s="61">
        <f t="shared" si="5"/>
        <v>0</v>
      </c>
      <c r="L50" s="60">
        <f t="shared" si="6"/>
        <v>20.0749098</v>
      </c>
      <c r="M50" s="60">
        <f t="shared" si="7"/>
        <v>0</v>
      </c>
      <c r="N50" s="60">
        <f t="shared" si="8"/>
        <v>17.961761400000004</v>
      </c>
      <c r="O50" s="60">
        <f t="shared" si="9"/>
        <v>0</v>
      </c>
      <c r="P50" s="938">
        <f t="shared" si="10"/>
        <v>16.288852250000001</v>
      </c>
      <c r="Q50" s="60">
        <f t="shared" si="11"/>
        <v>0</v>
      </c>
      <c r="R50" s="740"/>
    </row>
    <row r="51" spans="1:18" s="266" customFormat="1" ht="13.5" thickBot="1">
      <c r="A51" s="1057"/>
      <c r="B51" s="548"/>
      <c r="C51" s="267" t="s">
        <v>798</v>
      </c>
      <c r="D51" s="268" t="s">
        <v>3931</v>
      </c>
      <c r="E51" s="936">
        <v>1600.87</v>
      </c>
      <c r="F51" s="59">
        <f t="shared" si="0"/>
        <v>880.47850000000005</v>
      </c>
      <c r="G51" s="62">
        <f t="shared" si="1"/>
        <v>0</v>
      </c>
      <c r="H51" s="60">
        <f t="shared" si="2"/>
        <v>27.620610545000005</v>
      </c>
      <c r="I51" s="61">
        <f t="shared" si="3"/>
        <v>0</v>
      </c>
      <c r="J51" s="60">
        <f t="shared" si="4"/>
        <v>24.125110900000003</v>
      </c>
      <c r="K51" s="61">
        <f t="shared" si="5"/>
        <v>0</v>
      </c>
      <c r="L51" s="60">
        <f t="shared" si="6"/>
        <v>20.0749098</v>
      </c>
      <c r="M51" s="60">
        <f t="shared" si="7"/>
        <v>0</v>
      </c>
      <c r="N51" s="60">
        <f t="shared" si="8"/>
        <v>17.961761400000004</v>
      </c>
      <c r="O51" s="60">
        <f t="shared" si="9"/>
        <v>0</v>
      </c>
      <c r="P51" s="938">
        <f t="shared" si="10"/>
        <v>16.288852250000001</v>
      </c>
      <c r="Q51" s="60">
        <f t="shared" si="11"/>
        <v>0</v>
      </c>
      <c r="R51" s="740"/>
    </row>
    <row r="52" spans="1:18" s="266" customFormat="1" ht="13.5" thickBot="1">
      <c r="A52" s="1057"/>
      <c r="B52" s="548"/>
      <c r="C52" s="267" t="s">
        <v>4127</v>
      </c>
      <c r="D52" s="268" t="s">
        <v>4179</v>
      </c>
      <c r="E52" s="936">
        <v>4038.83</v>
      </c>
      <c r="F52" s="59">
        <f t="shared" si="0"/>
        <v>2221.3565000000003</v>
      </c>
      <c r="G52" s="62">
        <f t="shared" si="1"/>
        <v>0</v>
      </c>
      <c r="H52" s="60">
        <f t="shared" si="2"/>
        <v>69.683953405000011</v>
      </c>
      <c r="I52" s="61">
        <f t="shared" si="3"/>
        <v>0</v>
      </c>
      <c r="J52" s="60">
        <f t="shared" si="4"/>
        <v>60.865168100000012</v>
      </c>
      <c r="K52" s="61">
        <f t="shared" si="5"/>
        <v>0</v>
      </c>
      <c r="L52" s="60">
        <f t="shared" si="6"/>
        <v>50.646928200000012</v>
      </c>
      <c r="M52" s="60">
        <f t="shared" si="7"/>
        <v>0</v>
      </c>
      <c r="N52" s="60">
        <f t="shared" si="8"/>
        <v>45.315672600000013</v>
      </c>
      <c r="O52" s="60">
        <f t="shared" si="9"/>
        <v>0</v>
      </c>
      <c r="P52" s="938">
        <f t="shared" si="10"/>
        <v>41.095095250000007</v>
      </c>
      <c r="Q52" s="60">
        <f t="shared" si="11"/>
        <v>0</v>
      </c>
      <c r="R52" s="740"/>
    </row>
    <row r="53" spans="1:18" s="266" customFormat="1" ht="13.5" thickBot="1">
      <c r="A53" s="1057"/>
      <c r="B53" s="548"/>
      <c r="C53" s="267" t="s">
        <v>4129</v>
      </c>
      <c r="D53" s="268" t="s">
        <v>4181</v>
      </c>
      <c r="E53" s="936">
        <v>3583.13</v>
      </c>
      <c r="F53" s="59">
        <f t="shared" si="0"/>
        <v>1970.7215000000001</v>
      </c>
      <c r="G53" s="62">
        <f t="shared" si="1"/>
        <v>0</v>
      </c>
      <c r="H53" s="60">
        <f t="shared" si="2"/>
        <v>61.821533455000008</v>
      </c>
      <c r="I53" s="61">
        <f t="shared" si="3"/>
        <v>0</v>
      </c>
      <c r="J53" s="60">
        <f t="shared" si="4"/>
        <v>53.997769100000006</v>
      </c>
      <c r="K53" s="61">
        <f t="shared" si="5"/>
        <v>0</v>
      </c>
      <c r="L53" s="60">
        <f t="shared" si="6"/>
        <v>44.932450200000005</v>
      </c>
      <c r="M53" s="60">
        <f t="shared" si="7"/>
        <v>0</v>
      </c>
      <c r="N53" s="60">
        <f t="shared" si="8"/>
        <v>40.202718600000004</v>
      </c>
      <c r="O53" s="60">
        <f t="shared" si="9"/>
        <v>0</v>
      </c>
      <c r="P53" s="938">
        <f t="shared" si="10"/>
        <v>36.458347750000001</v>
      </c>
      <c r="Q53" s="60">
        <f t="shared" si="11"/>
        <v>0</v>
      </c>
      <c r="R53" s="740"/>
    </row>
    <row r="54" spans="1:18" s="266" customFormat="1" ht="13.5" thickBot="1">
      <c r="A54" s="1057"/>
      <c r="B54" s="548"/>
      <c r="C54" s="267" t="s">
        <v>4128</v>
      </c>
      <c r="D54" s="268" t="s">
        <v>4180</v>
      </c>
      <c r="E54" s="936">
        <v>3583.13</v>
      </c>
      <c r="F54" s="59">
        <f t="shared" si="0"/>
        <v>1970.7215000000001</v>
      </c>
      <c r="G54" s="62">
        <f t="shared" si="1"/>
        <v>0</v>
      </c>
      <c r="H54" s="60">
        <f t="shared" si="2"/>
        <v>61.821533455000008</v>
      </c>
      <c r="I54" s="61">
        <f t="shared" si="3"/>
        <v>0</v>
      </c>
      <c r="J54" s="60">
        <f t="shared" si="4"/>
        <v>53.997769100000006</v>
      </c>
      <c r="K54" s="61">
        <f t="shared" si="5"/>
        <v>0</v>
      </c>
      <c r="L54" s="60">
        <f t="shared" si="6"/>
        <v>44.932450200000005</v>
      </c>
      <c r="M54" s="60">
        <f t="shared" si="7"/>
        <v>0</v>
      </c>
      <c r="N54" s="60">
        <f t="shared" si="8"/>
        <v>40.202718600000004</v>
      </c>
      <c r="O54" s="60">
        <f t="shared" si="9"/>
        <v>0</v>
      </c>
      <c r="P54" s="938">
        <f t="shared" si="10"/>
        <v>36.458347750000001</v>
      </c>
      <c r="Q54" s="60">
        <f t="shared" si="11"/>
        <v>0</v>
      </c>
      <c r="R54" s="740"/>
    </row>
    <row r="55" spans="1:18" s="266" customFormat="1" ht="13.5" thickBot="1">
      <c r="A55" s="1057"/>
      <c r="B55" s="548"/>
      <c r="C55" s="267" t="s">
        <v>610</v>
      </c>
      <c r="D55" s="268" t="s">
        <v>3925</v>
      </c>
      <c r="E55" s="936">
        <v>1580.85</v>
      </c>
      <c r="F55" s="59">
        <f t="shared" si="0"/>
        <v>869.46749999999997</v>
      </c>
      <c r="G55" s="62">
        <f t="shared" si="1"/>
        <v>0</v>
      </c>
      <c r="H55" s="60">
        <f t="shared" si="2"/>
        <v>27.275195475</v>
      </c>
      <c r="I55" s="61">
        <f t="shared" si="3"/>
        <v>0</v>
      </c>
      <c r="J55" s="60">
        <f t="shared" si="4"/>
        <v>23.8234095</v>
      </c>
      <c r="K55" s="61">
        <f t="shared" si="5"/>
        <v>0</v>
      </c>
      <c r="L55" s="60">
        <f t="shared" si="6"/>
        <v>19.823858999999999</v>
      </c>
      <c r="M55" s="60">
        <f t="shared" si="7"/>
        <v>0</v>
      </c>
      <c r="N55" s="60">
        <f t="shared" si="8"/>
        <v>17.737137000000001</v>
      </c>
      <c r="O55" s="60">
        <f t="shared" si="9"/>
        <v>0</v>
      </c>
      <c r="P55" s="938">
        <f t="shared" si="10"/>
        <v>16.085148749999998</v>
      </c>
      <c r="Q55" s="60">
        <f t="shared" si="11"/>
        <v>0</v>
      </c>
      <c r="R55" s="740"/>
    </row>
    <row r="56" spans="1:18" s="266" customFormat="1" ht="13.5" thickBot="1">
      <c r="A56" s="1057"/>
      <c r="B56" s="548"/>
      <c r="C56" s="267" t="s">
        <v>4308</v>
      </c>
      <c r="D56" s="268" t="s">
        <v>4396</v>
      </c>
      <c r="E56" s="936">
        <v>3942.64</v>
      </c>
      <c r="F56" s="59">
        <f t="shared" si="0"/>
        <v>2168.4520000000002</v>
      </c>
      <c r="G56" s="62">
        <f t="shared" si="1"/>
        <v>0</v>
      </c>
      <c r="H56" s="60">
        <f t="shared" si="2"/>
        <v>68.024339240000018</v>
      </c>
      <c r="I56" s="61">
        <f t="shared" si="3"/>
        <v>0</v>
      </c>
      <c r="J56" s="60">
        <f t="shared" si="4"/>
        <v>59.415584800000005</v>
      </c>
      <c r="K56" s="61">
        <f t="shared" si="5"/>
        <v>0</v>
      </c>
      <c r="L56" s="60">
        <f t="shared" si="6"/>
        <v>49.440705600000008</v>
      </c>
      <c r="M56" s="60">
        <f t="shared" si="7"/>
        <v>0</v>
      </c>
      <c r="N56" s="60">
        <f t="shared" si="8"/>
        <v>44.236420800000005</v>
      </c>
      <c r="O56" s="60">
        <f t="shared" si="9"/>
        <v>0</v>
      </c>
      <c r="P56" s="938">
        <f t="shared" si="10"/>
        <v>40.116362000000002</v>
      </c>
      <c r="Q56" s="60">
        <f t="shared" si="11"/>
        <v>0</v>
      </c>
      <c r="R56" s="740"/>
    </row>
    <row r="57" spans="1:18" s="266" customFormat="1" ht="13.5" thickBot="1">
      <c r="A57" s="1057"/>
      <c r="B57" s="548"/>
      <c r="C57" s="267" t="s">
        <v>3723</v>
      </c>
      <c r="D57" s="268" t="s">
        <v>3945</v>
      </c>
      <c r="E57" s="936">
        <v>154.84</v>
      </c>
      <c r="F57" s="59">
        <f t="shared" si="0"/>
        <v>85.162000000000006</v>
      </c>
      <c r="G57" s="62">
        <f t="shared" si="1"/>
        <v>0</v>
      </c>
      <c r="H57" s="60">
        <f t="shared" si="2"/>
        <v>2.6715319400000004</v>
      </c>
      <c r="I57" s="61">
        <f t="shared" si="3"/>
        <v>0</v>
      </c>
      <c r="J57" s="60">
        <f t="shared" si="4"/>
        <v>2.3334388000000001</v>
      </c>
      <c r="K57" s="61">
        <f t="shared" si="5"/>
        <v>0</v>
      </c>
      <c r="L57" s="60">
        <f t="shared" si="6"/>
        <v>1.9416936000000002</v>
      </c>
      <c r="M57" s="60">
        <f t="shared" si="7"/>
        <v>0</v>
      </c>
      <c r="N57" s="60">
        <f t="shared" si="8"/>
        <v>1.7373048000000002</v>
      </c>
      <c r="O57" s="60">
        <f t="shared" si="9"/>
        <v>0</v>
      </c>
      <c r="P57" s="938">
        <f t="shared" si="10"/>
        <v>1.5754969999999999</v>
      </c>
      <c r="Q57" s="60">
        <f t="shared" si="11"/>
        <v>0</v>
      </c>
      <c r="R57" s="740"/>
    </row>
    <row r="58" spans="1:18" s="266" customFormat="1" ht="13.5" thickBot="1">
      <c r="A58" s="1057"/>
      <c r="B58" s="548"/>
      <c r="C58" s="267" t="s">
        <v>3718</v>
      </c>
      <c r="D58" s="268" t="s">
        <v>3940</v>
      </c>
      <c r="E58" s="936">
        <v>142.6</v>
      </c>
      <c r="F58" s="59">
        <f t="shared" si="0"/>
        <v>78.430000000000007</v>
      </c>
      <c r="G58" s="62">
        <f t="shared" si="1"/>
        <v>0</v>
      </c>
      <c r="H58" s="60">
        <f t="shared" si="2"/>
        <v>2.4603491000000002</v>
      </c>
      <c r="I58" s="61">
        <f t="shared" si="3"/>
        <v>0</v>
      </c>
      <c r="J58" s="60">
        <f t="shared" si="4"/>
        <v>2.1489820000000002</v>
      </c>
      <c r="K58" s="61">
        <f t="shared" si="5"/>
        <v>0</v>
      </c>
      <c r="L58" s="60">
        <f t="shared" si="6"/>
        <v>1.7882040000000001</v>
      </c>
      <c r="M58" s="60">
        <f t="shared" si="7"/>
        <v>0</v>
      </c>
      <c r="N58" s="60">
        <f t="shared" si="8"/>
        <v>1.5999720000000002</v>
      </c>
      <c r="O58" s="60">
        <f t="shared" si="9"/>
        <v>0</v>
      </c>
      <c r="P58" s="938">
        <f t="shared" si="10"/>
        <v>1.450955</v>
      </c>
      <c r="Q58" s="60">
        <f t="shared" si="11"/>
        <v>0</v>
      </c>
      <c r="R58" s="740"/>
    </row>
    <row r="59" spans="1:18" s="266" customFormat="1" ht="13.5" thickBot="1">
      <c r="A59" s="1057"/>
      <c r="B59" s="548"/>
      <c r="C59" s="267" t="s">
        <v>3713</v>
      </c>
      <c r="D59" s="268" t="s">
        <v>3935</v>
      </c>
      <c r="E59" s="936">
        <v>141.21</v>
      </c>
      <c r="F59" s="59">
        <f t="shared" si="0"/>
        <v>77.665500000000009</v>
      </c>
      <c r="G59" s="62">
        <f t="shared" si="1"/>
        <v>0</v>
      </c>
      <c r="H59" s="60">
        <f t="shared" si="2"/>
        <v>2.4363667350000004</v>
      </c>
      <c r="I59" s="61">
        <f t="shared" si="3"/>
        <v>0</v>
      </c>
      <c r="J59" s="60">
        <f t="shared" si="4"/>
        <v>2.1280347000000002</v>
      </c>
      <c r="K59" s="61">
        <f t="shared" si="5"/>
        <v>0</v>
      </c>
      <c r="L59" s="60">
        <f t="shared" si="6"/>
        <v>1.7707734000000002</v>
      </c>
      <c r="M59" s="60">
        <f t="shared" si="7"/>
        <v>0</v>
      </c>
      <c r="N59" s="60">
        <f t="shared" si="8"/>
        <v>1.5843762000000003</v>
      </c>
      <c r="O59" s="60">
        <f t="shared" si="9"/>
        <v>0</v>
      </c>
      <c r="P59" s="938">
        <f t="shared" si="10"/>
        <v>1.4368117500000002</v>
      </c>
      <c r="Q59" s="60">
        <f t="shared" si="11"/>
        <v>0</v>
      </c>
      <c r="R59" s="740"/>
    </row>
    <row r="60" spans="1:18" s="266" customFormat="1" ht="13.5" thickBot="1">
      <c r="A60" s="1057"/>
      <c r="B60" s="548"/>
      <c r="C60" s="267" t="s">
        <v>3714</v>
      </c>
      <c r="D60" s="268" t="s">
        <v>3936</v>
      </c>
      <c r="E60" s="936">
        <v>122.89</v>
      </c>
      <c r="F60" s="59">
        <f t="shared" si="0"/>
        <v>67.589500000000001</v>
      </c>
      <c r="G60" s="62">
        <f t="shared" si="1"/>
        <v>0</v>
      </c>
      <c r="H60" s="60">
        <f t="shared" si="2"/>
        <v>2.1202826150000003</v>
      </c>
      <c r="I60" s="61">
        <f t="shared" si="3"/>
        <v>0</v>
      </c>
      <c r="J60" s="60">
        <f t="shared" si="4"/>
        <v>1.8519523</v>
      </c>
      <c r="K60" s="61">
        <f t="shared" si="5"/>
        <v>0</v>
      </c>
      <c r="L60" s="60">
        <f t="shared" si="6"/>
        <v>1.5410406000000001</v>
      </c>
      <c r="M60" s="60">
        <f t="shared" si="7"/>
        <v>0</v>
      </c>
      <c r="N60" s="60">
        <f t="shared" si="8"/>
        <v>1.3788258000000002</v>
      </c>
      <c r="O60" s="60">
        <f t="shared" si="9"/>
        <v>0</v>
      </c>
      <c r="P60" s="938">
        <f t="shared" si="10"/>
        <v>1.2504057499999999</v>
      </c>
      <c r="Q60" s="60">
        <f t="shared" si="11"/>
        <v>0</v>
      </c>
      <c r="R60" s="740"/>
    </row>
    <row r="61" spans="1:18" s="266" customFormat="1" ht="13.5" thickBot="1">
      <c r="A61" s="1057"/>
      <c r="B61" s="548"/>
      <c r="C61" s="267" t="s">
        <v>3719</v>
      </c>
      <c r="D61" s="268" t="s">
        <v>3941</v>
      </c>
      <c r="E61" s="936">
        <v>124.08</v>
      </c>
      <c r="F61" s="59">
        <f t="shared" si="0"/>
        <v>68.244</v>
      </c>
      <c r="G61" s="62">
        <f t="shared" si="1"/>
        <v>0</v>
      </c>
      <c r="H61" s="60">
        <f t="shared" si="2"/>
        <v>2.1408142800000003</v>
      </c>
      <c r="I61" s="61">
        <f t="shared" si="3"/>
        <v>0</v>
      </c>
      <c r="J61" s="60">
        <f t="shared" si="4"/>
        <v>1.8698856000000001</v>
      </c>
      <c r="K61" s="61">
        <f t="shared" si="5"/>
        <v>0</v>
      </c>
      <c r="L61" s="60">
        <f t="shared" si="6"/>
        <v>1.5559632000000001</v>
      </c>
      <c r="M61" s="60">
        <f t="shared" si="7"/>
        <v>0</v>
      </c>
      <c r="N61" s="60">
        <f t="shared" si="8"/>
        <v>1.3921776000000001</v>
      </c>
      <c r="O61" s="60">
        <f t="shared" si="9"/>
        <v>0</v>
      </c>
      <c r="P61" s="938">
        <f t="shared" si="10"/>
        <v>1.2625139999999999</v>
      </c>
      <c r="Q61" s="60">
        <f t="shared" si="11"/>
        <v>0</v>
      </c>
      <c r="R61" s="740"/>
    </row>
    <row r="62" spans="1:18" s="266" customFormat="1" ht="13.5" thickBot="1">
      <c r="A62" s="1057"/>
      <c r="B62" s="548"/>
      <c r="C62" s="267" t="s">
        <v>3716</v>
      </c>
      <c r="D62" s="268" t="s">
        <v>4159</v>
      </c>
      <c r="E62" s="936">
        <v>111.45</v>
      </c>
      <c r="F62" s="59">
        <f t="shared" si="0"/>
        <v>61.297500000000007</v>
      </c>
      <c r="G62" s="62">
        <f t="shared" si="1"/>
        <v>0</v>
      </c>
      <c r="H62" s="60">
        <f t="shared" si="2"/>
        <v>1.9229025750000004</v>
      </c>
      <c r="I62" s="61">
        <f t="shared" si="3"/>
        <v>0</v>
      </c>
      <c r="J62" s="60">
        <f t="shared" si="4"/>
        <v>1.6795515000000003</v>
      </c>
      <c r="K62" s="61">
        <f t="shared" si="5"/>
        <v>0</v>
      </c>
      <c r="L62" s="60">
        <f t="shared" si="6"/>
        <v>1.3975830000000002</v>
      </c>
      <c r="M62" s="60">
        <f t="shared" si="7"/>
        <v>0</v>
      </c>
      <c r="N62" s="60">
        <f t="shared" si="8"/>
        <v>1.2504690000000003</v>
      </c>
      <c r="O62" s="60">
        <f t="shared" si="9"/>
        <v>0</v>
      </c>
      <c r="P62" s="938">
        <f t="shared" si="10"/>
        <v>1.13400375</v>
      </c>
      <c r="Q62" s="60">
        <f t="shared" si="11"/>
        <v>0</v>
      </c>
      <c r="R62" s="740"/>
    </row>
    <row r="63" spans="1:18" s="266" customFormat="1" ht="13.5" thickBot="1">
      <c r="A63" s="1057"/>
      <c r="B63" s="548"/>
      <c r="C63" s="267" t="s">
        <v>3724</v>
      </c>
      <c r="D63" s="268" t="s">
        <v>4160</v>
      </c>
      <c r="E63" s="936">
        <v>134.54</v>
      </c>
      <c r="F63" s="59">
        <f t="shared" si="0"/>
        <v>73.997</v>
      </c>
      <c r="G63" s="62">
        <f t="shared" si="1"/>
        <v>0</v>
      </c>
      <c r="H63" s="60">
        <f t="shared" si="2"/>
        <v>2.32128589</v>
      </c>
      <c r="I63" s="61">
        <f t="shared" si="3"/>
        <v>0</v>
      </c>
      <c r="J63" s="60">
        <f t="shared" si="4"/>
        <v>2.0275178</v>
      </c>
      <c r="K63" s="61">
        <f t="shared" si="5"/>
        <v>0</v>
      </c>
      <c r="L63" s="60">
        <f t="shared" si="6"/>
        <v>1.6871316000000001</v>
      </c>
      <c r="M63" s="60">
        <f t="shared" si="7"/>
        <v>0</v>
      </c>
      <c r="N63" s="60">
        <f t="shared" si="8"/>
        <v>1.5095388000000001</v>
      </c>
      <c r="O63" s="60">
        <f t="shared" si="9"/>
        <v>0</v>
      </c>
      <c r="P63" s="938">
        <f t="shared" si="10"/>
        <v>1.3689445</v>
      </c>
      <c r="Q63" s="60">
        <f t="shared" si="11"/>
        <v>0</v>
      </c>
      <c r="R63" s="740"/>
    </row>
    <row r="64" spans="1:18" s="266" customFormat="1" ht="13.5" thickBot="1">
      <c r="A64" s="1057"/>
      <c r="B64" s="548"/>
      <c r="C64" s="267" t="s">
        <v>3715</v>
      </c>
      <c r="D64" s="268" t="s">
        <v>3937</v>
      </c>
      <c r="E64" s="936">
        <v>113.74</v>
      </c>
      <c r="F64" s="59">
        <f t="shared" si="0"/>
        <v>62.557000000000002</v>
      </c>
      <c r="G64" s="62">
        <f t="shared" si="1"/>
        <v>0</v>
      </c>
      <c r="H64" s="60">
        <f t="shared" si="2"/>
        <v>1.9624130900000003</v>
      </c>
      <c r="I64" s="61">
        <f t="shared" si="3"/>
        <v>0</v>
      </c>
      <c r="J64" s="60">
        <f t="shared" si="4"/>
        <v>1.7140618000000001</v>
      </c>
      <c r="K64" s="61">
        <f t="shared" si="5"/>
        <v>0</v>
      </c>
      <c r="L64" s="60">
        <f t="shared" si="6"/>
        <v>1.4262996000000001</v>
      </c>
      <c r="M64" s="60">
        <f t="shared" si="7"/>
        <v>0</v>
      </c>
      <c r="N64" s="60">
        <f t="shared" si="8"/>
        <v>1.2761628</v>
      </c>
      <c r="O64" s="60">
        <f t="shared" si="9"/>
        <v>0</v>
      </c>
      <c r="P64" s="938">
        <f t="shared" si="10"/>
        <v>1.1573045</v>
      </c>
      <c r="Q64" s="60">
        <f t="shared" si="11"/>
        <v>0</v>
      </c>
      <c r="R64" s="740"/>
    </row>
    <row r="65" spans="1:18" s="266" customFormat="1" ht="13.5" thickBot="1">
      <c r="A65" s="1057"/>
      <c r="B65" s="548"/>
      <c r="C65" s="267" t="s">
        <v>3725</v>
      </c>
      <c r="D65" s="268" t="s">
        <v>4161</v>
      </c>
      <c r="E65" s="936">
        <v>124.34</v>
      </c>
      <c r="F65" s="59">
        <f t="shared" si="0"/>
        <v>68.387</v>
      </c>
      <c r="G65" s="62">
        <f t="shared" si="1"/>
        <v>0</v>
      </c>
      <c r="H65" s="60">
        <f t="shared" si="2"/>
        <v>2.1453001899999999</v>
      </c>
      <c r="I65" s="61">
        <f t="shared" si="3"/>
        <v>0</v>
      </c>
      <c r="J65" s="60">
        <f t="shared" si="4"/>
        <v>1.8738038000000001</v>
      </c>
      <c r="K65" s="61">
        <f t="shared" si="5"/>
        <v>0</v>
      </c>
      <c r="L65" s="60">
        <f t="shared" si="6"/>
        <v>1.5592236000000002</v>
      </c>
      <c r="M65" s="60">
        <f t="shared" si="7"/>
        <v>0</v>
      </c>
      <c r="N65" s="60">
        <f t="shared" si="8"/>
        <v>1.3950948000000001</v>
      </c>
      <c r="O65" s="60">
        <f t="shared" si="9"/>
        <v>0</v>
      </c>
      <c r="P65" s="938">
        <f t="shared" si="10"/>
        <v>1.2651595</v>
      </c>
      <c r="Q65" s="60">
        <f t="shared" si="11"/>
        <v>0</v>
      </c>
      <c r="R65" s="740"/>
    </row>
    <row r="66" spans="1:18" s="266" customFormat="1" ht="13.5" thickBot="1">
      <c r="A66" s="1057"/>
      <c r="B66" s="548"/>
      <c r="C66" s="267" t="s">
        <v>3720</v>
      </c>
      <c r="D66" s="268" t="s">
        <v>3942</v>
      </c>
      <c r="E66" s="936">
        <v>114.89</v>
      </c>
      <c r="F66" s="59">
        <f t="shared" si="0"/>
        <v>63.189500000000002</v>
      </c>
      <c r="G66" s="62">
        <f t="shared" si="1"/>
        <v>0</v>
      </c>
      <c r="H66" s="60">
        <f t="shared" si="2"/>
        <v>1.9822546150000002</v>
      </c>
      <c r="I66" s="61">
        <f t="shared" si="3"/>
        <v>0</v>
      </c>
      <c r="J66" s="60">
        <f t="shared" si="4"/>
        <v>1.7313923000000002</v>
      </c>
      <c r="K66" s="61">
        <f t="shared" si="5"/>
        <v>0</v>
      </c>
      <c r="L66" s="60">
        <f t="shared" si="6"/>
        <v>1.4407206000000001</v>
      </c>
      <c r="M66" s="60">
        <f t="shared" si="7"/>
        <v>0</v>
      </c>
      <c r="N66" s="60">
        <f t="shared" si="8"/>
        <v>1.2890658000000002</v>
      </c>
      <c r="O66" s="60">
        <f t="shared" si="9"/>
        <v>0</v>
      </c>
      <c r="P66" s="938">
        <f t="shared" si="10"/>
        <v>1.16900575</v>
      </c>
      <c r="Q66" s="60">
        <f t="shared" si="11"/>
        <v>0</v>
      </c>
      <c r="R66" s="740"/>
    </row>
    <row r="67" spans="1:18" s="266" customFormat="1" ht="13.5" thickBot="1">
      <c r="A67" s="1057"/>
      <c r="B67" s="548"/>
      <c r="C67" s="267" t="s">
        <v>3726</v>
      </c>
      <c r="D67" s="268" t="s">
        <v>3947</v>
      </c>
      <c r="E67" s="936">
        <v>122.49</v>
      </c>
      <c r="F67" s="59">
        <f t="shared" si="0"/>
        <v>67.369500000000002</v>
      </c>
      <c r="G67" s="62">
        <f t="shared" si="1"/>
        <v>0</v>
      </c>
      <c r="H67" s="60">
        <f t="shared" si="2"/>
        <v>2.1133812150000004</v>
      </c>
      <c r="I67" s="61">
        <f t="shared" si="3"/>
        <v>0</v>
      </c>
      <c r="J67" s="60">
        <f t="shared" si="4"/>
        <v>1.8459243000000001</v>
      </c>
      <c r="K67" s="61">
        <f t="shared" si="5"/>
        <v>0</v>
      </c>
      <c r="L67" s="60">
        <f t="shared" si="6"/>
        <v>1.5360246000000002</v>
      </c>
      <c r="M67" s="60">
        <f t="shared" si="7"/>
        <v>0</v>
      </c>
      <c r="N67" s="60">
        <f t="shared" si="8"/>
        <v>1.3743378000000002</v>
      </c>
      <c r="O67" s="60">
        <f t="shared" si="9"/>
        <v>0</v>
      </c>
      <c r="P67" s="938">
        <f t="shared" si="10"/>
        <v>1.2463357500000001</v>
      </c>
      <c r="Q67" s="60">
        <f t="shared" si="11"/>
        <v>0</v>
      </c>
      <c r="R67" s="740"/>
    </row>
    <row r="68" spans="1:18" s="266" customFormat="1" ht="13.5" thickBot="1">
      <c r="A68" s="1057"/>
      <c r="B68" s="548"/>
      <c r="C68" s="267" t="s">
        <v>3721</v>
      </c>
      <c r="D68" s="268" t="s">
        <v>3943</v>
      </c>
      <c r="E68" s="936">
        <v>112.55</v>
      </c>
      <c r="F68" s="59">
        <f t="shared" si="0"/>
        <v>61.902500000000003</v>
      </c>
      <c r="G68" s="62">
        <f t="shared" si="1"/>
        <v>0</v>
      </c>
      <c r="H68" s="60">
        <f t="shared" si="2"/>
        <v>1.9418814250000003</v>
      </c>
      <c r="I68" s="61">
        <f t="shared" si="3"/>
        <v>0</v>
      </c>
      <c r="J68" s="60">
        <f t="shared" si="4"/>
        <v>1.6961285000000001</v>
      </c>
      <c r="K68" s="61">
        <f t="shared" si="5"/>
        <v>0</v>
      </c>
      <c r="L68" s="60">
        <f t="shared" si="6"/>
        <v>1.4113770000000001</v>
      </c>
      <c r="M68" s="60">
        <f t="shared" si="7"/>
        <v>0</v>
      </c>
      <c r="N68" s="60">
        <f t="shared" si="8"/>
        <v>1.2628110000000001</v>
      </c>
      <c r="O68" s="60">
        <f t="shared" si="9"/>
        <v>0</v>
      </c>
      <c r="P68" s="938">
        <f t="shared" si="10"/>
        <v>1.1451962499999999</v>
      </c>
      <c r="Q68" s="60">
        <f t="shared" si="11"/>
        <v>0</v>
      </c>
      <c r="R68" s="740"/>
    </row>
    <row r="69" spans="1:18" s="266" customFormat="1" ht="13.5" thickBot="1">
      <c r="A69" s="1057"/>
      <c r="B69" s="548"/>
      <c r="C69" s="267" t="s">
        <v>3717</v>
      </c>
      <c r="D69" s="268" t="s">
        <v>3939</v>
      </c>
      <c r="E69" s="936">
        <v>102.27</v>
      </c>
      <c r="F69" s="59">
        <f t="shared" si="0"/>
        <v>56.2485</v>
      </c>
      <c r="G69" s="62">
        <f t="shared" si="1"/>
        <v>0</v>
      </c>
      <c r="H69" s="60">
        <f t="shared" si="2"/>
        <v>1.764515445</v>
      </c>
      <c r="I69" s="61">
        <f t="shared" si="3"/>
        <v>0</v>
      </c>
      <c r="J69" s="60">
        <f t="shared" si="4"/>
        <v>1.5412089</v>
      </c>
      <c r="K69" s="61">
        <f t="shared" si="5"/>
        <v>0</v>
      </c>
      <c r="L69" s="60">
        <f t="shared" si="6"/>
        <v>1.2824658</v>
      </c>
      <c r="M69" s="60">
        <f t="shared" si="7"/>
        <v>0</v>
      </c>
      <c r="N69" s="60">
        <f t="shared" si="8"/>
        <v>1.1474694000000001</v>
      </c>
      <c r="O69" s="60">
        <f t="shared" si="9"/>
        <v>0</v>
      </c>
      <c r="P69" s="938">
        <f t="shared" si="10"/>
        <v>1.04059725</v>
      </c>
      <c r="Q69" s="60">
        <f t="shared" si="11"/>
        <v>0</v>
      </c>
      <c r="R69" s="740"/>
    </row>
    <row r="70" spans="1:18" s="266" customFormat="1" ht="13.5" thickBot="1">
      <c r="A70" s="1057"/>
      <c r="B70" s="548"/>
      <c r="C70" s="267" t="s">
        <v>3727</v>
      </c>
      <c r="D70" s="268" t="s">
        <v>3948</v>
      </c>
      <c r="E70" s="936">
        <v>111.77</v>
      </c>
      <c r="F70" s="59">
        <f t="shared" si="0"/>
        <v>61.473500000000001</v>
      </c>
      <c r="G70" s="62">
        <f t="shared" si="1"/>
        <v>0</v>
      </c>
      <c r="H70" s="60">
        <f t="shared" si="2"/>
        <v>1.9284236950000002</v>
      </c>
      <c r="I70" s="61">
        <f t="shared" si="3"/>
        <v>0</v>
      </c>
      <c r="J70" s="60">
        <f t="shared" si="4"/>
        <v>1.6843739</v>
      </c>
      <c r="K70" s="61">
        <f t="shared" si="5"/>
        <v>0</v>
      </c>
      <c r="L70" s="60">
        <f t="shared" si="6"/>
        <v>1.4015958000000002</v>
      </c>
      <c r="M70" s="60">
        <f t="shared" si="7"/>
        <v>0</v>
      </c>
      <c r="N70" s="60">
        <f t="shared" si="8"/>
        <v>1.2540594</v>
      </c>
      <c r="O70" s="60">
        <f t="shared" si="9"/>
        <v>0</v>
      </c>
      <c r="P70" s="938">
        <f t="shared" si="10"/>
        <v>1.1372597499999999</v>
      </c>
      <c r="Q70" s="60">
        <f t="shared" si="11"/>
        <v>0</v>
      </c>
      <c r="R70" s="740"/>
    </row>
    <row r="71" spans="1:18" s="266" customFormat="1" ht="13.5" thickBot="1">
      <c r="A71" s="1057"/>
      <c r="B71" s="548"/>
      <c r="C71" s="267" t="s">
        <v>3722</v>
      </c>
      <c r="D71" s="268" t="s">
        <v>3944</v>
      </c>
      <c r="E71" s="936">
        <v>103.1</v>
      </c>
      <c r="F71" s="59">
        <f t="shared" si="0"/>
        <v>56.704999999999998</v>
      </c>
      <c r="G71" s="62">
        <f t="shared" si="1"/>
        <v>0</v>
      </c>
      <c r="H71" s="60">
        <f t="shared" si="2"/>
        <v>1.7788358500000001</v>
      </c>
      <c r="I71" s="61">
        <f t="shared" si="3"/>
        <v>0</v>
      </c>
      <c r="J71" s="60">
        <f t="shared" si="4"/>
        <v>1.553717</v>
      </c>
      <c r="K71" s="61">
        <f t="shared" si="5"/>
        <v>0</v>
      </c>
      <c r="L71" s="60">
        <f t="shared" si="6"/>
        <v>1.2928740000000001</v>
      </c>
      <c r="M71" s="60">
        <f t="shared" si="7"/>
        <v>0</v>
      </c>
      <c r="N71" s="60">
        <f t="shared" si="8"/>
        <v>1.156782</v>
      </c>
      <c r="O71" s="60">
        <f t="shared" si="9"/>
        <v>0</v>
      </c>
      <c r="P71" s="938">
        <f t="shared" si="10"/>
        <v>1.0490424999999999</v>
      </c>
      <c r="Q71" s="60">
        <f t="shared" si="11"/>
        <v>0</v>
      </c>
      <c r="R71" s="740"/>
    </row>
    <row r="72" spans="1:18" s="266" customFormat="1" ht="13.5" thickBot="1">
      <c r="A72" s="1057"/>
      <c r="B72" s="548"/>
      <c r="C72" s="930" t="s">
        <v>4124</v>
      </c>
      <c r="D72" s="267" t="s">
        <v>4176</v>
      </c>
      <c r="E72" s="936">
        <v>99.44</v>
      </c>
      <c r="F72" s="59">
        <f t="shared" si="0"/>
        <v>54.692</v>
      </c>
      <c r="G72" s="62">
        <f t="shared" si="1"/>
        <v>0</v>
      </c>
      <c r="H72" s="60">
        <f t="shared" si="2"/>
        <v>1.7156880400000001</v>
      </c>
      <c r="I72" s="61">
        <f t="shared" si="3"/>
        <v>0</v>
      </c>
      <c r="J72" s="60">
        <f t="shared" si="4"/>
        <v>1.4985608000000001</v>
      </c>
      <c r="K72" s="61">
        <f t="shared" si="5"/>
        <v>0</v>
      </c>
      <c r="L72" s="60">
        <f t="shared" si="6"/>
        <v>1.2469776000000001</v>
      </c>
      <c r="M72" s="60">
        <f t="shared" si="7"/>
        <v>0</v>
      </c>
      <c r="N72" s="60">
        <f t="shared" si="8"/>
        <v>1.1157168000000002</v>
      </c>
      <c r="O72" s="60">
        <f t="shared" si="9"/>
        <v>0</v>
      </c>
      <c r="P72" s="938">
        <f t="shared" si="10"/>
        <v>1.0118019999999999</v>
      </c>
      <c r="Q72" s="60">
        <f t="shared" si="11"/>
        <v>0</v>
      </c>
      <c r="R72" s="740"/>
    </row>
    <row r="73" spans="1:18" s="266" customFormat="1" ht="13.5" thickBot="1">
      <c r="A73" s="1057"/>
      <c r="B73" s="548"/>
      <c r="C73" s="933" t="s">
        <v>4125</v>
      </c>
      <c r="D73" s="267" t="s">
        <v>4177</v>
      </c>
      <c r="E73" s="936">
        <v>99.44</v>
      </c>
      <c r="F73" s="59">
        <f t="shared" si="0"/>
        <v>54.692</v>
      </c>
      <c r="G73" s="62">
        <f t="shared" si="1"/>
        <v>0</v>
      </c>
      <c r="H73" s="60">
        <f t="shared" si="2"/>
        <v>1.7156880400000001</v>
      </c>
      <c r="I73" s="61">
        <f t="shared" si="3"/>
        <v>0</v>
      </c>
      <c r="J73" s="60">
        <f t="shared" si="4"/>
        <v>1.4985608000000001</v>
      </c>
      <c r="K73" s="61">
        <f t="shared" si="5"/>
        <v>0</v>
      </c>
      <c r="L73" s="60">
        <f t="shared" si="6"/>
        <v>1.2469776000000001</v>
      </c>
      <c r="M73" s="60">
        <f t="shared" si="7"/>
        <v>0</v>
      </c>
      <c r="N73" s="60">
        <f t="shared" si="8"/>
        <v>1.1157168000000002</v>
      </c>
      <c r="O73" s="60">
        <f t="shared" si="9"/>
        <v>0</v>
      </c>
      <c r="P73" s="938">
        <f t="shared" si="10"/>
        <v>1.0118019999999999</v>
      </c>
      <c r="Q73" s="60">
        <f t="shared" si="11"/>
        <v>0</v>
      </c>
      <c r="R73" s="740"/>
    </row>
    <row r="74" spans="1:18" s="266" customFormat="1" ht="13.5" thickBot="1">
      <c r="A74" s="1057"/>
      <c r="B74" s="548"/>
      <c r="C74" s="270" t="s">
        <v>4126</v>
      </c>
      <c r="D74" s="268" t="s">
        <v>4178</v>
      </c>
      <c r="E74" s="936">
        <v>99.44</v>
      </c>
      <c r="F74" s="59">
        <f t="shared" si="0"/>
        <v>54.692</v>
      </c>
      <c r="G74" s="62">
        <f t="shared" si="1"/>
        <v>0</v>
      </c>
      <c r="H74" s="60">
        <f t="shared" si="2"/>
        <v>1.7156880400000001</v>
      </c>
      <c r="I74" s="61">
        <f t="shared" si="3"/>
        <v>0</v>
      </c>
      <c r="J74" s="60">
        <f t="shared" si="4"/>
        <v>1.4985608000000001</v>
      </c>
      <c r="K74" s="61">
        <f t="shared" si="5"/>
        <v>0</v>
      </c>
      <c r="L74" s="60">
        <f t="shared" si="6"/>
        <v>1.2469776000000001</v>
      </c>
      <c r="M74" s="60">
        <f t="shared" si="7"/>
        <v>0</v>
      </c>
      <c r="N74" s="60">
        <f t="shared" si="8"/>
        <v>1.1157168000000002</v>
      </c>
      <c r="O74" s="60">
        <f t="shared" si="9"/>
        <v>0</v>
      </c>
      <c r="P74" s="938">
        <f t="shared" si="10"/>
        <v>1.0118019999999999</v>
      </c>
      <c r="Q74" s="60">
        <f t="shared" si="11"/>
        <v>0</v>
      </c>
      <c r="R74" s="740"/>
    </row>
    <row r="75" spans="1:18" s="266" customFormat="1" ht="13.5" thickBot="1">
      <c r="A75" s="1057"/>
      <c r="B75" s="548"/>
      <c r="C75" s="267" t="s">
        <v>573</v>
      </c>
      <c r="D75" s="268" t="s">
        <v>4310</v>
      </c>
      <c r="E75" s="936">
        <v>5966.48</v>
      </c>
      <c r="F75" s="59">
        <f t="shared" si="0"/>
        <v>3281.5639999999999</v>
      </c>
      <c r="G75" s="62">
        <f t="shared" si="1"/>
        <v>0</v>
      </c>
      <c r="H75" s="60">
        <f t="shared" si="2"/>
        <v>102.94266268</v>
      </c>
      <c r="I75" s="61">
        <f t="shared" si="3"/>
        <v>0</v>
      </c>
      <c r="J75" s="60">
        <f t="shared" si="4"/>
        <v>89.914853600000001</v>
      </c>
      <c r="K75" s="61">
        <f t="shared" si="5"/>
        <v>0</v>
      </c>
      <c r="L75" s="60">
        <f t="shared" si="6"/>
        <v>74.819659200000004</v>
      </c>
      <c r="M75" s="60">
        <f t="shared" si="7"/>
        <v>0</v>
      </c>
      <c r="N75" s="60">
        <f t="shared" si="8"/>
        <v>66.943905600000008</v>
      </c>
      <c r="O75" s="60">
        <f t="shared" si="9"/>
        <v>0</v>
      </c>
      <c r="P75" s="938">
        <f t="shared" si="10"/>
        <v>60.708933999999992</v>
      </c>
      <c r="Q75" s="60">
        <f t="shared" si="11"/>
        <v>0</v>
      </c>
      <c r="R75" s="740"/>
    </row>
    <row r="76" spans="1:18" s="266" customFormat="1" ht="13.5" thickBot="1">
      <c r="A76" s="1057"/>
      <c r="B76" s="548"/>
      <c r="C76" s="267" t="s">
        <v>3728</v>
      </c>
      <c r="D76" s="268" t="s">
        <v>65</v>
      </c>
      <c r="E76" s="936">
        <v>21646.560000000001</v>
      </c>
      <c r="F76" s="59">
        <f t="shared" si="0"/>
        <v>11905.608000000002</v>
      </c>
      <c r="G76" s="62">
        <f t="shared" si="1"/>
        <v>0</v>
      </c>
      <c r="H76" s="60">
        <f t="shared" si="2"/>
        <v>373.47892296000009</v>
      </c>
      <c r="I76" s="61">
        <f t="shared" si="3"/>
        <v>0</v>
      </c>
      <c r="J76" s="60">
        <f t="shared" si="4"/>
        <v>326.21365920000005</v>
      </c>
      <c r="K76" s="61">
        <f t="shared" si="5"/>
        <v>0</v>
      </c>
      <c r="L76" s="60">
        <f t="shared" si="6"/>
        <v>271.44786240000008</v>
      </c>
      <c r="M76" s="60">
        <f t="shared" si="7"/>
        <v>0</v>
      </c>
      <c r="N76" s="60">
        <f t="shared" si="8"/>
        <v>242.87440320000005</v>
      </c>
      <c r="O76" s="60">
        <f t="shared" si="9"/>
        <v>0</v>
      </c>
      <c r="P76" s="938">
        <f t="shared" si="10"/>
        <v>220.25374800000003</v>
      </c>
      <c r="Q76" s="60">
        <f t="shared" si="11"/>
        <v>0</v>
      </c>
      <c r="R76" s="740"/>
    </row>
    <row r="77" spans="1:18" s="266" customFormat="1" ht="13.5" thickBot="1">
      <c r="A77" s="1057"/>
      <c r="B77" s="548"/>
      <c r="C77" s="267" t="s">
        <v>543</v>
      </c>
      <c r="D77" s="268" t="s">
        <v>3996</v>
      </c>
      <c r="E77" s="936">
        <v>13384.8</v>
      </c>
      <c r="F77" s="59">
        <f t="shared" si="0"/>
        <v>7361.64</v>
      </c>
      <c r="G77" s="62">
        <f t="shared" si="1"/>
        <v>0</v>
      </c>
      <c r="H77" s="60">
        <f t="shared" si="2"/>
        <v>230.93464680000002</v>
      </c>
      <c r="I77" s="61">
        <f t="shared" si="3"/>
        <v>0</v>
      </c>
      <c r="J77" s="60">
        <f t="shared" si="4"/>
        <v>201.70893600000002</v>
      </c>
      <c r="K77" s="61">
        <f t="shared" si="5"/>
        <v>0</v>
      </c>
      <c r="L77" s="60">
        <f t="shared" si="6"/>
        <v>167.845392</v>
      </c>
      <c r="M77" s="60">
        <f t="shared" si="7"/>
        <v>0</v>
      </c>
      <c r="N77" s="60">
        <f t="shared" si="8"/>
        <v>150.17745600000001</v>
      </c>
      <c r="O77" s="60">
        <f t="shared" si="9"/>
        <v>0</v>
      </c>
      <c r="P77" s="938">
        <f t="shared" si="10"/>
        <v>136.19033999999999</v>
      </c>
      <c r="Q77" s="60">
        <f t="shared" si="11"/>
        <v>0</v>
      </c>
      <c r="R77" s="740"/>
    </row>
    <row r="78" spans="1:18" s="266" customFormat="1" ht="13.5" thickBot="1">
      <c r="A78" s="1057"/>
      <c r="B78" s="548"/>
      <c r="C78" s="267" t="s">
        <v>4311</v>
      </c>
      <c r="D78" s="268" t="s">
        <v>4397</v>
      </c>
      <c r="E78" s="936">
        <v>362</v>
      </c>
      <c r="F78" s="59">
        <f t="shared" si="0"/>
        <v>199.10000000000002</v>
      </c>
      <c r="G78" s="62">
        <f t="shared" si="1"/>
        <v>0</v>
      </c>
      <c r="H78" s="60">
        <f t="shared" si="2"/>
        <v>6.2457670000000007</v>
      </c>
      <c r="I78" s="61">
        <f t="shared" si="3"/>
        <v>0</v>
      </c>
      <c r="J78" s="60">
        <f t="shared" si="4"/>
        <v>5.4553400000000005</v>
      </c>
      <c r="K78" s="61">
        <f t="shared" si="5"/>
        <v>0</v>
      </c>
      <c r="L78" s="60">
        <f t="shared" si="6"/>
        <v>4.5394800000000011</v>
      </c>
      <c r="M78" s="60">
        <f t="shared" si="7"/>
        <v>0</v>
      </c>
      <c r="N78" s="60">
        <f t="shared" si="8"/>
        <v>4.0616400000000006</v>
      </c>
      <c r="O78" s="60">
        <f t="shared" si="9"/>
        <v>0</v>
      </c>
      <c r="P78" s="938">
        <f t="shared" si="10"/>
        <v>3.6833500000000003</v>
      </c>
      <c r="Q78" s="60">
        <f t="shared" si="11"/>
        <v>0</v>
      </c>
      <c r="R78" s="740"/>
    </row>
    <row r="79" spans="1:18" s="266" customFormat="1" ht="13.5" thickBot="1">
      <c r="A79" s="1057"/>
      <c r="B79" s="548"/>
      <c r="C79" s="267" t="s">
        <v>4313</v>
      </c>
      <c r="D79" s="268" t="s">
        <v>4398</v>
      </c>
      <c r="E79" s="936">
        <v>725</v>
      </c>
      <c r="F79" s="59">
        <f t="shared" si="0"/>
        <v>398.75000000000006</v>
      </c>
      <c r="G79" s="62">
        <f t="shared" si="1"/>
        <v>0</v>
      </c>
      <c r="H79" s="60">
        <f t="shared" si="2"/>
        <v>12.508787500000002</v>
      </c>
      <c r="I79" s="61">
        <f t="shared" si="3"/>
        <v>0</v>
      </c>
      <c r="J79" s="60">
        <f t="shared" si="4"/>
        <v>10.925750000000003</v>
      </c>
      <c r="K79" s="61">
        <f t="shared" si="5"/>
        <v>0</v>
      </c>
      <c r="L79" s="60">
        <f t="shared" si="6"/>
        <v>9.0915000000000017</v>
      </c>
      <c r="M79" s="60">
        <f t="shared" si="7"/>
        <v>0</v>
      </c>
      <c r="N79" s="60">
        <f t="shared" si="8"/>
        <v>8.134500000000001</v>
      </c>
      <c r="O79" s="60">
        <f t="shared" si="9"/>
        <v>0</v>
      </c>
      <c r="P79" s="938">
        <f t="shared" si="10"/>
        <v>7.376875000000001</v>
      </c>
      <c r="Q79" s="60">
        <f t="shared" si="11"/>
        <v>0</v>
      </c>
      <c r="R79" s="740"/>
    </row>
    <row r="80" spans="1:18" s="266" customFormat="1" ht="13.5" thickBot="1">
      <c r="A80" s="1057"/>
      <c r="B80" s="548"/>
      <c r="C80" s="267" t="s">
        <v>4315</v>
      </c>
      <c r="D80" s="268" t="s">
        <v>4399</v>
      </c>
      <c r="E80" s="936">
        <v>1033</v>
      </c>
      <c r="F80" s="59">
        <f t="shared" si="0"/>
        <v>568.15000000000009</v>
      </c>
      <c r="G80" s="62">
        <f t="shared" si="1"/>
        <v>0</v>
      </c>
      <c r="H80" s="60">
        <f t="shared" si="2"/>
        <v>17.822865500000002</v>
      </c>
      <c r="I80" s="61">
        <f t="shared" si="3"/>
        <v>0</v>
      </c>
      <c r="J80" s="60">
        <f t="shared" si="4"/>
        <v>15.567310000000003</v>
      </c>
      <c r="K80" s="61">
        <f t="shared" si="5"/>
        <v>0</v>
      </c>
      <c r="L80" s="60">
        <f t="shared" si="6"/>
        <v>12.953820000000002</v>
      </c>
      <c r="M80" s="60">
        <f t="shared" si="7"/>
        <v>0</v>
      </c>
      <c r="N80" s="60">
        <f t="shared" si="8"/>
        <v>11.590260000000002</v>
      </c>
      <c r="O80" s="60">
        <f t="shared" si="9"/>
        <v>0</v>
      </c>
      <c r="P80" s="938">
        <f t="shared" si="10"/>
        <v>10.510775000000001</v>
      </c>
      <c r="Q80" s="60">
        <f t="shared" si="11"/>
        <v>0</v>
      </c>
      <c r="R80" s="740"/>
    </row>
    <row r="81" spans="1:18" s="266" customFormat="1" ht="13.5" thickBot="1">
      <c r="A81" s="1057"/>
      <c r="B81" s="548"/>
      <c r="C81" s="267" t="s">
        <v>4317</v>
      </c>
      <c r="D81" s="268" t="s">
        <v>4400</v>
      </c>
      <c r="E81" s="936">
        <v>1088</v>
      </c>
      <c r="F81" s="59">
        <f t="shared" si="0"/>
        <v>598.40000000000009</v>
      </c>
      <c r="G81" s="62">
        <f t="shared" si="1"/>
        <v>0</v>
      </c>
      <c r="H81" s="60">
        <f t="shared" si="2"/>
        <v>18.771808000000004</v>
      </c>
      <c r="I81" s="61">
        <f t="shared" si="3"/>
        <v>0</v>
      </c>
      <c r="J81" s="60">
        <f t="shared" si="4"/>
        <v>16.396160000000002</v>
      </c>
      <c r="K81" s="61">
        <f t="shared" si="5"/>
        <v>0</v>
      </c>
      <c r="L81" s="60">
        <f t="shared" si="6"/>
        <v>13.643520000000002</v>
      </c>
      <c r="M81" s="60">
        <f t="shared" si="7"/>
        <v>0</v>
      </c>
      <c r="N81" s="60">
        <f t="shared" si="8"/>
        <v>12.207360000000003</v>
      </c>
      <c r="O81" s="60">
        <f t="shared" si="9"/>
        <v>0</v>
      </c>
      <c r="P81" s="938">
        <f t="shared" si="10"/>
        <v>11.070400000000001</v>
      </c>
      <c r="Q81" s="60">
        <f t="shared" si="11"/>
        <v>0</v>
      </c>
      <c r="R81" s="740"/>
    </row>
    <row r="82" spans="1:18" s="729" customFormat="1" ht="13.5" customHeight="1" thickBot="1">
      <c r="A82" s="1057"/>
      <c r="B82" s="548"/>
      <c r="C82" s="267" t="s">
        <v>4319</v>
      </c>
      <c r="D82" s="268" t="s">
        <v>4401</v>
      </c>
      <c r="E82" s="936">
        <v>1145</v>
      </c>
      <c r="F82" s="59">
        <f t="shared" si="0"/>
        <v>629.75</v>
      </c>
      <c r="G82" s="62">
        <f t="shared" si="1"/>
        <v>0</v>
      </c>
      <c r="H82" s="60">
        <f t="shared" si="2"/>
        <v>19.755257500000003</v>
      </c>
      <c r="I82" s="61">
        <f t="shared" si="3"/>
        <v>0</v>
      </c>
      <c r="J82" s="60">
        <f t="shared" si="4"/>
        <v>17.25515</v>
      </c>
      <c r="K82" s="61">
        <f t="shared" si="5"/>
        <v>0</v>
      </c>
      <c r="L82" s="60">
        <f t="shared" si="6"/>
        <v>14.3583</v>
      </c>
      <c r="M82" s="60">
        <f t="shared" si="7"/>
        <v>0</v>
      </c>
      <c r="N82" s="60">
        <f t="shared" si="8"/>
        <v>12.846900000000002</v>
      </c>
      <c r="O82" s="60">
        <f t="shared" si="9"/>
        <v>0</v>
      </c>
      <c r="P82" s="938">
        <f t="shared" si="10"/>
        <v>11.650374999999999</v>
      </c>
      <c r="Q82" s="60">
        <f t="shared" si="11"/>
        <v>0</v>
      </c>
      <c r="R82" s="740"/>
    </row>
    <row r="83" spans="1:18" s="413" customFormat="1" ht="13.5" thickBot="1">
      <c r="A83" s="1057"/>
      <c r="B83" s="548"/>
      <c r="C83" s="267" t="s">
        <v>4321</v>
      </c>
      <c r="D83" s="268" t="s">
        <v>4402</v>
      </c>
      <c r="E83" s="936">
        <v>809</v>
      </c>
      <c r="F83" s="59">
        <f t="shared" si="0"/>
        <v>444.95000000000005</v>
      </c>
      <c r="G83" s="62">
        <f t="shared" si="1"/>
        <v>0</v>
      </c>
      <c r="H83" s="60">
        <f t="shared" si="2"/>
        <v>13.958081500000002</v>
      </c>
      <c r="I83" s="61">
        <f t="shared" si="3"/>
        <v>0</v>
      </c>
      <c r="J83" s="60">
        <f t="shared" si="4"/>
        <v>12.191630000000002</v>
      </c>
      <c r="K83" s="61">
        <f t="shared" si="5"/>
        <v>0</v>
      </c>
      <c r="L83" s="60">
        <f t="shared" si="6"/>
        <v>10.144860000000001</v>
      </c>
      <c r="M83" s="60">
        <f t="shared" si="7"/>
        <v>0</v>
      </c>
      <c r="N83" s="60">
        <f t="shared" si="8"/>
        <v>9.0769800000000007</v>
      </c>
      <c r="O83" s="60">
        <f t="shared" si="9"/>
        <v>0</v>
      </c>
      <c r="P83" s="938">
        <f t="shared" si="10"/>
        <v>8.2315750000000012</v>
      </c>
      <c r="Q83" s="60">
        <f t="shared" si="11"/>
        <v>0</v>
      </c>
      <c r="R83" s="740"/>
    </row>
    <row r="84" spans="1:18" s="413" customFormat="1" ht="30.6" customHeight="1" thickBot="1">
      <c r="A84" s="1057"/>
      <c r="B84" s="548"/>
      <c r="C84" s="267" t="s">
        <v>4323</v>
      </c>
      <c r="D84" s="268" t="s">
        <v>4403</v>
      </c>
      <c r="E84" s="936">
        <v>1617</v>
      </c>
      <c r="F84" s="59">
        <f t="shared" si="0"/>
        <v>889.35</v>
      </c>
      <c r="G84" s="62">
        <f t="shared" si="1"/>
        <v>0</v>
      </c>
      <c r="H84" s="60">
        <f t="shared" si="2"/>
        <v>27.898909500000002</v>
      </c>
      <c r="I84" s="61">
        <f t="shared" si="3"/>
        <v>0</v>
      </c>
      <c r="J84" s="60">
        <f t="shared" si="4"/>
        <v>24.368190000000002</v>
      </c>
      <c r="K84" s="61">
        <f t="shared" si="5"/>
        <v>0</v>
      </c>
      <c r="L84" s="60">
        <f t="shared" si="6"/>
        <v>20.277180000000001</v>
      </c>
      <c r="M84" s="60">
        <f t="shared" si="7"/>
        <v>0</v>
      </c>
      <c r="N84" s="60">
        <f t="shared" si="8"/>
        <v>18.142740000000003</v>
      </c>
      <c r="O84" s="60">
        <f t="shared" si="9"/>
        <v>0</v>
      </c>
      <c r="P84" s="938">
        <f t="shared" si="10"/>
        <v>16.452974999999999</v>
      </c>
      <c r="Q84" s="60">
        <f t="shared" si="11"/>
        <v>0</v>
      </c>
      <c r="R84" s="740"/>
    </row>
    <row r="85" spans="1:18" s="413" customFormat="1" ht="28.15" customHeight="1" thickBot="1">
      <c r="A85" s="1057"/>
      <c r="B85" s="548"/>
      <c r="C85" s="267" t="s">
        <v>4325</v>
      </c>
      <c r="D85" s="268" t="s">
        <v>4404</v>
      </c>
      <c r="E85" s="936">
        <v>2306</v>
      </c>
      <c r="F85" s="59">
        <f t="shared" si="0"/>
        <v>1268.3000000000002</v>
      </c>
      <c r="G85" s="62">
        <f t="shared" si="1"/>
        <v>0</v>
      </c>
      <c r="H85" s="60">
        <f t="shared" si="2"/>
        <v>39.786571000000009</v>
      </c>
      <c r="I85" s="61">
        <f t="shared" si="3"/>
        <v>0</v>
      </c>
      <c r="J85" s="60">
        <f t="shared" si="4"/>
        <v>34.751420000000003</v>
      </c>
      <c r="K85" s="61">
        <f t="shared" si="5"/>
        <v>0</v>
      </c>
      <c r="L85" s="60">
        <f t="shared" si="6"/>
        <v>28.917240000000007</v>
      </c>
      <c r="M85" s="60">
        <f t="shared" si="7"/>
        <v>0</v>
      </c>
      <c r="N85" s="60">
        <f t="shared" si="8"/>
        <v>25.873320000000007</v>
      </c>
      <c r="O85" s="60">
        <f t="shared" si="9"/>
        <v>0</v>
      </c>
      <c r="P85" s="938">
        <f t="shared" si="10"/>
        <v>23.463550000000001</v>
      </c>
      <c r="Q85" s="60">
        <f t="shared" si="11"/>
        <v>0</v>
      </c>
      <c r="R85" s="740"/>
    </row>
    <row r="86" spans="1:18" s="413" customFormat="1" ht="13.5" thickBot="1">
      <c r="A86" s="1057"/>
      <c r="B86" s="548"/>
      <c r="C86" s="267" t="s">
        <v>4327</v>
      </c>
      <c r="D86" s="268" t="s">
        <v>4405</v>
      </c>
      <c r="E86" s="936">
        <v>2427</v>
      </c>
      <c r="F86" s="59">
        <f t="shared" si="0"/>
        <v>1334.8500000000001</v>
      </c>
      <c r="G86" s="62">
        <f t="shared" si="1"/>
        <v>0</v>
      </c>
      <c r="H86" s="60">
        <f t="shared" si="2"/>
        <v>41.87424450000001</v>
      </c>
      <c r="I86" s="61">
        <f t="shared" si="3"/>
        <v>0</v>
      </c>
      <c r="J86" s="60">
        <f t="shared" si="4"/>
        <v>36.574890000000003</v>
      </c>
      <c r="K86" s="61">
        <f t="shared" si="5"/>
        <v>0</v>
      </c>
      <c r="L86" s="60">
        <f t="shared" si="6"/>
        <v>30.434580000000004</v>
      </c>
      <c r="M86" s="60">
        <f t="shared" si="7"/>
        <v>0</v>
      </c>
      <c r="N86" s="60">
        <f t="shared" si="8"/>
        <v>27.230940000000004</v>
      </c>
      <c r="O86" s="60">
        <f t="shared" si="9"/>
        <v>0</v>
      </c>
      <c r="P86" s="938">
        <f t="shared" si="10"/>
        <v>24.694725000000002</v>
      </c>
      <c r="Q86" s="60">
        <f t="shared" si="11"/>
        <v>0</v>
      </c>
      <c r="R86" s="740"/>
    </row>
    <row r="87" spans="1:18" s="413" customFormat="1" ht="13.5" thickBot="1">
      <c r="A87" s="1057"/>
      <c r="B87" s="548"/>
      <c r="C87" s="267" t="s">
        <v>4329</v>
      </c>
      <c r="D87" s="268" t="s">
        <v>4406</v>
      </c>
      <c r="E87" s="936">
        <v>2601</v>
      </c>
      <c r="F87" s="59">
        <f t="shared" si="0"/>
        <v>1430.5500000000002</v>
      </c>
      <c r="G87" s="62">
        <f t="shared" si="1"/>
        <v>0</v>
      </c>
      <c r="H87" s="60">
        <f t="shared" si="2"/>
        <v>44.876353500000008</v>
      </c>
      <c r="I87" s="61">
        <f t="shared" si="3"/>
        <v>0</v>
      </c>
      <c r="J87" s="60">
        <f t="shared" si="4"/>
        <v>39.197070000000004</v>
      </c>
      <c r="K87" s="61">
        <f t="shared" si="5"/>
        <v>0</v>
      </c>
      <c r="L87" s="60">
        <f t="shared" si="6"/>
        <v>32.616540000000008</v>
      </c>
      <c r="M87" s="60">
        <f t="shared" si="7"/>
        <v>0</v>
      </c>
      <c r="N87" s="60">
        <f t="shared" si="8"/>
        <v>29.183220000000006</v>
      </c>
      <c r="O87" s="60">
        <f t="shared" si="9"/>
        <v>0</v>
      </c>
      <c r="P87" s="938">
        <f t="shared" si="10"/>
        <v>26.465175000000002</v>
      </c>
      <c r="Q87" s="60">
        <f t="shared" si="11"/>
        <v>0</v>
      </c>
      <c r="R87" s="740"/>
    </row>
    <row r="88" spans="1:18" s="413" customFormat="1" ht="26.25" thickBot="1">
      <c r="A88" s="1057"/>
      <c r="B88" s="548"/>
      <c r="C88" s="267" t="s">
        <v>4331</v>
      </c>
      <c r="D88" s="268" t="s">
        <v>4407</v>
      </c>
      <c r="E88" s="936">
        <v>943</v>
      </c>
      <c r="F88" s="59">
        <f t="shared" si="0"/>
        <v>518.65000000000009</v>
      </c>
      <c r="G88" s="62">
        <f t="shared" si="1"/>
        <v>0</v>
      </c>
      <c r="H88" s="60">
        <f t="shared" si="2"/>
        <v>16.270050500000004</v>
      </c>
      <c r="I88" s="61">
        <f t="shared" si="3"/>
        <v>0</v>
      </c>
      <c r="J88" s="60">
        <f t="shared" si="4"/>
        <v>14.211010000000003</v>
      </c>
      <c r="K88" s="61">
        <f t="shared" si="5"/>
        <v>0</v>
      </c>
      <c r="L88" s="60">
        <f t="shared" si="6"/>
        <v>11.825220000000002</v>
      </c>
      <c r="M88" s="60">
        <f t="shared" si="7"/>
        <v>0</v>
      </c>
      <c r="N88" s="60">
        <f t="shared" si="8"/>
        <v>10.580460000000002</v>
      </c>
      <c r="O88" s="60">
        <f t="shared" si="9"/>
        <v>0</v>
      </c>
      <c r="P88" s="938">
        <f t="shared" si="10"/>
        <v>9.5950250000000015</v>
      </c>
      <c r="Q88" s="60">
        <f t="shared" si="11"/>
        <v>0</v>
      </c>
      <c r="R88" s="740"/>
    </row>
    <row r="89" spans="1:18" s="266" customFormat="1" ht="26.25" thickBot="1">
      <c r="A89" s="1057"/>
      <c r="B89" s="548"/>
      <c r="C89" s="267" t="s">
        <v>4333</v>
      </c>
      <c r="D89" s="268" t="s">
        <v>4408</v>
      </c>
      <c r="E89" s="936">
        <v>1887</v>
      </c>
      <c r="F89" s="59">
        <f t="shared" si="0"/>
        <v>1037.8500000000001</v>
      </c>
      <c r="G89" s="62">
        <f t="shared" si="1"/>
        <v>0</v>
      </c>
      <c r="H89" s="60">
        <f t="shared" si="2"/>
        <v>32.55735450000001</v>
      </c>
      <c r="I89" s="61">
        <f t="shared" si="3"/>
        <v>0</v>
      </c>
      <c r="J89" s="60">
        <f t="shared" si="4"/>
        <v>28.437090000000005</v>
      </c>
      <c r="K89" s="61">
        <f t="shared" si="5"/>
        <v>0</v>
      </c>
      <c r="L89" s="60">
        <f t="shared" si="6"/>
        <v>23.662980000000005</v>
      </c>
      <c r="M89" s="60">
        <f t="shared" si="7"/>
        <v>0</v>
      </c>
      <c r="N89" s="60">
        <f t="shared" si="8"/>
        <v>21.172140000000006</v>
      </c>
      <c r="O89" s="60">
        <f t="shared" si="9"/>
        <v>0</v>
      </c>
      <c r="P89" s="938">
        <f t="shared" si="10"/>
        <v>19.200225000000003</v>
      </c>
      <c r="Q89" s="60">
        <f t="shared" si="11"/>
        <v>0</v>
      </c>
      <c r="R89" s="740"/>
    </row>
    <row r="90" spans="1:18" s="266" customFormat="1" ht="26.25" thickBot="1">
      <c r="A90" s="1057"/>
      <c r="B90" s="548"/>
      <c r="C90" s="267" t="s">
        <v>4335</v>
      </c>
      <c r="D90" s="268" t="s">
        <v>4409</v>
      </c>
      <c r="E90" s="936">
        <v>2688</v>
      </c>
      <c r="F90" s="59">
        <f t="shared" si="0"/>
        <v>1478.4</v>
      </c>
      <c r="G90" s="62">
        <f t="shared" si="1"/>
        <v>0</v>
      </c>
      <c r="H90" s="60">
        <f t="shared" si="2"/>
        <v>46.377408000000003</v>
      </c>
      <c r="I90" s="61">
        <f t="shared" si="3"/>
        <v>0</v>
      </c>
      <c r="J90" s="60">
        <f t="shared" si="4"/>
        <v>40.508160000000004</v>
      </c>
      <c r="K90" s="61">
        <f t="shared" si="5"/>
        <v>0</v>
      </c>
      <c r="L90" s="60">
        <f t="shared" si="6"/>
        <v>33.707520000000002</v>
      </c>
      <c r="M90" s="60">
        <f t="shared" si="7"/>
        <v>0</v>
      </c>
      <c r="N90" s="60">
        <f t="shared" si="8"/>
        <v>30.159360000000003</v>
      </c>
      <c r="O90" s="60">
        <f t="shared" si="9"/>
        <v>0</v>
      </c>
      <c r="P90" s="938">
        <f t="shared" si="10"/>
        <v>27.3504</v>
      </c>
      <c r="Q90" s="60">
        <f t="shared" si="11"/>
        <v>0</v>
      </c>
      <c r="R90" s="740"/>
    </row>
    <row r="91" spans="1:18" s="266" customFormat="1" ht="26.25" thickBot="1">
      <c r="A91" s="1057"/>
      <c r="B91" s="548"/>
      <c r="C91" s="267" t="s">
        <v>4337</v>
      </c>
      <c r="D91" s="268" t="s">
        <v>4410</v>
      </c>
      <c r="E91" s="936">
        <v>2830</v>
      </c>
      <c r="F91" s="59">
        <f t="shared" si="0"/>
        <v>1556.5000000000002</v>
      </c>
      <c r="G91" s="62">
        <f t="shared" si="1"/>
        <v>0</v>
      </c>
      <c r="H91" s="60">
        <f t="shared" si="2"/>
        <v>48.827405000000013</v>
      </c>
      <c r="I91" s="61">
        <f t="shared" si="3"/>
        <v>0</v>
      </c>
      <c r="J91" s="60">
        <f t="shared" si="4"/>
        <v>42.648100000000007</v>
      </c>
      <c r="K91" s="61">
        <f t="shared" si="5"/>
        <v>0</v>
      </c>
      <c r="L91" s="60">
        <f t="shared" si="6"/>
        <v>35.488200000000006</v>
      </c>
      <c r="M91" s="60">
        <f t="shared" si="7"/>
        <v>0</v>
      </c>
      <c r="N91" s="60">
        <f t="shared" si="8"/>
        <v>31.752600000000008</v>
      </c>
      <c r="O91" s="60">
        <f t="shared" si="9"/>
        <v>0</v>
      </c>
      <c r="P91" s="938">
        <f t="shared" si="10"/>
        <v>28.795250000000003</v>
      </c>
      <c r="Q91" s="60">
        <f t="shared" si="11"/>
        <v>0</v>
      </c>
      <c r="R91" s="740"/>
    </row>
    <row r="92" spans="1:18" s="266" customFormat="1" ht="26.25" thickBot="1">
      <c r="A92" s="1057"/>
      <c r="B92" s="548"/>
      <c r="C92" s="267" t="s">
        <v>4339</v>
      </c>
      <c r="D92" s="268" t="s">
        <v>4411</v>
      </c>
      <c r="E92" s="936">
        <v>3104</v>
      </c>
      <c r="F92" s="59">
        <f t="shared" si="0"/>
        <v>1707.2</v>
      </c>
      <c r="G92" s="62">
        <f t="shared" si="1"/>
        <v>0</v>
      </c>
      <c r="H92" s="60">
        <f t="shared" si="2"/>
        <v>53.554864000000002</v>
      </c>
      <c r="I92" s="61">
        <f t="shared" si="3"/>
        <v>0</v>
      </c>
      <c r="J92" s="60">
        <f t="shared" si="4"/>
        <v>46.777280000000005</v>
      </c>
      <c r="K92" s="61">
        <f t="shared" si="5"/>
        <v>0</v>
      </c>
      <c r="L92" s="60">
        <f t="shared" si="6"/>
        <v>38.924160000000001</v>
      </c>
      <c r="M92" s="60">
        <f t="shared" si="7"/>
        <v>0</v>
      </c>
      <c r="N92" s="60">
        <f t="shared" si="8"/>
        <v>34.826880000000003</v>
      </c>
      <c r="O92" s="60">
        <f t="shared" si="9"/>
        <v>0</v>
      </c>
      <c r="P92" s="938">
        <f t="shared" si="10"/>
        <v>31.583199999999998</v>
      </c>
      <c r="Q92" s="60">
        <f t="shared" si="11"/>
        <v>0</v>
      </c>
      <c r="R92" s="740"/>
    </row>
    <row r="93" spans="1:18" s="729" customFormat="1" ht="13.5" customHeight="1" thickBot="1">
      <c r="A93" s="1057"/>
      <c r="B93" s="548"/>
      <c r="C93" s="267" t="s">
        <v>4341</v>
      </c>
      <c r="D93" s="268" t="s">
        <v>4412</v>
      </c>
      <c r="E93" s="936">
        <v>1851</v>
      </c>
      <c r="F93" s="59">
        <f t="shared" si="0"/>
        <v>1018.0500000000001</v>
      </c>
      <c r="G93" s="62">
        <f t="shared" si="1"/>
        <v>0</v>
      </c>
      <c r="H93" s="60">
        <f t="shared" si="2"/>
        <v>31.936228500000006</v>
      </c>
      <c r="I93" s="61">
        <f t="shared" si="3"/>
        <v>0</v>
      </c>
      <c r="J93" s="60">
        <f t="shared" si="4"/>
        <v>27.894570000000002</v>
      </c>
      <c r="K93" s="61">
        <f t="shared" si="5"/>
        <v>0</v>
      </c>
      <c r="L93" s="60">
        <f t="shared" si="6"/>
        <v>23.211540000000003</v>
      </c>
      <c r="M93" s="60">
        <f t="shared" si="7"/>
        <v>0</v>
      </c>
      <c r="N93" s="60">
        <f t="shared" si="8"/>
        <v>20.768220000000003</v>
      </c>
      <c r="O93" s="60">
        <f t="shared" si="9"/>
        <v>0</v>
      </c>
      <c r="P93" s="938">
        <f t="shared" si="10"/>
        <v>18.833925000000001</v>
      </c>
      <c r="Q93" s="60">
        <f t="shared" si="11"/>
        <v>0</v>
      </c>
      <c r="R93" s="740"/>
    </row>
    <row r="94" spans="1:18" s="413" customFormat="1" ht="13.5" thickBot="1">
      <c r="A94" s="1057"/>
      <c r="B94" s="548"/>
      <c r="C94" s="267" t="s">
        <v>4343</v>
      </c>
      <c r="D94" s="268" t="s">
        <v>4413</v>
      </c>
      <c r="E94" s="936">
        <v>3703</v>
      </c>
      <c r="F94" s="59">
        <f t="shared" si="0"/>
        <v>2036.65</v>
      </c>
      <c r="G94" s="62">
        <f t="shared" si="1"/>
        <v>0</v>
      </c>
      <c r="H94" s="60">
        <f t="shared" si="2"/>
        <v>63.889710500000007</v>
      </c>
      <c r="I94" s="61">
        <f t="shared" si="3"/>
        <v>0</v>
      </c>
      <c r="J94" s="60">
        <f t="shared" si="4"/>
        <v>55.804210000000005</v>
      </c>
      <c r="K94" s="61">
        <f t="shared" si="5"/>
        <v>0</v>
      </c>
      <c r="L94" s="60">
        <f t="shared" si="6"/>
        <v>46.435620000000007</v>
      </c>
      <c r="M94" s="60">
        <f t="shared" si="7"/>
        <v>0</v>
      </c>
      <c r="N94" s="60">
        <f t="shared" si="8"/>
        <v>41.547660000000008</v>
      </c>
      <c r="O94" s="60">
        <f t="shared" si="9"/>
        <v>0</v>
      </c>
      <c r="P94" s="938">
        <f t="shared" si="10"/>
        <v>37.678024999999998</v>
      </c>
      <c r="Q94" s="60">
        <f t="shared" si="11"/>
        <v>0</v>
      </c>
      <c r="R94" s="740"/>
    </row>
    <row r="95" spans="1:18" s="413" customFormat="1" ht="30.6" customHeight="1" thickBot="1">
      <c r="A95" s="1057"/>
      <c r="B95" s="548"/>
      <c r="C95" s="267" t="s">
        <v>4345</v>
      </c>
      <c r="D95" s="268" t="s">
        <v>4414</v>
      </c>
      <c r="E95" s="936">
        <v>5278</v>
      </c>
      <c r="F95" s="59">
        <f t="shared" si="0"/>
        <v>2902.9</v>
      </c>
      <c r="G95" s="62">
        <f t="shared" si="1"/>
        <v>0</v>
      </c>
      <c r="H95" s="60">
        <f t="shared" si="2"/>
        <v>91.063973000000004</v>
      </c>
      <c r="I95" s="61">
        <f t="shared" si="3"/>
        <v>0</v>
      </c>
      <c r="J95" s="60">
        <f t="shared" si="4"/>
        <v>79.539460000000005</v>
      </c>
      <c r="K95" s="61">
        <f t="shared" si="5"/>
        <v>0</v>
      </c>
      <c r="L95" s="60">
        <f t="shared" si="6"/>
        <v>66.186120000000003</v>
      </c>
      <c r="M95" s="60">
        <f t="shared" si="7"/>
        <v>0</v>
      </c>
      <c r="N95" s="60">
        <f t="shared" si="8"/>
        <v>59.219160000000009</v>
      </c>
      <c r="O95" s="60">
        <f t="shared" si="9"/>
        <v>0</v>
      </c>
      <c r="P95" s="938">
        <f t="shared" si="10"/>
        <v>53.703649999999996</v>
      </c>
      <c r="Q95" s="60">
        <f t="shared" si="11"/>
        <v>0</v>
      </c>
      <c r="R95" s="740"/>
    </row>
    <row r="96" spans="1:18" s="413" customFormat="1" ht="28.15" customHeight="1" thickBot="1">
      <c r="A96" s="1057"/>
      <c r="B96" s="548"/>
      <c r="C96" s="267" t="s">
        <v>4347</v>
      </c>
      <c r="D96" s="268" t="s">
        <v>4415</v>
      </c>
      <c r="E96" s="936">
        <v>6667</v>
      </c>
      <c r="F96" s="59">
        <f t="shared" si="0"/>
        <v>3666.8500000000004</v>
      </c>
      <c r="G96" s="62">
        <f t="shared" si="1"/>
        <v>0</v>
      </c>
      <c r="H96" s="60">
        <f t="shared" si="2"/>
        <v>115.02908450000002</v>
      </c>
      <c r="I96" s="61">
        <f t="shared" si="3"/>
        <v>0</v>
      </c>
      <c r="J96" s="60">
        <f t="shared" si="4"/>
        <v>100.47169000000001</v>
      </c>
      <c r="K96" s="61">
        <f t="shared" si="5"/>
        <v>0</v>
      </c>
      <c r="L96" s="60">
        <f t="shared" si="6"/>
        <v>83.604180000000014</v>
      </c>
      <c r="M96" s="60">
        <f t="shared" si="7"/>
        <v>0</v>
      </c>
      <c r="N96" s="60">
        <f t="shared" si="8"/>
        <v>74.803740000000019</v>
      </c>
      <c r="O96" s="60">
        <f t="shared" si="9"/>
        <v>0</v>
      </c>
      <c r="P96" s="938">
        <f t="shared" si="10"/>
        <v>67.836725000000001</v>
      </c>
      <c r="Q96" s="60">
        <f t="shared" si="11"/>
        <v>0</v>
      </c>
      <c r="R96" s="740"/>
    </row>
    <row r="97" spans="1:18" s="413" customFormat="1" ht="13.5" thickBot="1">
      <c r="A97" s="1057"/>
      <c r="B97" s="548"/>
      <c r="C97" s="267" t="s">
        <v>4349</v>
      </c>
      <c r="D97" s="268" t="s">
        <v>4416</v>
      </c>
      <c r="E97" s="936">
        <v>7909</v>
      </c>
      <c r="F97" s="59">
        <f t="shared" ref="F97:F152" si="12">E97*(1-45%)</f>
        <v>4349.9500000000007</v>
      </c>
      <c r="G97" s="62">
        <f t="shared" ref="G97:G152" si="13">F97*B97</f>
        <v>0</v>
      </c>
      <c r="H97" s="60">
        <f t="shared" ref="H97:H152" si="14">F97*0.03137</f>
        <v>136.45793150000003</v>
      </c>
      <c r="I97" s="61">
        <f t="shared" ref="I97:I152" si="15">H97*B97</f>
        <v>0</v>
      </c>
      <c r="J97" s="60">
        <f t="shared" ref="J97:J114" si="16">F97*0.0274</f>
        <v>119.18863000000002</v>
      </c>
      <c r="K97" s="61">
        <f t="shared" ref="K97:K152" si="17">J97*B97</f>
        <v>0</v>
      </c>
      <c r="L97" s="60">
        <f t="shared" ref="L97:L114" si="18">F97*0.0228</f>
        <v>99.178860000000014</v>
      </c>
      <c r="M97" s="60">
        <f t="shared" ref="M97:M152" si="19">L97*B97</f>
        <v>0</v>
      </c>
      <c r="N97" s="60">
        <f t="shared" ref="N97:N152" si="20">F97*0.0204</f>
        <v>88.738980000000026</v>
      </c>
      <c r="O97" s="60">
        <f t="shared" ref="O97:O152" si="21">N97*B97</f>
        <v>0</v>
      </c>
      <c r="P97" s="938">
        <f t="shared" ref="P97:P152" si="22">F97*0.0185</f>
        <v>80.474075000000013</v>
      </c>
      <c r="Q97" s="60">
        <f t="shared" ref="Q97:Q152" si="23">P97*B97</f>
        <v>0</v>
      </c>
      <c r="R97" s="740"/>
    </row>
    <row r="98" spans="1:18" s="413" customFormat="1" ht="13.5" thickBot="1">
      <c r="A98" s="1057"/>
      <c r="B98" s="548"/>
      <c r="C98" s="270" t="s">
        <v>3830</v>
      </c>
      <c r="D98" s="268" t="s">
        <v>4107</v>
      </c>
      <c r="E98" s="936">
        <v>5955.04</v>
      </c>
      <c r="F98" s="59">
        <f t="shared" si="12"/>
        <v>3275.2720000000004</v>
      </c>
      <c r="G98" s="62">
        <f t="shared" si="13"/>
        <v>0</v>
      </c>
      <c r="H98" s="60">
        <f t="shared" si="14"/>
        <v>102.74528264000001</v>
      </c>
      <c r="I98" s="61">
        <f t="shared" si="15"/>
        <v>0</v>
      </c>
      <c r="J98" s="60">
        <f t="shared" si="16"/>
        <v>89.742452800000009</v>
      </c>
      <c r="K98" s="61">
        <f t="shared" si="17"/>
        <v>0</v>
      </c>
      <c r="L98" s="60">
        <f t="shared" si="18"/>
        <v>74.676201600000013</v>
      </c>
      <c r="M98" s="60">
        <f t="shared" si="19"/>
        <v>0</v>
      </c>
      <c r="N98" s="60">
        <f t="shared" si="20"/>
        <v>66.815548800000016</v>
      </c>
      <c r="O98" s="60">
        <f t="shared" si="21"/>
        <v>0</v>
      </c>
      <c r="P98" s="938">
        <f t="shared" si="22"/>
        <v>60.592532000000006</v>
      </c>
      <c r="Q98" s="60">
        <f t="shared" si="23"/>
        <v>0</v>
      </c>
      <c r="R98" s="740"/>
    </row>
    <row r="99" spans="1:18" s="413" customFormat="1" ht="13.5" thickBot="1">
      <c r="A99" s="1057"/>
      <c r="B99" s="548"/>
      <c r="C99" s="267" t="s">
        <v>3738</v>
      </c>
      <c r="D99" s="268" t="s">
        <v>4168</v>
      </c>
      <c r="E99" s="936">
        <v>6756.88</v>
      </c>
      <c r="F99" s="59">
        <f t="shared" si="12"/>
        <v>3716.2840000000006</v>
      </c>
      <c r="G99" s="62">
        <f t="shared" si="13"/>
        <v>0</v>
      </c>
      <c r="H99" s="60">
        <f t="shared" si="14"/>
        <v>116.57982908000002</v>
      </c>
      <c r="I99" s="61">
        <f t="shared" si="15"/>
        <v>0</v>
      </c>
      <c r="J99" s="60">
        <f t="shared" si="16"/>
        <v>101.82618160000001</v>
      </c>
      <c r="K99" s="61">
        <f t="shared" si="17"/>
        <v>0</v>
      </c>
      <c r="L99" s="60">
        <f t="shared" si="18"/>
        <v>84.731275200000013</v>
      </c>
      <c r="M99" s="60">
        <f t="shared" si="19"/>
        <v>0</v>
      </c>
      <c r="N99" s="60">
        <f t="shared" si="20"/>
        <v>75.812193600000015</v>
      </c>
      <c r="O99" s="60">
        <f t="shared" si="21"/>
        <v>0</v>
      </c>
      <c r="P99" s="938">
        <f t="shared" si="22"/>
        <v>68.751254000000003</v>
      </c>
      <c r="Q99" s="60">
        <f t="shared" si="23"/>
        <v>0</v>
      </c>
      <c r="R99" s="740"/>
    </row>
    <row r="100" spans="1:18" s="266" customFormat="1" ht="13.5" thickBot="1">
      <c r="A100" s="1057"/>
      <c r="B100" s="548"/>
      <c r="C100" s="267" t="s">
        <v>4130</v>
      </c>
      <c r="D100" s="268" t="s">
        <v>4182</v>
      </c>
      <c r="E100" s="936">
        <v>23887.5</v>
      </c>
      <c r="F100" s="59">
        <f t="shared" si="12"/>
        <v>13138.125000000002</v>
      </c>
      <c r="G100" s="62">
        <f t="shared" si="13"/>
        <v>0</v>
      </c>
      <c r="H100" s="60">
        <f t="shared" si="14"/>
        <v>412.1429812500001</v>
      </c>
      <c r="I100" s="61">
        <f t="shared" si="15"/>
        <v>0</v>
      </c>
      <c r="J100" s="60">
        <f t="shared" si="16"/>
        <v>359.98462500000005</v>
      </c>
      <c r="K100" s="61">
        <f t="shared" si="17"/>
        <v>0</v>
      </c>
      <c r="L100" s="60">
        <f t="shared" si="18"/>
        <v>299.54925000000003</v>
      </c>
      <c r="M100" s="60">
        <f t="shared" si="19"/>
        <v>0</v>
      </c>
      <c r="N100" s="60">
        <f t="shared" si="20"/>
        <v>268.01775000000004</v>
      </c>
      <c r="O100" s="60">
        <f t="shared" si="21"/>
        <v>0</v>
      </c>
      <c r="P100" s="938">
        <f t="shared" si="22"/>
        <v>243.05531250000001</v>
      </c>
      <c r="Q100" s="60">
        <f t="shared" si="23"/>
        <v>0</v>
      </c>
      <c r="R100" s="740"/>
    </row>
    <row r="101" spans="1:18" s="266" customFormat="1" ht="13.5" thickBot="1">
      <c r="A101" s="1057"/>
      <c r="B101" s="548"/>
      <c r="C101" s="267">
        <v>7723000</v>
      </c>
      <c r="D101" s="268" t="s">
        <v>782</v>
      </c>
      <c r="E101" s="936">
        <v>49337.79</v>
      </c>
      <c r="F101" s="59">
        <f t="shared" si="12"/>
        <v>27135.784500000002</v>
      </c>
      <c r="G101" s="62">
        <f t="shared" si="13"/>
        <v>0</v>
      </c>
      <c r="H101" s="60">
        <f t="shared" si="14"/>
        <v>851.24955976500007</v>
      </c>
      <c r="I101" s="61">
        <f t="shared" si="15"/>
        <v>0</v>
      </c>
      <c r="J101" s="60">
        <f t="shared" si="16"/>
        <v>743.52049530000011</v>
      </c>
      <c r="K101" s="61">
        <f t="shared" si="17"/>
        <v>0</v>
      </c>
      <c r="L101" s="60">
        <f t="shared" si="18"/>
        <v>618.69588660000011</v>
      </c>
      <c r="M101" s="60">
        <f t="shared" si="19"/>
        <v>0</v>
      </c>
      <c r="N101" s="60">
        <f t="shared" si="20"/>
        <v>553.57000380000011</v>
      </c>
      <c r="O101" s="60">
        <f t="shared" si="21"/>
        <v>0</v>
      </c>
      <c r="P101" s="938">
        <f t="shared" si="22"/>
        <v>502.01201325</v>
      </c>
      <c r="Q101" s="60">
        <f t="shared" si="23"/>
        <v>0</v>
      </c>
      <c r="R101" s="740"/>
    </row>
    <row r="102" spans="1:18" s="266" customFormat="1" ht="13.5" thickBot="1">
      <c r="A102" s="1057"/>
      <c r="B102" s="548"/>
      <c r="C102" s="267" t="s">
        <v>574</v>
      </c>
      <c r="D102" s="268" t="s">
        <v>570</v>
      </c>
      <c r="E102" s="936">
        <v>1761.76</v>
      </c>
      <c r="F102" s="59">
        <f t="shared" si="12"/>
        <v>968.96800000000007</v>
      </c>
      <c r="G102" s="62">
        <f t="shared" si="13"/>
        <v>0</v>
      </c>
      <c r="H102" s="60">
        <f t="shared" si="14"/>
        <v>30.396526160000004</v>
      </c>
      <c r="I102" s="61">
        <f t="shared" si="15"/>
        <v>0</v>
      </c>
      <c r="J102" s="60">
        <f t="shared" si="16"/>
        <v>26.549723200000003</v>
      </c>
      <c r="K102" s="61">
        <f t="shared" si="17"/>
        <v>0</v>
      </c>
      <c r="L102" s="60">
        <f t="shared" si="18"/>
        <v>22.092470400000003</v>
      </c>
      <c r="M102" s="60">
        <f t="shared" si="19"/>
        <v>0</v>
      </c>
      <c r="N102" s="60">
        <f t="shared" si="20"/>
        <v>19.766947200000004</v>
      </c>
      <c r="O102" s="60">
        <f t="shared" si="21"/>
        <v>0</v>
      </c>
      <c r="P102" s="938">
        <f t="shared" si="22"/>
        <v>17.925908</v>
      </c>
      <c r="Q102" s="60">
        <f t="shared" si="23"/>
        <v>0</v>
      </c>
      <c r="R102" s="740"/>
    </row>
    <row r="103" spans="1:18" s="266" customFormat="1" ht="13.5" thickBot="1">
      <c r="A103" s="1057"/>
      <c r="B103" s="548"/>
      <c r="C103" s="267" t="s">
        <v>575</v>
      </c>
      <c r="D103" s="268" t="s">
        <v>3962</v>
      </c>
      <c r="E103" s="936">
        <v>12126.4</v>
      </c>
      <c r="F103" s="59">
        <f t="shared" si="12"/>
        <v>6669.52</v>
      </c>
      <c r="G103" s="62">
        <f t="shared" si="13"/>
        <v>0</v>
      </c>
      <c r="H103" s="60">
        <f t="shared" si="14"/>
        <v>209.22284240000002</v>
      </c>
      <c r="I103" s="61">
        <f t="shared" si="15"/>
        <v>0</v>
      </c>
      <c r="J103" s="60">
        <f t="shared" si="16"/>
        <v>182.74484800000002</v>
      </c>
      <c r="K103" s="61">
        <f t="shared" si="17"/>
        <v>0</v>
      </c>
      <c r="L103" s="60">
        <f t="shared" si="18"/>
        <v>152.06505600000003</v>
      </c>
      <c r="M103" s="60">
        <f t="shared" si="19"/>
        <v>0</v>
      </c>
      <c r="N103" s="60">
        <f t="shared" si="20"/>
        <v>136.05820800000001</v>
      </c>
      <c r="O103" s="60">
        <f t="shared" si="21"/>
        <v>0</v>
      </c>
      <c r="P103" s="938">
        <f t="shared" si="22"/>
        <v>123.38612000000001</v>
      </c>
      <c r="Q103" s="60">
        <f t="shared" si="23"/>
        <v>0</v>
      </c>
      <c r="R103" s="740"/>
    </row>
    <row r="104" spans="1:18" s="266" customFormat="1" ht="13.5" thickBot="1">
      <c r="A104" s="1057"/>
      <c r="B104" s="548"/>
      <c r="C104" s="267" t="s">
        <v>576</v>
      </c>
      <c r="D104" s="268" t="s">
        <v>4183</v>
      </c>
      <c r="E104" s="936">
        <v>2668.64</v>
      </c>
      <c r="F104" s="59">
        <f t="shared" si="12"/>
        <v>1467.752</v>
      </c>
      <c r="G104" s="62">
        <f t="shared" si="13"/>
        <v>0</v>
      </c>
      <c r="H104" s="60">
        <f t="shared" si="14"/>
        <v>46.043380240000005</v>
      </c>
      <c r="I104" s="61">
        <f t="shared" si="15"/>
        <v>0</v>
      </c>
      <c r="J104" s="60">
        <f t="shared" si="16"/>
        <v>40.216404799999999</v>
      </c>
      <c r="K104" s="61">
        <f t="shared" si="17"/>
        <v>0</v>
      </c>
      <c r="L104" s="60">
        <f t="shared" si="18"/>
        <v>33.464745600000001</v>
      </c>
      <c r="M104" s="60">
        <f t="shared" si="19"/>
        <v>0</v>
      </c>
      <c r="N104" s="60">
        <f t="shared" si="20"/>
        <v>29.942140800000001</v>
      </c>
      <c r="O104" s="60">
        <f t="shared" si="21"/>
        <v>0</v>
      </c>
      <c r="P104" s="938">
        <f t="shared" si="22"/>
        <v>27.153411999999999</v>
      </c>
      <c r="Q104" s="60">
        <f t="shared" si="23"/>
        <v>0</v>
      </c>
      <c r="R104" s="740"/>
    </row>
    <row r="105" spans="1:18" s="729" customFormat="1" ht="13.5" customHeight="1" thickBot="1">
      <c r="A105" s="1057"/>
      <c r="B105" s="548"/>
      <c r="C105" s="267" t="s">
        <v>4206</v>
      </c>
      <c r="D105" s="268" t="s">
        <v>4207</v>
      </c>
      <c r="E105" s="936">
        <v>5200</v>
      </c>
      <c r="F105" s="59">
        <f t="shared" si="12"/>
        <v>2860.0000000000005</v>
      </c>
      <c r="G105" s="62">
        <f t="shared" si="13"/>
        <v>0</v>
      </c>
      <c r="H105" s="60">
        <f t="shared" si="14"/>
        <v>89.718200000000024</v>
      </c>
      <c r="I105" s="61">
        <f t="shared" si="15"/>
        <v>0</v>
      </c>
      <c r="J105" s="60">
        <f t="shared" si="16"/>
        <v>78.364000000000019</v>
      </c>
      <c r="K105" s="61">
        <f t="shared" si="17"/>
        <v>0</v>
      </c>
      <c r="L105" s="60">
        <f t="shared" si="18"/>
        <v>65.208000000000013</v>
      </c>
      <c r="M105" s="60">
        <f t="shared" si="19"/>
        <v>0</v>
      </c>
      <c r="N105" s="60">
        <f t="shared" si="20"/>
        <v>58.344000000000015</v>
      </c>
      <c r="O105" s="60">
        <f t="shared" si="21"/>
        <v>0</v>
      </c>
      <c r="P105" s="938">
        <f t="shared" si="22"/>
        <v>52.910000000000004</v>
      </c>
      <c r="Q105" s="60">
        <f t="shared" si="23"/>
        <v>0</v>
      </c>
      <c r="R105" s="740"/>
    </row>
    <row r="106" spans="1:18" s="413" customFormat="1" ht="13.5" thickBot="1">
      <c r="A106" s="1057"/>
      <c r="B106" s="548"/>
      <c r="C106" s="267" t="s">
        <v>4204</v>
      </c>
      <c r="D106" s="268" t="s">
        <v>4205</v>
      </c>
      <c r="E106" s="936">
        <v>5200</v>
      </c>
      <c r="F106" s="59">
        <f t="shared" si="12"/>
        <v>2860.0000000000005</v>
      </c>
      <c r="G106" s="62">
        <f t="shared" si="13"/>
        <v>0</v>
      </c>
      <c r="H106" s="60">
        <f t="shared" si="14"/>
        <v>89.718200000000024</v>
      </c>
      <c r="I106" s="61">
        <f t="shared" si="15"/>
        <v>0</v>
      </c>
      <c r="J106" s="60">
        <f t="shared" si="16"/>
        <v>78.364000000000019</v>
      </c>
      <c r="K106" s="61">
        <f t="shared" si="17"/>
        <v>0</v>
      </c>
      <c r="L106" s="60">
        <f t="shared" si="18"/>
        <v>65.208000000000013</v>
      </c>
      <c r="M106" s="60">
        <f t="shared" si="19"/>
        <v>0</v>
      </c>
      <c r="N106" s="60">
        <f t="shared" si="20"/>
        <v>58.344000000000015</v>
      </c>
      <c r="O106" s="60">
        <f t="shared" si="21"/>
        <v>0</v>
      </c>
      <c r="P106" s="938">
        <f t="shared" si="22"/>
        <v>52.910000000000004</v>
      </c>
      <c r="Q106" s="60">
        <f t="shared" si="23"/>
        <v>0</v>
      </c>
      <c r="R106" s="740"/>
    </row>
    <row r="107" spans="1:18" s="413" customFormat="1" ht="30.6" customHeight="1" thickBot="1">
      <c r="A107" s="1057"/>
      <c r="B107" s="548"/>
      <c r="C107" s="917" t="s">
        <v>4210</v>
      </c>
      <c r="D107" s="268" t="s">
        <v>4211</v>
      </c>
      <c r="E107" s="936">
        <v>9995</v>
      </c>
      <c r="F107" s="59">
        <f t="shared" si="12"/>
        <v>5497.25</v>
      </c>
      <c r="G107" s="62">
        <f t="shared" si="13"/>
        <v>0</v>
      </c>
      <c r="H107" s="60">
        <f t="shared" si="14"/>
        <v>172.44873250000001</v>
      </c>
      <c r="I107" s="61">
        <f t="shared" si="15"/>
        <v>0</v>
      </c>
      <c r="J107" s="60">
        <f t="shared" si="16"/>
        <v>150.62465</v>
      </c>
      <c r="K107" s="61">
        <f t="shared" si="17"/>
        <v>0</v>
      </c>
      <c r="L107" s="60">
        <f t="shared" si="18"/>
        <v>125.3373</v>
      </c>
      <c r="M107" s="60">
        <f t="shared" si="19"/>
        <v>0</v>
      </c>
      <c r="N107" s="60">
        <f t="shared" si="20"/>
        <v>112.1439</v>
      </c>
      <c r="O107" s="60">
        <f t="shared" si="21"/>
        <v>0</v>
      </c>
      <c r="P107" s="938">
        <f t="shared" si="22"/>
        <v>101.699125</v>
      </c>
      <c r="Q107" s="60">
        <f t="shared" si="23"/>
        <v>0</v>
      </c>
      <c r="R107" s="740"/>
    </row>
    <row r="108" spans="1:18" s="413" customFormat="1" ht="28.15" customHeight="1" thickBot="1">
      <c r="A108" s="1057"/>
      <c r="B108" s="548"/>
      <c r="C108" s="267" t="s">
        <v>4354</v>
      </c>
      <c r="D108" s="268" t="s">
        <v>4417</v>
      </c>
      <c r="E108" s="936">
        <v>21275</v>
      </c>
      <c r="F108" s="59">
        <f t="shared" si="12"/>
        <v>11701.250000000002</v>
      </c>
      <c r="G108" s="62">
        <f t="shared" si="13"/>
        <v>0</v>
      </c>
      <c r="H108" s="60">
        <f t="shared" si="14"/>
        <v>367.06821250000007</v>
      </c>
      <c r="I108" s="61">
        <f t="shared" si="15"/>
        <v>0</v>
      </c>
      <c r="J108" s="60">
        <f t="shared" si="16"/>
        <v>320.61425000000008</v>
      </c>
      <c r="K108" s="61">
        <f t="shared" si="17"/>
        <v>0</v>
      </c>
      <c r="L108" s="60">
        <f t="shared" si="18"/>
        <v>266.78850000000006</v>
      </c>
      <c r="M108" s="60">
        <f t="shared" si="19"/>
        <v>0</v>
      </c>
      <c r="N108" s="60">
        <f t="shared" si="20"/>
        <v>238.70550000000006</v>
      </c>
      <c r="O108" s="60">
        <f t="shared" si="21"/>
        <v>0</v>
      </c>
      <c r="P108" s="938">
        <f t="shared" si="22"/>
        <v>216.47312500000001</v>
      </c>
      <c r="Q108" s="60">
        <f t="shared" si="23"/>
        <v>0</v>
      </c>
      <c r="R108" s="740"/>
    </row>
    <row r="109" spans="1:18" s="413" customFormat="1" ht="13.5" thickBot="1">
      <c r="A109" s="1057"/>
      <c r="B109" s="548"/>
      <c r="C109" s="933" t="s">
        <v>4123</v>
      </c>
      <c r="D109" s="267" t="s">
        <v>4110</v>
      </c>
      <c r="E109" s="936">
        <v>1784.64</v>
      </c>
      <c r="F109" s="59">
        <f t="shared" si="12"/>
        <v>981.55200000000013</v>
      </c>
      <c r="G109" s="62">
        <f t="shared" si="13"/>
        <v>0</v>
      </c>
      <c r="H109" s="60">
        <f t="shared" si="14"/>
        <v>30.791286240000005</v>
      </c>
      <c r="I109" s="61">
        <f t="shared" si="15"/>
        <v>0</v>
      </c>
      <c r="J109" s="60">
        <f t="shared" si="16"/>
        <v>26.894524800000003</v>
      </c>
      <c r="K109" s="61">
        <f t="shared" si="17"/>
        <v>0</v>
      </c>
      <c r="L109" s="60">
        <f t="shared" si="18"/>
        <v>22.379385600000003</v>
      </c>
      <c r="M109" s="60">
        <f t="shared" si="19"/>
        <v>0</v>
      </c>
      <c r="N109" s="60">
        <f t="shared" si="20"/>
        <v>20.023660800000005</v>
      </c>
      <c r="O109" s="60">
        <f t="shared" si="21"/>
        <v>0</v>
      </c>
      <c r="P109" s="938">
        <f t="shared" si="22"/>
        <v>18.158712000000001</v>
      </c>
      <c r="Q109" s="60">
        <f t="shared" si="23"/>
        <v>0</v>
      </c>
      <c r="R109" s="740"/>
    </row>
    <row r="110" spans="1:18" s="413" customFormat="1" ht="13.5" thickBot="1">
      <c r="A110" s="1057"/>
      <c r="B110" s="548"/>
      <c r="C110" s="933" t="s">
        <v>577</v>
      </c>
      <c r="D110" s="267" t="s">
        <v>571</v>
      </c>
      <c r="E110" s="936">
        <v>20592</v>
      </c>
      <c r="F110" s="59">
        <f t="shared" si="12"/>
        <v>11325.6</v>
      </c>
      <c r="G110" s="62">
        <f t="shared" si="13"/>
        <v>0</v>
      </c>
      <c r="H110" s="60">
        <f t="shared" si="14"/>
        <v>355.28407200000004</v>
      </c>
      <c r="I110" s="61">
        <f t="shared" si="15"/>
        <v>0</v>
      </c>
      <c r="J110" s="60">
        <f t="shared" si="16"/>
        <v>310.32144</v>
      </c>
      <c r="K110" s="61">
        <f t="shared" si="17"/>
        <v>0</v>
      </c>
      <c r="L110" s="60">
        <f t="shared" si="18"/>
        <v>258.22368</v>
      </c>
      <c r="M110" s="60">
        <f t="shared" si="19"/>
        <v>0</v>
      </c>
      <c r="N110" s="60">
        <f t="shared" si="20"/>
        <v>231.04224000000002</v>
      </c>
      <c r="O110" s="60">
        <f t="shared" si="21"/>
        <v>0</v>
      </c>
      <c r="P110" s="938">
        <f t="shared" si="22"/>
        <v>209.52359999999999</v>
      </c>
      <c r="Q110" s="60">
        <f t="shared" si="23"/>
        <v>0</v>
      </c>
      <c r="R110" s="740"/>
    </row>
    <row r="111" spans="1:18" s="413" customFormat="1" ht="13.5" thickBot="1">
      <c r="A111" s="1057"/>
      <c r="B111" s="548"/>
      <c r="C111" s="267" t="s">
        <v>4356</v>
      </c>
      <c r="D111" s="268" t="s">
        <v>4418</v>
      </c>
      <c r="E111" s="936">
        <v>1281.28</v>
      </c>
      <c r="F111" s="59">
        <f t="shared" si="12"/>
        <v>704.70400000000006</v>
      </c>
      <c r="G111" s="62">
        <f t="shared" si="13"/>
        <v>0</v>
      </c>
      <c r="H111" s="60">
        <f t="shared" si="14"/>
        <v>22.106564480000003</v>
      </c>
      <c r="I111" s="61">
        <f t="shared" si="15"/>
        <v>0</v>
      </c>
      <c r="J111" s="60">
        <f t="shared" si="16"/>
        <v>19.308889600000001</v>
      </c>
      <c r="K111" s="61">
        <f t="shared" si="17"/>
        <v>0</v>
      </c>
      <c r="L111" s="60">
        <f t="shared" si="18"/>
        <v>16.067251200000001</v>
      </c>
      <c r="M111" s="60">
        <f t="shared" si="19"/>
        <v>0</v>
      </c>
      <c r="N111" s="60">
        <f t="shared" si="20"/>
        <v>14.375961600000002</v>
      </c>
      <c r="O111" s="60">
        <f t="shared" si="21"/>
        <v>0</v>
      </c>
      <c r="P111" s="938">
        <f t="shared" si="22"/>
        <v>13.037024000000001</v>
      </c>
      <c r="Q111" s="60">
        <f t="shared" si="23"/>
        <v>0</v>
      </c>
      <c r="R111" s="740"/>
    </row>
    <row r="112" spans="1:18" s="266" customFormat="1" ht="13.5" thickBot="1">
      <c r="A112" s="1057"/>
      <c r="B112" s="548"/>
      <c r="C112" s="270" t="s">
        <v>3742</v>
      </c>
      <c r="D112" s="268" t="s">
        <v>3676</v>
      </c>
      <c r="E112" s="936">
        <v>1019.2</v>
      </c>
      <c r="F112" s="59">
        <f t="shared" si="12"/>
        <v>560.56000000000006</v>
      </c>
      <c r="G112" s="62">
        <f t="shared" si="13"/>
        <v>0</v>
      </c>
      <c r="H112" s="60">
        <f t="shared" si="14"/>
        <v>17.584767200000002</v>
      </c>
      <c r="I112" s="61">
        <f t="shared" si="15"/>
        <v>0</v>
      </c>
      <c r="J112" s="60">
        <f t="shared" si="16"/>
        <v>15.359344000000002</v>
      </c>
      <c r="K112" s="61">
        <f t="shared" si="17"/>
        <v>0</v>
      </c>
      <c r="L112" s="60">
        <f t="shared" si="18"/>
        <v>12.780768000000002</v>
      </c>
      <c r="M112" s="60">
        <f t="shared" si="19"/>
        <v>0</v>
      </c>
      <c r="N112" s="60">
        <f t="shared" si="20"/>
        <v>11.435424000000001</v>
      </c>
      <c r="O112" s="60">
        <f t="shared" si="21"/>
        <v>0</v>
      </c>
      <c r="P112" s="938">
        <f t="shared" si="22"/>
        <v>10.37036</v>
      </c>
      <c r="Q112" s="60">
        <f t="shared" si="23"/>
        <v>0</v>
      </c>
      <c r="R112" s="740"/>
    </row>
    <row r="113" spans="1:18" s="266" customFormat="1" ht="13.5" thickBot="1">
      <c r="A113" s="1057"/>
      <c r="B113" s="548"/>
      <c r="C113" s="267" t="s">
        <v>3737</v>
      </c>
      <c r="D113" s="268" t="s">
        <v>3669</v>
      </c>
      <c r="E113" s="936">
        <v>23968.880000000001</v>
      </c>
      <c r="F113" s="59">
        <f t="shared" si="12"/>
        <v>13182.884000000002</v>
      </c>
      <c r="G113" s="62">
        <f t="shared" si="13"/>
        <v>0</v>
      </c>
      <c r="H113" s="60">
        <f t="shared" si="14"/>
        <v>413.54707108000008</v>
      </c>
      <c r="I113" s="61">
        <f t="shared" si="15"/>
        <v>0</v>
      </c>
      <c r="J113" s="60">
        <f t="shared" si="16"/>
        <v>361.21102160000004</v>
      </c>
      <c r="K113" s="61">
        <f t="shared" si="17"/>
        <v>0</v>
      </c>
      <c r="L113" s="60">
        <f t="shared" si="18"/>
        <v>300.56975520000003</v>
      </c>
      <c r="M113" s="60">
        <f t="shared" si="19"/>
        <v>0</v>
      </c>
      <c r="N113" s="60">
        <f t="shared" si="20"/>
        <v>268.93083360000008</v>
      </c>
      <c r="O113" s="60">
        <f t="shared" si="21"/>
        <v>0</v>
      </c>
      <c r="P113" s="938">
        <f t="shared" si="22"/>
        <v>243.88335400000003</v>
      </c>
      <c r="Q113" s="60">
        <f t="shared" si="23"/>
        <v>0</v>
      </c>
      <c r="R113" s="740"/>
    </row>
    <row r="114" spans="1:18" s="413" customFormat="1" ht="13.5" thickBot="1">
      <c r="A114" s="1057"/>
      <c r="B114" s="548"/>
      <c r="C114" s="267" t="s">
        <v>4357</v>
      </c>
      <c r="D114" s="268" t="s">
        <v>4419</v>
      </c>
      <c r="E114" s="936">
        <v>18000</v>
      </c>
      <c r="F114" s="59">
        <f t="shared" si="12"/>
        <v>9900</v>
      </c>
      <c r="G114" s="62">
        <f t="shared" si="13"/>
        <v>0</v>
      </c>
      <c r="H114" s="60">
        <f t="shared" si="14"/>
        <v>310.56300000000005</v>
      </c>
      <c r="I114" s="61">
        <f t="shared" si="15"/>
        <v>0</v>
      </c>
      <c r="J114" s="60">
        <f t="shared" si="16"/>
        <v>271.26</v>
      </c>
      <c r="K114" s="61">
        <f t="shared" si="17"/>
        <v>0</v>
      </c>
      <c r="L114" s="60">
        <f t="shared" si="18"/>
        <v>225.72</v>
      </c>
      <c r="M114" s="60">
        <f t="shared" si="19"/>
        <v>0</v>
      </c>
      <c r="N114" s="60">
        <f t="shared" si="20"/>
        <v>201.96</v>
      </c>
      <c r="O114" s="60">
        <f t="shared" si="21"/>
        <v>0</v>
      </c>
      <c r="P114" s="938">
        <f t="shared" si="22"/>
        <v>183.14999999999998</v>
      </c>
      <c r="Q114" s="60">
        <f t="shared" si="23"/>
        <v>0</v>
      </c>
      <c r="R114" s="740"/>
    </row>
    <row r="115" spans="1:18" s="413" customFormat="1" ht="13.5" thickBot="1">
      <c r="A115" s="1057"/>
      <c r="B115" s="548"/>
      <c r="C115" s="267" t="s">
        <v>56</v>
      </c>
      <c r="D115" s="268" t="s">
        <v>3848</v>
      </c>
      <c r="E115" s="936">
        <v>509.6</v>
      </c>
      <c r="F115" s="59">
        <f t="shared" si="12"/>
        <v>280.28000000000003</v>
      </c>
      <c r="G115" s="62">
        <f t="shared" si="13"/>
        <v>0</v>
      </c>
      <c r="H115" s="60">
        <f t="shared" si="14"/>
        <v>8.7923836000000009</v>
      </c>
      <c r="I115" s="61">
        <f t="shared" si="15"/>
        <v>0</v>
      </c>
      <c r="J115" s="60">
        <f>F115*0.02564</f>
        <v>7.1863792000000011</v>
      </c>
      <c r="K115" s="61">
        <f t="shared" si="17"/>
        <v>0</v>
      </c>
      <c r="L115" s="60">
        <f>F115*0.0256</f>
        <v>7.1751680000000011</v>
      </c>
      <c r="M115" s="60">
        <f t="shared" si="19"/>
        <v>0</v>
      </c>
      <c r="N115" s="60">
        <f t="shared" si="20"/>
        <v>5.7177120000000006</v>
      </c>
      <c r="O115" s="60">
        <f t="shared" si="21"/>
        <v>0</v>
      </c>
      <c r="P115" s="938">
        <f t="shared" si="22"/>
        <v>5.1851799999999999</v>
      </c>
      <c r="Q115" s="60">
        <f t="shared" si="23"/>
        <v>0</v>
      </c>
      <c r="R115" s="740"/>
    </row>
    <row r="116" spans="1:18" s="413" customFormat="1" ht="26.25" thickBot="1">
      <c r="A116" s="1057"/>
      <c r="B116" s="548"/>
      <c r="C116" s="561" t="s">
        <v>578</v>
      </c>
      <c r="D116" s="268" t="s">
        <v>4420</v>
      </c>
      <c r="E116" s="936">
        <v>1630.72</v>
      </c>
      <c r="F116" s="59">
        <f t="shared" si="12"/>
        <v>896.89600000000007</v>
      </c>
      <c r="G116" s="62">
        <f t="shared" si="13"/>
        <v>0</v>
      </c>
      <c r="H116" s="60">
        <f t="shared" si="14"/>
        <v>28.135627520000003</v>
      </c>
      <c r="I116" s="61">
        <f t="shared" si="15"/>
        <v>0</v>
      </c>
      <c r="J116" s="60">
        <f t="shared" ref="J116:J135" si="24">F116*0.0274</f>
        <v>24.574950400000002</v>
      </c>
      <c r="K116" s="61">
        <f t="shared" si="17"/>
        <v>0</v>
      </c>
      <c r="L116" s="60">
        <f t="shared" ref="L116:L152" si="25">F116*0.0228</f>
        <v>20.449228800000004</v>
      </c>
      <c r="M116" s="60">
        <f t="shared" si="19"/>
        <v>0</v>
      </c>
      <c r="N116" s="60">
        <f t="shared" si="20"/>
        <v>18.296678400000001</v>
      </c>
      <c r="O116" s="60">
        <f t="shared" si="21"/>
        <v>0</v>
      </c>
      <c r="P116" s="938">
        <f t="shared" si="22"/>
        <v>16.592576000000001</v>
      </c>
      <c r="Q116" s="60">
        <f t="shared" si="23"/>
        <v>0</v>
      </c>
      <c r="R116" s="740"/>
    </row>
    <row r="117" spans="1:18" s="266" customFormat="1" ht="13.5" thickBot="1">
      <c r="A117" s="1057"/>
      <c r="B117" s="548"/>
      <c r="C117" s="267" t="s">
        <v>3903</v>
      </c>
      <c r="D117" s="268" t="s">
        <v>4173</v>
      </c>
      <c r="E117" s="936">
        <v>3840.72</v>
      </c>
      <c r="F117" s="59">
        <f t="shared" si="12"/>
        <v>2112.3960000000002</v>
      </c>
      <c r="G117" s="62">
        <f t="shared" si="13"/>
        <v>0</v>
      </c>
      <c r="H117" s="60">
        <f t="shared" si="14"/>
        <v>66.265862520000013</v>
      </c>
      <c r="I117" s="61">
        <f t="shared" si="15"/>
        <v>0</v>
      </c>
      <c r="J117" s="60">
        <f t="shared" si="24"/>
        <v>57.87965040000001</v>
      </c>
      <c r="K117" s="61">
        <f t="shared" si="17"/>
        <v>0</v>
      </c>
      <c r="L117" s="60">
        <f t="shared" si="25"/>
        <v>48.162628800000007</v>
      </c>
      <c r="M117" s="60">
        <f t="shared" si="19"/>
        <v>0</v>
      </c>
      <c r="N117" s="60">
        <f t="shared" si="20"/>
        <v>43.092878400000004</v>
      </c>
      <c r="O117" s="60">
        <f t="shared" si="21"/>
        <v>0</v>
      </c>
      <c r="P117" s="938">
        <f t="shared" si="22"/>
        <v>39.079326000000002</v>
      </c>
      <c r="Q117" s="60">
        <f t="shared" si="23"/>
        <v>0</v>
      </c>
      <c r="R117" s="740"/>
    </row>
    <row r="118" spans="1:18" s="266" customFormat="1" ht="13.5" thickBot="1">
      <c r="A118" s="1057"/>
      <c r="B118" s="548"/>
      <c r="C118" s="930" t="s">
        <v>3741</v>
      </c>
      <c r="D118" s="267" t="s">
        <v>4359</v>
      </c>
      <c r="E118" s="936">
        <v>4345.12</v>
      </c>
      <c r="F118" s="59">
        <f t="shared" si="12"/>
        <v>2389.8160000000003</v>
      </c>
      <c r="G118" s="62">
        <f t="shared" si="13"/>
        <v>0</v>
      </c>
      <c r="H118" s="60">
        <f t="shared" si="14"/>
        <v>74.968527920000014</v>
      </c>
      <c r="I118" s="61">
        <f t="shared" si="15"/>
        <v>0</v>
      </c>
      <c r="J118" s="60">
        <f t="shared" si="24"/>
        <v>65.480958400000006</v>
      </c>
      <c r="K118" s="61">
        <f t="shared" si="17"/>
        <v>0</v>
      </c>
      <c r="L118" s="60">
        <f t="shared" si="25"/>
        <v>54.487804800000006</v>
      </c>
      <c r="M118" s="60">
        <f t="shared" si="19"/>
        <v>0</v>
      </c>
      <c r="N118" s="60">
        <f t="shared" si="20"/>
        <v>48.752246400000011</v>
      </c>
      <c r="O118" s="60">
        <f t="shared" si="21"/>
        <v>0</v>
      </c>
      <c r="P118" s="938">
        <f t="shared" si="22"/>
        <v>44.211596</v>
      </c>
      <c r="Q118" s="60">
        <f t="shared" si="23"/>
        <v>0</v>
      </c>
      <c r="R118" s="740"/>
    </row>
    <row r="119" spans="1:18" s="266" customFormat="1" ht="13.5" thickBot="1">
      <c r="A119" s="1057"/>
      <c r="B119" s="548"/>
      <c r="C119" s="933" t="s">
        <v>3730</v>
      </c>
      <c r="D119" s="267" t="s">
        <v>3952</v>
      </c>
      <c r="E119" s="936">
        <v>51294.879999999997</v>
      </c>
      <c r="F119" s="59">
        <f t="shared" si="12"/>
        <v>28212.184000000001</v>
      </c>
      <c r="G119" s="62">
        <f t="shared" si="13"/>
        <v>0</v>
      </c>
      <c r="H119" s="60">
        <f t="shared" si="14"/>
        <v>885.01621208000006</v>
      </c>
      <c r="I119" s="61">
        <f t="shared" si="15"/>
        <v>0</v>
      </c>
      <c r="J119" s="60">
        <f t="shared" si="24"/>
        <v>773.01384160000009</v>
      </c>
      <c r="K119" s="61">
        <f t="shared" si="17"/>
        <v>0</v>
      </c>
      <c r="L119" s="60">
        <f t="shared" si="25"/>
        <v>643.23779520000005</v>
      </c>
      <c r="M119" s="60">
        <f t="shared" si="19"/>
        <v>0</v>
      </c>
      <c r="N119" s="60">
        <f t="shared" si="20"/>
        <v>575.52855360000001</v>
      </c>
      <c r="O119" s="60">
        <f t="shared" si="21"/>
        <v>0</v>
      </c>
      <c r="P119" s="938">
        <f t="shared" si="22"/>
        <v>521.92540399999996</v>
      </c>
      <c r="Q119" s="60">
        <f t="shared" si="23"/>
        <v>0</v>
      </c>
      <c r="R119" s="740"/>
    </row>
    <row r="120" spans="1:18" s="729" customFormat="1" ht="13.5" customHeight="1" thickBot="1">
      <c r="A120" s="1057"/>
      <c r="B120" s="548"/>
      <c r="C120" s="267" t="s">
        <v>3904</v>
      </c>
      <c r="D120" s="268" t="s">
        <v>4174</v>
      </c>
      <c r="E120" s="936">
        <v>6406.4</v>
      </c>
      <c r="F120" s="59">
        <f t="shared" si="12"/>
        <v>3523.52</v>
      </c>
      <c r="G120" s="62">
        <f t="shared" si="13"/>
        <v>0</v>
      </c>
      <c r="H120" s="60">
        <f t="shared" si="14"/>
        <v>110.5328224</v>
      </c>
      <c r="I120" s="61">
        <f t="shared" si="15"/>
        <v>0</v>
      </c>
      <c r="J120" s="60">
        <f t="shared" si="24"/>
        <v>96.544448000000003</v>
      </c>
      <c r="K120" s="61">
        <f t="shared" si="17"/>
        <v>0</v>
      </c>
      <c r="L120" s="60">
        <f t="shared" si="25"/>
        <v>80.336256000000006</v>
      </c>
      <c r="M120" s="60">
        <f t="shared" si="19"/>
        <v>0</v>
      </c>
      <c r="N120" s="60">
        <f t="shared" si="20"/>
        <v>71.879808000000011</v>
      </c>
      <c r="O120" s="60">
        <f t="shared" si="21"/>
        <v>0</v>
      </c>
      <c r="P120" s="938">
        <f t="shared" si="22"/>
        <v>65.185119999999998</v>
      </c>
      <c r="Q120" s="60">
        <f t="shared" si="23"/>
        <v>0</v>
      </c>
      <c r="R120" s="740"/>
    </row>
    <row r="121" spans="1:18" s="413" customFormat="1" ht="13.5" thickBot="1">
      <c r="A121" s="1057"/>
      <c r="B121" s="548"/>
      <c r="C121" s="267" t="s">
        <v>4360</v>
      </c>
      <c r="D121" s="268" t="s">
        <v>4421</v>
      </c>
      <c r="E121" s="936">
        <v>4484.4799999999996</v>
      </c>
      <c r="F121" s="59">
        <f t="shared" si="12"/>
        <v>2466.4639999999999</v>
      </c>
      <c r="G121" s="62">
        <f t="shared" si="13"/>
        <v>0</v>
      </c>
      <c r="H121" s="60">
        <f t="shared" si="14"/>
        <v>77.372975679999996</v>
      </c>
      <c r="I121" s="61">
        <f t="shared" si="15"/>
        <v>0</v>
      </c>
      <c r="J121" s="60">
        <f t="shared" si="24"/>
        <v>67.581113599999995</v>
      </c>
      <c r="K121" s="61">
        <f t="shared" si="17"/>
        <v>0</v>
      </c>
      <c r="L121" s="60">
        <f t="shared" si="25"/>
        <v>56.235379200000004</v>
      </c>
      <c r="M121" s="60">
        <f t="shared" si="19"/>
        <v>0</v>
      </c>
      <c r="N121" s="60">
        <f t="shared" si="20"/>
        <v>50.315865600000002</v>
      </c>
      <c r="O121" s="60">
        <f t="shared" si="21"/>
        <v>0</v>
      </c>
      <c r="P121" s="938">
        <f t="shared" si="22"/>
        <v>45.629583999999994</v>
      </c>
      <c r="Q121" s="60">
        <f t="shared" si="23"/>
        <v>0</v>
      </c>
      <c r="R121" s="740"/>
    </row>
    <row r="122" spans="1:18" s="413" customFormat="1" ht="30.6" customHeight="1" thickBot="1">
      <c r="A122" s="1057"/>
      <c r="B122" s="548"/>
      <c r="C122" s="267" t="s">
        <v>4132</v>
      </c>
      <c r="D122" s="268" t="s">
        <v>4119</v>
      </c>
      <c r="E122" s="936">
        <v>7385.04</v>
      </c>
      <c r="F122" s="59">
        <f t="shared" si="12"/>
        <v>4061.7720000000004</v>
      </c>
      <c r="G122" s="62">
        <f t="shared" si="13"/>
        <v>0</v>
      </c>
      <c r="H122" s="60">
        <f t="shared" si="14"/>
        <v>127.41778764000001</v>
      </c>
      <c r="I122" s="61">
        <f t="shared" si="15"/>
        <v>0</v>
      </c>
      <c r="J122" s="60">
        <f t="shared" si="24"/>
        <v>111.29255280000001</v>
      </c>
      <c r="K122" s="61">
        <f t="shared" si="17"/>
        <v>0</v>
      </c>
      <c r="L122" s="60">
        <f t="shared" si="25"/>
        <v>92.608401600000008</v>
      </c>
      <c r="M122" s="60">
        <f t="shared" si="19"/>
        <v>0</v>
      </c>
      <c r="N122" s="60">
        <f t="shared" si="20"/>
        <v>82.860148800000019</v>
      </c>
      <c r="O122" s="60">
        <f t="shared" si="21"/>
        <v>0</v>
      </c>
      <c r="P122" s="938">
        <f t="shared" si="22"/>
        <v>75.142781999999997</v>
      </c>
      <c r="Q122" s="60">
        <f t="shared" si="23"/>
        <v>0</v>
      </c>
      <c r="R122" s="740"/>
    </row>
    <row r="123" spans="1:18" s="413" customFormat="1" ht="28.15" customHeight="1" thickBot="1">
      <c r="A123" s="1057"/>
      <c r="B123" s="548"/>
      <c r="C123" s="267" t="s">
        <v>4362</v>
      </c>
      <c r="D123" s="268" t="s">
        <v>4363</v>
      </c>
      <c r="E123" s="936">
        <v>12102.48</v>
      </c>
      <c r="F123" s="59">
        <f t="shared" si="12"/>
        <v>6656.3640000000005</v>
      </c>
      <c r="G123" s="62">
        <f t="shared" si="13"/>
        <v>0</v>
      </c>
      <c r="H123" s="60">
        <f t="shared" si="14"/>
        <v>208.81013868000002</v>
      </c>
      <c r="I123" s="61">
        <f t="shared" si="15"/>
        <v>0</v>
      </c>
      <c r="J123" s="60">
        <f t="shared" si="24"/>
        <v>182.38437360000003</v>
      </c>
      <c r="K123" s="61">
        <f t="shared" si="17"/>
        <v>0</v>
      </c>
      <c r="L123" s="60">
        <f t="shared" si="25"/>
        <v>151.76509920000001</v>
      </c>
      <c r="M123" s="60">
        <f t="shared" si="19"/>
        <v>0</v>
      </c>
      <c r="N123" s="60">
        <f t="shared" si="20"/>
        <v>135.78982560000003</v>
      </c>
      <c r="O123" s="60">
        <f t="shared" si="21"/>
        <v>0</v>
      </c>
      <c r="P123" s="938">
        <f t="shared" si="22"/>
        <v>123.142734</v>
      </c>
      <c r="Q123" s="60">
        <f t="shared" si="23"/>
        <v>0</v>
      </c>
      <c r="R123" s="740"/>
    </row>
    <row r="124" spans="1:18" s="413" customFormat="1" ht="13.5" thickBot="1">
      <c r="A124" s="1057"/>
      <c r="B124" s="548"/>
      <c r="C124" s="267" t="s">
        <v>158</v>
      </c>
      <c r="D124" s="268" t="s">
        <v>3845</v>
      </c>
      <c r="E124" s="936">
        <v>1274</v>
      </c>
      <c r="F124" s="59">
        <f t="shared" si="12"/>
        <v>700.7</v>
      </c>
      <c r="G124" s="62">
        <f t="shared" si="13"/>
        <v>0</v>
      </c>
      <c r="H124" s="60">
        <f t="shared" si="14"/>
        <v>21.980959000000002</v>
      </c>
      <c r="I124" s="61">
        <f t="shared" si="15"/>
        <v>0</v>
      </c>
      <c r="J124" s="60">
        <f t="shared" si="24"/>
        <v>19.199180000000002</v>
      </c>
      <c r="K124" s="61">
        <f t="shared" si="17"/>
        <v>0</v>
      </c>
      <c r="L124" s="60">
        <f t="shared" si="25"/>
        <v>15.975960000000002</v>
      </c>
      <c r="M124" s="60">
        <f t="shared" si="19"/>
        <v>0</v>
      </c>
      <c r="N124" s="60">
        <f t="shared" si="20"/>
        <v>14.294280000000002</v>
      </c>
      <c r="O124" s="60">
        <f t="shared" si="21"/>
        <v>0</v>
      </c>
      <c r="P124" s="938">
        <f t="shared" si="22"/>
        <v>12.962950000000001</v>
      </c>
      <c r="Q124" s="60">
        <f t="shared" si="23"/>
        <v>0</v>
      </c>
      <c r="R124" s="740"/>
    </row>
    <row r="125" spans="1:18" s="413" customFormat="1" ht="13.5" thickBot="1">
      <c r="A125" s="1057"/>
      <c r="B125" s="548"/>
      <c r="C125" s="267" t="s">
        <v>3740</v>
      </c>
      <c r="D125" s="268" t="s">
        <v>3851</v>
      </c>
      <c r="E125" s="936">
        <v>955.76</v>
      </c>
      <c r="F125" s="59">
        <f t="shared" si="12"/>
        <v>525.66800000000001</v>
      </c>
      <c r="G125" s="62">
        <f t="shared" si="13"/>
        <v>0</v>
      </c>
      <c r="H125" s="60">
        <f t="shared" si="14"/>
        <v>16.490205160000002</v>
      </c>
      <c r="I125" s="61">
        <f t="shared" si="15"/>
        <v>0</v>
      </c>
      <c r="J125" s="60">
        <f t="shared" si="24"/>
        <v>14.4033032</v>
      </c>
      <c r="K125" s="61">
        <f t="shared" si="17"/>
        <v>0</v>
      </c>
      <c r="L125" s="60">
        <f t="shared" si="25"/>
        <v>11.985230400000001</v>
      </c>
      <c r="M125" s="60">
        <f t="shared" si="19"/>
        <v>0</v>
      </c>
      <c r="N125" s="60">
        <f t="shared" si="20"/>
        <v>10.723627200000001</v>
      </c>
      <c r="O125" s="60">
        <f t="shared" si="21"/>
        <v>0</v>
      </c>
      <c r="P125" s="938">
        <f t="shared" si="22"/>
        <v>9.7248579999999993</v>
      </c>
      <c r="Q125" s="60">
        <f t="shared" si="23"/>
        <v>0</v>
      </c>
      <c r="R125" s="740"/>
    </row>
    <row r="126" spans="1:18" s="413" customFormat="1" ht="13.5" thickBot="1">
      <c r="A126" s="1057"/>
      <c r="B126" s="548"/>
      <c r="C126" s="267" t="s">
        <v>4364</v>
      </c>
      <c r="D126" s="268" t="s">
        <v>4422</v>
      </c>
      <c r="E126" s="936">
        <v>1555.2</v>
      </c>
      <c r="F126" s="59">
        <f t="shared" si="12"/>
        <v>855.36000000000013</v>
      </c>
      <c r="G126" s="62">
        <f t="shared" si="13"/>
        <v>0</v>
      </c>
      <c r="H126" s="60">
        <f t="shared" si="14"/>
        <v>26.832643200000007</v>
      </c>
      <c r="I126" s="61">
        <f t="shared" si="15"/>
        <v>0</v>
      </c>
      <c r="J126" s="60">
        <f t="shared" si="24"/>
        <v>23.436864000000003</v>
      </c>
      <c r="K126" s="61">
        <f t="shared" si="17"/>
        <v>0</v>
      </c>
      <c r="L126" s="60">
        <f t="shared" si="25"/>
        <v>19.502208000000003</v>
      </c>
      <c r="M126" s="60">
        <f t="shared" si="19"/>
        <v>0</v>
      </c>
      <c r="N126" s="60">
        <f t="shared" si="20"/>
        <v>17.449344000000004</v>
      </c>
      <c r="O126" s="60">
        <f t="shared" si="21"/>
        <v>0</v>
      </c>
      <c r="P126" s="938">
        <f t="shared" si="22"/>
        <v>15.824160000000001</v>
      </c>
      <c r="Q126" s="60">
        <f t="shared" si="23"/>
        <v>0</v>
      </c>
      <c r="R126" s="740"/>
    </row>
    <row r="127" spans="1:18" s="266" customFormat="1" ht="13.5" thickBot="1">
      <c r="A127" s="1057"/>
      <c r="B127" s="548"/>
      <c r="C127" s="267" t="s">
        <v>4366</v>
      </c>
      <c r="D127" s="268" t="s">
        <v>4423</v>
      </c>
      <c r="E127" s="936">
        <v>2430</v>
      </c>
      <c r="F127" s="59">
        <f t="shared" si="12"/>
        <v>1336.5</v>
      </c>
      <c r="G127" s="62">
        <f t="shared" si="13"/>
        <v>0</v>
      </c>
      <c r="H127" s="60">
        <f t="shared" si="14"/>
        <v>41.926005000000004</v>
      </c>
      <c r="I127" s="61">
        <f t="shared" si="15"/>
        <v>0</v>
      </c>
      <c r="J127" s="60">
        <f t="shared" si="24"/>
        <v>36.620100000000001</v>
      </c>
      <c r="K127" s="61">
        <f t="shared" si="17"/>
        <v>0</v>
      </c>
      <c r="L127" s="60">
        <f t="shared" si="25"/>
        <v>30.472200000000001</v>
      </c>
      <c r="M127" s="60">
        <f t="shared" si="19"/>
        <v>0</v>
      </c>
      <c r="N127" s="60">
        <f t="shared" si="20"/>
        <v>27.264600000000002</v>
      </c>
      <c r="O127" s="60">
        <f t="shared" si="21"/>
        <v>0</v>
      </c>
      <c r="P127" s="938">
        <f t="shared" si="22"/>
        <v>24.725249999999999</v>
      </c>
      <c r="Q127" s="60">
        <f t="shared" si="23"/>
        <v>0</v>
      </c>
      <c r="R127" s="740"/>
    </row>
    <row r="128" spans="1:18" s="266" customFormat="1" ht="13.5" thickBot="1">
      <c r="A128" s="1057"/>
      <c r="B128" s="548"/>
      <c r="C128" s="267" t="s">
        <v>4368</v>
      </c>
      <c r="D128" s="268" t="s">
        <v>4156</v>
      </c>
      <c r="E128" s="936">
        <v>30094</v>
      </c>
      <c r="F128" s="59">
        <f t="shared" si="12"/>
        <v>16551.7</v>
      </c>
      <c r="G128" s="62">
        <f t="shared" si="13"/>
        <v>0</v>
      </c>
      <c r="H128" s="60">
        <f t="shared" si="14"/>
        <v>519.22682900000007</v>
      </c>
      <c r="I128" s="61">
        <f t="shared" si="15"/>
        <v>0</v>
      </c>
      <c r="J128" s="60">
        <f t="shared" si="24"/>
        <v>453.51658000000003</v>
      </c>
      <c r="K128" s="61">
        <f t="shared" si="17"/>
        <v>0</v>
      </c>
      <c r="L128" s="60">
        <f t="shared" si="25"/>
        <v>377.37876000000006</v>
      </c>
      <c r="M128" s="60">
        <f t="shared" si="19"/>
        <v>0</v>
      </c>
      <c r="N128" s="60">
        <f t="shared" si="20"/>
        <v>337.65468000000004</v>
      </c>
      <c r="O128" s="60">
        <f t="shared" si="21"/>
        <v>0</v>
      </c>
      <c r="P128" s="938">
        <f t="shared" si="22"/>
        <v>306.20645000000002</v>
      </c>
      <c r="Q128" s="60">
        <f t="shared" si="23"/>
        <v>0</v>
      </c>
      <c r="R128" s="740"/>
    </row>
    <row r="129" spans="1:18" s="266" customFormat="1" ht="13.5" thickBot="1">
      <c r="A129" s="1057"/>
      <c r="B129" s="548"/>
      <c r="C129" s="267">
        <v>13200002</v>
      </c>
      <c r="D129" s="268" t="s">
        <v>4154</v>
      </c>
      <c r="E129" s="936">
        <v>642</v>
      </c>
      <c r="F129" s="59">
        <f t="shared" si="12"/>
        <v>353.1</v>
      </c>
      <c r="G129" s="62">
        <f t="shared" si="13"/>
        <v>0</v>
      </c>
      <c r="H129" s="60">
        <f t="shared" si="14"/>
        <v>11.076747000000001</v>
      </c>
      <c r="I129" s="61">
        <f t="shared" si="15"/>
        <v>0</v>
      </c>
      <c r="J129" s="60">
        <f t="shared" si="24"/>
        <v>9.6749400000000012</v>
      </c>
      <c r="K129" s="61">
        <f t="shared" si="17"/>
        <v>0</v>
      </c>
      <c r="L129" s="60">
        <f t="shared" si="25"/>
        <v>8.0506800000000016</v>
      </c>
      <c r="M129" s="60">
        <f t="shared" si="19"/>
        <v>0</v>
      </c>
      <c r="N129" s="60">
        <f t="shared" si="20"/>
        <v>7.203240000000001</v>
      </c>
      <c r="O129" s="60">
        <f t="shared" si="21"/>
        <v>0</v>
      </c>
      <c r="P129" s="938">
        <f t="shared" si="22"/>
        <v>6.5323500000000001</v>
      </c>
      <c r="Q129" s="60">
        <f t="shared" si="23"/>
        <v>0</v>
      </c>
      <c r="R129" s="740"/>
    </row>
    <row r="130" spans="1:18" s="729" customFormat="1" ht="13.5" customHeight="1" thickBot="1">
      <c r="A130" s="1057"/>
      <c r="B130" s="548"/>
      <c r="C130" s="267" t="s">
        <v>4371</v>
      </c>
      <c r="D130" s="268" t="s">
        <v>3918</v>
      </c>
      <c r="E130" s="936">
        <v>7294</v>
      </c>
      <c r="F130" s="59">
        <f t="shared" si="12"/>
        <v>4011.7000000000003</v>
      </c>
      <c r="G130" s="62">
        <f t="shared" si="13"/>
        <v>0</v>
      </c>
      <c r="H130" s="60">
        <f t="shared" si="14"/>
        <v>125.84702900000002</v>
      </c>
      <c r="I130" s="61">
        <f t="shared" si="15"/>
        <v>0</v>
      </c>
      <c r="J130" s="60">
        <f t="shared" si="24"/>
        <v>109.92058000000002</v>
      </c>
      <c r="K130" s="61">
        <f t="shared" si="17"/>
        <v>0</v>
      </c>
      <c r="L130" s="60">
        <f t="shared" si="25"/>
        <v>91.466760000000008</v>
      </c>
      <c r="M130" s="60">
        <f t="shared" si="19"/>
        <v>0</v>
      </c>
      <c r="N130" s="60">
        <f t="shared" si="20"/>
        <v>81.838680000000011</v>
      </c>
      <c r="O130" s="60">
        <f t="shared" si="21"/>
        <v>0</v>
      </c>
      <c r="P130" s="938">
        <f t="shared" si="22"/>
        <v>74.216449999999995</v>
      </c>
      <c r="Q130" s="60">
        <f t="shared" si="23"/>
        <v>0</v>
      </c>
      <c r="R130" s="740"/>
    </row>
    <row r="131" spans="1:18" s="413" customFormat="1" ht="13.5" thickBot="1">
      <c r="A131" s="1057"/>
      <c r="B131" s="548"/>
      <c r="C131" s="267" t="s">
        <v>4373</v>
      </c>
      <c r="D131" s="268" t="s">
        <v>4153</v>
      </c>
      <c r="E131" s="936">
        <v>49417</v>
      </c>
      <c r="F131" s="59">
        <f t="shared" si="12"/>
        <v>27179.350000000002</v>
      </c>
      <c r="G131" s="62">
        <f t="shared" si="13"/>
        <v>0</v>
      </c>
      <c r="H131" s="60">
        <f t="shared" si="14"/>
        <v>852.61620950000008</v>
      </c>
      <c r="I131" s="61">
        <f t="shared" si="15"/>
        <v>0</v>
      </c>
      <c r="J131" s="60">
        <f t="shared" si="24"/>
        <v>744.71419000000003</v>
      </c>
      <c r="K131" s="61">
        <f t="shared" si="17"/>
        <v>0</v>
      </c>
      <c r="L131" s="60">
        <f t="shared" si="25"/>
        <v>619.68918000000008</v>
      </c>
      <c r="M131" s="60">
        <f t="shared" si="19"/>
        <v>0</v>
      </c>
      <c r="N131" s="60">
        <f t="shared" si="20"/>
        <v>554.45874000000003</v>
      </c>
      <c r="O131" s="60">
        <f t="shared" si="21"/>
        <v>0</v>
      </c>
      <c r="P131" s="938">
        <f t="shared" si="22"/>
        <v>502.81797499999999</v>
      </c>
      <c r="Q131" s="60">
        <f t="shared" si="23"/>
        <v>0</v>
      </c>
      <c r="R131" s="740"/>
    </row>
    <row r="132" spans="1:18" s="413" customFormat="1" ht="13.5" thickBot="1">
      <c r="A132" s="1057"/>
      <c r="B132" s="548"/>
      <c r="C132" s="267">
        <v>13207010</v>
      </c>
      <c r="D132" s="268" t="s">
        <v>4155</v>
      </c>
      <c r="E132" s="936">
        <v>25233</v>
      </c>
      <c r="F132" s="59">
        <f t="shared" si="12"/>
        <v>13878.150000000001</v>
      </c>
      <c r="G132" s="62">
        <f t="shared" si="13"/>
        <v>0</v>
      </c>
      <c r="H132" s="60">
        <f t="shared" si="14"/>
        <v>435.35756550000008</v>
      </c>
      <c r="I132" s="61">
        <f t="shared" si="15"/>
        <v>0</v>
      </c>
      <c r="J132" s="60">
        <f t="shared" si="24"/>
        <v>380.26131000000004</v>
      </c>
      <c r="K132" s="61">
        <f t="shared" si="17"/>
        <v>0</v>
      </c>
      <c r="L132" s="60">
        <f t="shared" si="25"/>
        <v>316.42182000000003</v>
      </c>
      <c r="M132" s="60">
        <f t="shared" si="19"/>
        <v>0</v>
      </c>
      <c r="N132" s="60">
        <f t="shared" si="20"/>
        <v>283.11426000000006</v>
      </c>
      <c r="O132" s="60">
        <f t="shared" si="21"/>
        <v>0</v>
      </c>
      <c r="P132" s="938">
        <f t="shared" si="22"/>
        <v>256.74577500000004</v>
      </c>
      <c r="Q132" s="60">
        <f t="shared" si="23"/>
        <v>0</v>
      </c>
      <c r="R132" s="740"/>
    </row>
    <row r="133" spans="1:18" s="266" customFormat="1" ht="13.5" thickBot="1">
      <c r="A133" s="1057"/>
      <c r="B133" s="548"/>
      <c r="C133" s="267">
        <v>13700022</v>
      </c>
      <c r="D133" s="268" t="s">
        <v>4157</v>
      </c>
      <c r="E133" s="936">
        <v>17994</v>
      </c>
      <c r="F133" s="59">
        <f t="shared" si="12"/>
        <v>9896.7000000000007</v>
      </c>
      <c r="G133" s="62">
        <f t="shared" si="13"/>
        <v>0</v>
      </c>
      <c r="H133" s="60">
        <f t="shared" si="14"/>
        <v>310.45947900000004</v>
      </c>
      <c r="I133" s="61">
        <f t="shared" si="15"/>
        <v>0</v>
      </c>
      <c r="J133" s="60">
        <f t="shared" si="24"/>
        <v>271.16958000000005</v>
      </c>
      <c r="K133" s="61">
        <f t="shared" si="17"/>
        <v>0</v>
      </c>
      <c r="L133" s="60">
        <f t="shared" si="25"/>
        <v>225.64476000000002</v>
      </c>
      <c r="M133" s="60">
        <f t="shared" si="19"/>
        <v>0</v>
      </c>
      <c r="N133" s="60">
        <f t="shared" si="20"/>
        <v>201.89268000000004</v>
      </c>
      <c r="O133" s="60">
        <f t="shared" si="21"/>
        <v>0</v>
      </c>
      <c r="P133" s="938">
        <f t="shared" si="22"/>
        <v>183.08895000000001</v>
      </c>
      <c r="Q133" s="60">
        <f t="shared" si="23"/>
        <v>0</v>
      </c>
      <c r="R133" s="740"/>
    </row>
    <row r="134" spans="1:18" s="266" customFormat="1" ht="26.25" thickBot="1">
      <c r="A134" s="1057"/>
      <c r="B134" s="548"/>
      <c r="C134" s="267" t="s">
        <v>159</v>
      </c>
      <c r="D134" s="268" t="s">
        <v>572</v>
      </c>
      <c r="E134" s="936">
        <v>1528.8</v>
      </c>
      <c r="F134" s="59">
        <f t="shared" si="12"/>
        <v>840.84</v>
      </c>
      <c r="G134" s="62">
        <f t="shared" si="13"/>
        <v>0</v>
      </c>
      <c r="H134" s="60">
        <f t="shared" si="14"/>
        <v>26.377150800000003</v>
      </c>
      <c r="I134" s="61">
        <f t="shared" si="15"/>
        <v>0</v>
      </c>
      <c r="J134" s="60">
        <f t="shared" si="24"/>
        <v>23.039016</v>
      </c>
      <c r="K134" s="61">
        <f t="shared" si="17"/>
        <v>0</v>
      </c>
      <c r="L134" s="60">
        <f t="shared" si="25"/>
        <v>19.171152000000003</v>
      </c>
      <c r="M134" s="60">
        <f t="shared" si="19"/>
        <v>0</v>
      </c>
      <c r="N134" s="60">
        <f t="shared" si="20"/>
        <v>17.153136000000003</v>
      </c>
      <c r="O134" s="60">
        <f t="shared" si="21"/>
        <v>0</v>
      </c>
      <c r="P134" s="938">
        <f t="shared" si="22"/>
        <v>15.555540000000001</v>
      </c>
      <c r="Q134" s="60">
        <f t="shared" si="23"/>
        <v>0</v>
      </c>
      <c r="R134" s="740"/>
    </row>
    <row r="135" spans="1:18" s="266" customFormat="1" ht="26.25" thickBot="1">
      <c r="A135" s="1057"/>
      <c r="B135" s="548"/>
      <c r="C135" s="267" t="s">
        <v>4377</v>
      </c>
      <c r="D135" s="268" t="s">
        <v>4378</v>
      </c>
      <c r="E135" s="936">
        <v>3990.48</v>
      </c>
      <c r="F135" s="59">
        <f t="shared" si="12"/>
        <v>2194.7640000000001</v>
      </c>
      <c r="G135" s="62">
        <f t="shared" si="13"/>
        <v>0</v>
      </c>
      <c r="H135" s="60">
        <f t="shared" si="14"/>
        <v>68.84974668000001</v>
      </c>
      <c r="I135" s="61">
        <f t="shared" si="15"/>
        <v>0</v>
      </c>
      <c r="J135" s="60">
        <f t="shared" si="24"/>
        <v>60.136533600000007</v>
      </c>
      <c r="K135" s="61">
        <f t="shared" si="17"/>
        <v>0</v>
      </c>
      <c r="L135" s="60">
        <f t="shared" si="25"/>
        <v>50.040619200000002</v>
      </c>
      <c r="M135" s="60">
        <f t="shared" si="19"/>
        <v>0</v>
      </c>
      <c r="N135" s="60">
        <f t="shared" si="20"/>
        <v>44.773185600000005</v>
      </c>
      <c r="O135" s="60">
        <f t="shared" si="21"/>
        <v>0</v>
      </c>
      <c r="P135" s="938">
        <f t="shared" si="22"/>
        <v>40.603133999999997</v>
      </c>
      <c r="Q135" s="60">
        <f t="shared" si="23"/>
        <v>0</v>
      </c>
      <c r="R135" s="740"/>
    </row>
    <row r="136" spans="1:18" s="266" customFormat="1" ht="13.5" thickBot="1">
      <c r="A136" s="1057"/>
      <c r="B136" s="548"/>
      <c r="C136" s="267" t="s">
        <v>3731</v>
      </c>
      <c r="D136" s="268" t="s">
        <v>126</v>
      </c>
      <c r="E136" s="936">
        <v>4098</v>
      </c>
      <c r="F136" s="59">
        <f t="shared" si="12"/>
        <v>2253.9</v>
      </c>
      <c r="G136" s="62">
        <f t="shared" si="13"/>
        <v>0</v>
      </c>
      <c r="H136" s="60">
        <f t="shared" si="14"/>
        <v>70.704843000000011</v>
      </c>
      <c r="I136" s="61">
        <f t="shared" si="15"/>
        <v>0</v>
      </c>
      <c r="J136" s="60">
        <f>F136*0.02564</f>
        <v>57.789996000000002</v>
      </c>
      <c r="K136" s="61">
        <f t="shared" si="17"/>
        <v>0</v>
      </c>
      <c r="L136" s="60">
        <f t="shared" si="25"/>
        <v>51.388920000000006</v>
      </c>
      <c r="M136" s="60">
        <f t="shared" si="19"/>
        <v>0</v>
      </c>
      <c r="N136" s="60">
        <f t="shared" si="20"/>
        <v>45.979560000000006</v>
      </c>
      <c r="O136" s="60">
        <f t="shared" si="21"/>
        <v>0</v>
      </c>
      <c r="P136" s="938">
        <f t="shared" si="22"/>
        <v>41.697150000000001</v>
      </c>
      <c r="Q136" s="60">
        <f t="shared" si="23"/>
        <v>0</v>
      </c>
      <c r="R136" s="740"/>
    </row>
    <row r="137" spans="1:18" s="266" customFormat="1" ht="13.5" thickBot="1">
      <c r="A137" s="1057"/>
      <c r="B137" s="548"/>
      <c r="C137" s="270" t="s">
        <v>3736</v>
      </c>
      <c r="D137" s="268" t="s">
        <v>3961</v>
      </c>
      <c r="E137" s="936">
        <v>10067.200000000001</v>
      </c>
      <c r="F137" s="59">
        <f t="shared" si="12"/>
        <v>5536.9600000000009</v>
      </c>
      <c r="G137" s="62">
        <f t="shared" si="13"/>
        <v>0</v>
      </c>
      <c r="H137" s="60">
        <f t="shared" si="14"/>
        <v>173.69443520000004</v>
      </c>
      <c r="I137" s="61">
        <f t="shared" si="15"/>
        <v>0</v>
      </c>
      <c r="J137" s="60">
        <f t="shared" ref="J137:J152" si="26">F137*0.0274</f>
        <v>151.71270400000003</v>
      </c>
      <c r="K137" s="61">
        <f t="shared" si="17"/>
        <v>0</v>
      </c>
      <c r="L137" s="60">
        <f t="shared" si="25"/>
        <v>126.24268800000003</v>
      </c>
      <c r="M137" s="60">
        <f t="shared" si="19"/>
        <v>0</v>
      </c>
      <c r="N137" s="60">
        <f t="shared" si="20"/>
        <v>112.95398400000003</v>
      </c>
      <c r="O137" s="60">
        <f t="shared" si="21"/>
        <v>0</v>
      </c>
      <c r="P137" s="938">
        <f t="shared" si="22"/>
        <v>102.43376000000001</v>
      </c>
      <c r="Q137" s="60">
        <f t="shared" si="23"/>
        <v>0</v>
      </c>
      <c r="R137" s="740"/>
    </row>
    <row r="138" spans="1:18" s="266" customFormat="1" ht="13.5" thickBot="1">
      <c r="A138" s="1057"/>
      <c r="B138" s="548"/>
      <c r="C138" s="267" t="s">
        <v>803</v>
      </c>
      <c r="D138" s="268" t="s">
        <v>3673</v>
      </c>
      <c r="E138" s="936">
        <v>5772</v>
      </c>
      <c r="F138" s="59">
        <f t="shared" si="12"/>
        <v>3174.6000000000004</v>
      </c>
      <c r="G138" s="62">
        <f t="shared" si="13"/>
        <v>0</v>
      </c>
      <c r="H138" s="60">
        <f t="shared" si="14"/>
        <v>99.587202000000019</v>
      </c>
      <c r="I138" s="61">
        <f t="shared" si="15"/>
        <v>0</v>
      </c>
      <c r="J138" s="60">
        <f t="shared" si="26"/>
        <v>86.984040000000007</v>
      </c>
      <c r="K138" s="61">
        <f t="shared" si="17"/>
        <v>0</v>
      </c>
      <c r="L138" s="60">
        <f t="shared" si="25"/>
        <v>72.380880000000005</v>
      </c>
      <c r="M138" s="60">
        <f t="shared" si="19"/>
        <v>0</v>
      </c>
      <c r="N138" s="60">
        <f t="shared" si="20"/>
        <v>64.761840000000007</v>
      </c>
      <c r="O138" s="60">
        <f t="shared" si="21"/>
        <v>0</v>
      </c>
      <c r="P138" s="938">
        <f t="shared" si="22"/>
        <v>58.730100000000007</v>
      </c>
      <c r="Q138" s="60">
        <f t="shared" si="23"/>
        <v>0</v>
      </c>
      <c r="R138" s="740"/>
    </row>
    <row r="139" spans="1:18" s="413" customFormat="1" ht="13.5" thickBot="1">
      <c r="A139" s="1057"/>
      <c r="B139" s="548"/>
      <c r="C139" s="930" t="s">
        <v>3729</v>
      </c>
      <c r="D139" s="267" t="s">
        <v>2</v>
      </c>
      <c r="E139" s="936">
        <v>31832.32</v>
      </c>
      <c r="F139" s="59">
        <f t="shared" si="12"/>
        <v>17507.776000000002</v>
      </c>
      <c r="G139" s="62">
        <f t="shared" si="13"/>
        <v>0</v>
      </c>
      <c r="H139" s="60">
        <f t="shared" si="14"/>
        <v>549.21893312000009</v>
      </c>
      <c r="I139" s="61">
        <f t="shared" si="15"/>
        <v>0</v>
      </c>
      <c r="J139" s="60">
        <f t="shared" si="26"/>
        <v>479.71306240000007</v>
      </c>
      <c r="K139" s="61">
        <f t="shared" si="17"/>
        <v>0</v>
      </c>
      <c r="L139" s="60">
        <f t="shared" si="25"/>
        <v>399.17729280000003</v>
      </c>
      <c r="M139" s="60">
        <f t="shared" si="19"/>
        <v>0</v>
      </c>
      <c r="N139" s="60">
        <f t="shared" si="20"/>
        <v>357.15863040000005</v>
      </c>
      <c r="O139" s="60">
        <f t="shared" si="21"/>
        <v>0</v>
      </c>
      <c r="P139" s="938">
        <f t="shared" si="22"/>
        <v>323.89385600000003</v>
      </c>
      <c r="Q139" s="60">
        <f t="shared" si="23"/>
        <v>0</v>
      </c>
      <c r="R139" s="740"/>
    </row>
    <row r="140" spans="1:18" s="413" customFormat="1" ht="13.5" thickBot="1">
      <c r="A140" s="1057"/>
      <c r="B140" s="548"/>
      <c r="C140" s="267" t="s">
        <v>55</v>
      </c>
      <c r="D140" s="268" t="s">
        <v>3847</v>
      </c>
      <c r="E140" s="936">
        <v>2263.04</v>
      </c>
      <c r="F140" s="59">
        <f t="shared" si="12"/>
        <v>1244.672</v>
      </c>
      <c r="G140" s="62">
        <f t="shared" si="13"/>
        <v>0</v>
      </c>
      <c r="H140" s="60">
        <f t="shared" si="14"/>
        <v>39.045360640000006</v>
      </c>
      <c r="I140" s="61">
        <f t="shared" si="15"/>
        <v>0</v>
      </c>
      <c r="J140" s="60">
        <f t="shared" si="26"/>
        <v>34.1040128</v>
      </c>
      <c r="K140" s="61">
        <f t="shared" si="17"/>
        <v>0</v>
      </c>
      <c r="L140" s="60">
        <f t="shared" si="25"/>
        <v>28.378521600000003</v>
      </c>
      <c r="M140" s="60">
        <f t="shared" si="19"/>
        <v>0</v>
      </c>
      <c r="N140" s="60">
        <f t="shared" si="20"/>
        <v>25.391308800000001</v>
      </c>
      <c r="O140" s="60">
        <f t="shared" si="21"/>
        <v>0</v>
      </c>
      <c r="P140" s="938">
        <f t="shared" si="22"/>
        <v>23.026432</v>
      </c>
      <c r="Q140" s="60">
        <f t="shared" si="23"/>
        <v>0</v>
      </c>
      <c r="R140" s="740"/>
    </row>
    <row r="141" spans="1:18" s="413" customFormat="1" ht="13.5" thickBot="1">
      <c r="A141" s="1057"/>
      <c r="B141" s="548"/>
      <c r="C141" s="267" t="s">
        <v>3733</v>
      </c>
      <c r="D141" s="268" t="s">
        <v>4166</v>
      </c>
      <c r="E141" s="936">
        <v>18550.48</v>
      </c>
      <c r="F141" s="59">
        <f t="shared" si="12"/>
        <v>10202.764000000001</v>
      </c>
      <c r="G141" s="62">
        <f t="shared" si="13"/>
        <v>0</v>
      </c>
      <c r="H141" s="60">
        <f t="shared" si="14"/>
        <v>320.06070668000007</v>
      </c>
      <c r="I141" s="61">
        <f t="shared" si="15"/>
        <v>0</v>
      </c>
      <c r="J141" s="60">
        <f t="shared" si="26"/>
        <v>279.55573360000005</v>
      </c>
      <c r="K141" s="61">
        <f t="shared" si="17"/>
        <v>0</v>
      </c>
      <c r="L141" s="60">
        <f t="shared" si="25"/>
        <v>232.62301920000004</v>
      </c>
      <c r="M141" s="60">
        <f t="shared" si="19"/>
        <v>0</v>
      </c>
      <c r="N141" s="60">
        <f t="shared" si="20"/>
        <v>208.13638560000004</v>
      </c>
      <c r="O141" s="60">
        <f t="shared" si="21"/>
        <v>0</v>
      </c>
      <c r="P141" s="938">
        <f t="shared" si="22"/>
        <v>188.75113400000001</v>
      </c>
      <c r="Q141" s="60">
        <f t="shared" si="23"/>
        <v>0</v>
      </c>
      <c r="R141" s="740"/>
    </row>
    <row r="142" spans="1:18" s="413" customFormat="1" ht="13.5" thickBot="1">
      <c r="A142" s="1057"/>
      <c r="B142" s="548"/>
      <c r="C142" s="930" t="s">
        <v>555</v>
      </c>
      <c r="D142" s="267" t="s">
        <v>3959</v>
      </c>
      <c r="E142" s="936">
        <v>18524.48</v>
      </c>
      <c r="F142" s="59">
        <f t="shared" si="12"/>
        <v>10188.464</v>
      </c>
      <c r="G142" s="62">
        <f t="shared" si="13"/>
        <v>0</v>
      </c>
      <c r="H142" s="60">
        <f t="shared" si="14"/>
        <v>319.61211568000004</v>
      </c>
      <c r="I142" s="61">
        <f t="shared" si="15"/>
        <v>0</v>
      </c>
      <c r="J142" s="60">
        <f t="shared" si="26"/>
        <v>279.1639136</v>
      </c>
      <c r="K142" s="61">
        <f t="shared" si="17"/>
        <v>0</v>
      </c>
      <c r="L142" s="60">
        <f t="shared" si="25"/>
        <v>232.29697920000001</v>
      </c>
      <c r="M142" s="60">
        <f t="shared" si="19"/>
        <v>0</v>
      </c>
      <c r="N142" s="60">
        <f t="shared" si="20"/>
        <v>207.84466560000001</v>
      </c>
      <c r="O142" s="60">
        <f t="shared" si="21"/>
        <v>0</v>
      </c>
      <c r="P142" s="938">
        <f t="shared" si="22"/>
        <v>188.48658399999999</v>
      </c>
      <c r="Q142" s="60">
        <f t="shared" si="23"/>
        <v>0</v>
      </c>
      <c r="R142" s="740"/>
    </row>
    <row r="143" spans="1:18" s="413" customFormat="1" ht="13.5" thickBot="1">
      <c r="A143" s="1057"/>
      <c r="B143" s="548"/>
      <c r="C143" s="267" t="s">
        <v>4380</v>
      </c>
      <c r="D143" s="268" t="s">
        <v>4424</v>
      </c>
      <c r="E143" s="936">
        <v>6382</v>
      </c>
      <c r="F143" s="59">
        <f t="shared" si="12"/>
        <v>3510.1000000000004</v>
      </c>
      <c r="G143" s="62">
        <f t="shared" si="13"/>
        <v>0</v>
      </c>
      <c r="H143" s="60">
        <f t="shared" si="14"/>
        <v>110.11183700000002</v>
      </c>
      <c r="I143" s="61">
        <f t="shared" si="15"/>
        <v>0</v>
      </c>
      <c r="J143" s="60">
        <f t="shared" si="26"/>
        <v>96.176740000000009</v>
      </c>
      <c r="K143" s="61">
        <f t="shared" si="17"/>
        <v>0</v>
      </c>
      <c r="L143" s="60">
        <f t="shared" si="25"/>
        <v>80.030280000000005</v>
      </c>
      <c r="M143" s="60">
        <f t="shared" si="19"/>
        <v>0</v>
      </c>
      <c r="N143" s="60">
        <f t="shared" si="20"/>
        <v>71.606040000000007</v>
      </c>
      <c r="O143" s="60">
        <f t="shared" si="21"/>
        <v>0</v>
      </c>
      <c r="P143" s="938">
        <f t="shared" si="22"/>
        <v>64.936850000000007</v>
      </c>
      <c r="Q143" s="60">
        <f t="shared" si="23"/>
        <v>0</v>
      </c>
      <c r="R143" s="740"/>
    </row>
    <row r="144" spans="1:18" s="413" customFormat="1" ht="13.5" thickBot="1">
      <c r="A144" s="1057"/>
      <c r="B144" s="548"/>
      <c r="C144" s="267" t="s">
        <v>556</v>
      </c>
      <c r="D144" s="268" t="s">
        <v>3956</v>
      </c>
      <c r="E144" s="936">
        <v>18120.96</v>
      </c>
      <c r="F144" s="59">
        <f t="shared" si="12"/>
        <v>9966.5280000000002</v>
      </c>
      <c r="G144" s="62">
        <f t="shared" si="13"/>
        <v>0</v>
      </c>
      <c r="H144" s="60">
        <f t="shared" si="14"/>
        <v>312.64998336000002</v>
      </c>
      <c r="I144" s="61">
        <f t="shared" si="15"/>
        <v>0</v>
      </c>
      <c r="J144" s="60">
        <f t="shared" si="26"/>
        <v>273.08286720000001</v>
      </c>
      <c r="K144" s="61">
        <f t="shared" si="17"/>
        <v>0</v>
      </c>
      <c r="L144" s="60">
        <f t="shared" si="25"/>
        <v>227.23683840000001</v>
      </c>
      <c r="M144" s="60">
        <f t="shared" si="19"/>
        <v>0</v>
      </c>
      <c r="N144" s="60">
        <f t="shared" si="20"/>
        <v>203.31717120000002</v>
      </c>
      <c r="O144" s="60">
        <f t="shared" si="21"/>
        <v>0</v>
      </c>
      <c r="P144" s="938">
        <f t="shared" si="22"/>
        <v>184.38076799999999</v>
      </c>
      <c r="Q144" s="60">
        <f t="shared" si="23"/>
        <v>0</v>
      </c>
      <c r="R144" s="740"/>
    </row>
    <row r="145" spans="1:18" s="413" customFormat="1" ht="13.5" thickBot="1">
      <c r="A145" s="1057"/>
      <c r="B145" s="548"/>
      <c r="C145" s="267" t="s">
        <v>3744</v>
      </c>
      <c r="D145" s="560" t="s">
        <v>3969</v>
      </c>
      <c r="E145" s="936">
        <v>5657.6</v>
      </c>
      <c r="F145" s="59">
        <f t="shared" si="12"/>
        <v>3111.6800000000003</v>
      </c>
      <c r="G145" s="62">
        <f t="shared" si="13"/>
        <v>0</v>
      </c>
      <c r="H145" s="60">
        <f t="shared" si="14"/>
        <v>97.613401600000017</v>
      </c>
      <c r="I145" s="61">
        <f t="shared" si="15"/>
        <v>0</v>
      </c>
      <c r="J145" s="60">
        <f t="shared" si="26"/>
        <v>85.26003200000001</v>
      </c>
      <c r="K145" s="61">
        <f t="shared" si="17"/>
        <v>0</v>
      </c>
      <c r="L145" s="60">
        <f t="shared" si="25"/>
        <v>70.946304000000012</v>
      </c>
      <c r="M145" s="60">
        <f t="shared" si="19"/>
        <v>0</v>
      </c>
      <c r="N145" s="60">
        <f t="shared" si="20"/>
        <v>63.478272000000011</v>
      </c>
      <c r="O145" s="60">
        <f t="shared" si="21"/>
        <v>0</v>
      </c>
      <c r="P145" s="938">
        <f t="shared" si="22"/>
        <v>57.566079999999999</v>
      </c>
      <c r="Q145" s="60">
        <f t="shared" si="23"/>
        <v>0</v>
      </c>
      <c r="R145" s="740"/>
    </row>
    <row r="146" spans="1:18" s="729" customFormat="1" ht="13.5" thickBot="1">
      <c r="A146" s="1057"/>
      <c r="B146" s="548"/>
      <c r="C146" s="267" t="s">
        <v>4382</v>
      </c>
      <c r="D146" s="268" t="s">
        <v>4425</v>
      </c>
      <c r="E146" s="936">
        <v>32976.32</v>
      </c>
      <c r="F146" s="59">
        <f t="shared" si="12"/>
        <v>18136.976000000002</v>
      </c>
      <c r="G146" s="62">
        <f t="shared" si="13"/>
        <v>0</v>
      </c>
      <c r="H146" s="60">
        <f t="shared" si="14"/>
        <v>568.95693712000013</v>
      </c>
      <c r="I146" s="61">
        <f t="shared" si="15"/>
        <v>0</v>
      </c>
      <c r="J146" s="60">
        <f t="shared" si="26"/>
        <v>496.9531424000001</v>
      </c>
      <c r="K146" s="61">
        <f t="shared" si="17"/>
        <v>0</v>
      </c>
      <c r="L146" s="60">
        <f t="shared" si="25"/>
        <v>413.52305280000007</v>
      </c>
      <c r="M146" s="60">
        <f t="shared" si="19"/>
        <v>0</v>
      </c>
      <c r="N146" s="60">
        <f t="shared" si="20"/>
        <v>369.99431040000007</v>
      </c>
      <c r="O146" s="60">
        <f t="shared" si="21"/>
        <v>0</v>
      </c>
      <c r="P146" s="938">
        <f t="shared" si="22"/>
        <v>335.53405600000002</v>
      </c>
      <c r="Q146" s="60">
        <f t="shared" si="23"/>
        <v>0</v>
      </c>
      <c r="R146" s="740"/>
    </row>
    <row r="147" spans="1:18" s="413" customFormat="1" ht="13.5" thickBot="1">
      <c r="A147" s="1057"/>
      <c r="B147" s="548"/>
      <c r="C147" s="267" t="s">
        <v>4383</v>
      </c>
      <c r="D147" s="268" t="s">
        <v>4384</v>
      </c>
      <c r="E147" s="936">
        <v>586.55999999999995</v>
      </c>
      <c r="F147" s="59">
        <f t="shared" si="12"/>
        <v>322.608</v>
      </c>
      <c r="G147" s="62">
        <f t="shared" si="13"/>
        <v>0</v>
      </c>
      <c r="H147" s="60">
        <f t="shared" si="14"/>
        <v>10.12021296</v>
      </c>
      <c r="I147" s="61">
        <f t="shared" si="15"/>
        <v>0</v>
      </c>
      <c r="J147" s="60">
        <f t="shared" si="26"/>
        <v>8.8394592000000003</v>
      </c>
      <c r="K147" s="61">
        <f t="shared" si="17"/>
        <v>0</v>
      </c>
      <c r="L147" s="60">
        <f t="shared" si="25"/>
        <v>7.3554624000000004</v>
      </c>
      <c r="M147" s="60">
        <f t="shared" si="19"/>
        <v>0</v>
      </c>
      <c r="N147" s="60">
        <f t="shared" si="20"/>
        <v>6.5812032000000009</v>
      </c>
      <c r="O147" s="60">
        <f t="shared" si="21"/>
        <v>0</v>
      </c>
      <c r="P147" s="938">
        <f t="shared" si="22"/>
        <v>5.968248</v>
      </c>
      <c r="Q147" s="60">
        <f t="shared" si="23"/>
        <v>0</v>
      </c>
      <c r="R147" s="740"/>
    </row>
    <row r="148" spans="1:18" s="413" customFormat="1" ht="13.5" thickBot="1">
      <c r="A148" s="1057"/>
      <c r="B148" s="548"/>
      <c r="C148" s="267" t="s">
        <v>805</v>
      </c>
      <c r="D148" s="268" t="s">
        <v>3672</v>
      </c>
      <c r="E148" s="936">
        <v>9375.6</v>
      </c>
      <c r="F148" s="59">
        <f t="shared" si="12"/>
        <v>5156.5800000000008</v>
      </c>
      <c r="G148" s="62">
        <f t="shared" si="13"/>
        <v>0</v>
      </c>
      <c r="H148" s="60">
        <f t="shared" si="14"/>
        <v>161.76191460000004</v>
      </c>
      <c r="I148" s="61">
        <f t="shared" si="15"/>
        <v>0</v>
      </c>
      <c r="J148" s="60">
        <f t="shared" si="26"/>
        <v>141.29029200000002</v>
      </c>
      <c r="K148" s="61">
        <f t="shared" si="17"/>
        <v>0</v>
      </c>
      <c r="L148" s="60">
        <f t="shared" si="25"/>
        <v>117.57002400000002</v>
      </c>
      <c r="M148" s="60">
        <f t="shared" si="19"/>
        <v>0</v>
      </c>
      <c r="N148" s="60">
        <f t="shared" si="20"/>
        <v>105.19423200000003</v>
      </c>
      <c r="O148" s="60">
        <f t="shared" si="21"/>
        <v>0</v>
      </c>
      <c r="P148" s="938">
        <f t="shared" si="22"/>
        <v>95.396730000000005</v>
      </c>
      <c r="Q148" s="60">
        <f t="shared" si="23"/>
        <v>0</v>
      </c>
      <c r="R148" s="740"/>
    </row>
    <row r="149" spans="1:18" s="413" customFormat="1" ht="13.5" thickBot="1">
      <c r="A149" s="1057"/>
      <c r="B149" s="548"/>
      <c r="C149" s="267" t="s">
        <v>3906</v>
      </c>
      <c r="D149" s="268" t="s">
        <v>3977</v>
      </c>
      <c r="E149" s="936">
        <v>4461.6000000000004</v>
      </c>
      <c r="F149" s="59">
        <f t="shared" si="12"/>
        <v>2453.8800000000006</v>
      </c>
      <c r="G149" s="62">
        <f t="shared" si="13"/>
        <v>0</v>
      </c>
      <c r="H149" s="60">
        <f t="shared" si="14"/>
        <v>76.978215600000027</v>
      </c>
      <c r="I149" s="61">
        <f t="shared" si="15"/>
        <v>0</v>
      </c>
      <c r="J149" s="60">
        <f t="shared" si="26"/>
        <v>67.236312000000012</v>
      </c>
      <c r="K149" s="61">
        <f t="shared" si="17"/>
        <v>0</v>
      </c>
      <c r="L149" s="60">
        <f t="shared" si="25"/>
        <v>55.948464000000016</v>
      </c>
      <c r="M149" s="60">
        <f t="shared" si="19"/>
        <v>0</v>
      </c>
      <c r="N149" s="60">
        <f t="shared" si="20"/>
        <v>50.059152000000012</v>
      </c>
      <c r="O149" s="60">
        <f t="shared" si="21"/>
        <v>0</v>
      </c>
      <c r="P149" s="938">
        <f t="shared" si="22"/>
        <v>45.396780000000007</v>
      </c>
      <c r="Q149" s="60">
        <f t="shared" si="23"/>
        <v>0</v>
      </c>
      <c r="R149" s="740"/>
    </row>
    <row r="150" spans="1:18" s="413" customFormat="1" ht="13.5" thickBot="1">
      <c r="A150" s="1057"/>
      <c r="B150" s="548"/>
      <c r="C150" s="267" t="s">
        <v>3907</v>
      </c>
      <c r="D150" s="268" t="s">
        <v>3978</v>
      </c>
      <c r="E150" s="936">
        <v>20809.36</v>
      </c>
      <c r="F150" s="59">
        <f t="shared" si="12"/>
        <v>11445.148000000001</v>
      </c>
      <c r="G150" s="62">
        <f t="shared" si="13"/>
        <v>0</v>
      </c>
      <c r="H150" s="60">
        <f t="shared" si="14"/>
        <v>359.03429276000003</v>
      </c>
      <c r="I150" s="61">
        <f t="shared" si="15"/>
        <v>0</v>
      </c>
      <c r="J150" s="60">
        <f t="shared" si="26"/>
        <v>313.59705520000006</v>
      </c>
      <c r="K150" s="61">
        <f t="shared" si="17"/>
        <v>0</v>
      </c>
      <c r="L150" s="60">
        <f t="shared" si="25"/>
        <v>260.94937440000001</v>
      </c>
      <c r="M150" s="60">
        <f t="shared" si="19"/>
        <v>0</v>
      </c>
      <c r="N150" s="60">
        <f t="shared" si="20"/>
        <v>233.48101920000005</v>
      </c>
      <c r="O150" s="60">
        <f t="shared" si="21"/>
        <v>0</v>
      </c>
      <c r="P150" s="938">
        <f t="shared" si="22"/>
        <v>211.73523800000001</v>
      </c>
      <c r="Q150" s="60">
        <f t="shared" si="23"/>
        <v>0</v>
      </c>
      <c r="R150" s="740"/>
    </row>
    <row r="151" spans="1:18" s="729" customFormat="1" ht="13.5" thickBot="1">
      <c r="A151" s="1057"/>
      <c r="B151" s="548"/>
      <c r="C151" s="267" t="s">
        <v>4386</v>
      </c>
      <c r="D151" s="268" t="s">
        <v>4387</v>
      </c>
      <c r="E151" s="936">
        <v>1372.8</v>
      </c>
      <c r="F151" s="59">
        <f t="shared" si="12"/>
        <v>755.04000000000008</v>
      </c>
      <c r="G151" s="62">
        <f t="shared" si="13"/>
        <v>0</v>
      </c>
      <c r="H151" s="60">
        <f t="shared" si="14"/>
        <v>23.685604800000004</v>
      </c>
      <c r="I151" s="61">
        <f t="shared" si="15"/>
        <v>0</v>
      </c>
      <c r="J151" s="60">
        <f t="shared" si="26"/>
        <v>20.688096000000002</v>
      </c>
      <c r="K151" s="61">
        <f t="shared" si="17"/>
        <v>0</v>
      </c>
      <c r="L151" s="60">
        <f t="shared" si="25"/>
        <v>17.214912000000002</v>
      </c>
      <c r="M151" s="60">
        <f t="shared" si="19"/>
        <v>0</v>
      </c>
      <c r="N151" s="60">
        <f t="shared" si="20"/>
        <v>15.402816000000003</v>
      </c>
      <c r="O151" s="60">
        <f t="shared" si="21"/>
        <v>0</v>
      </c>
      <c r="P151" s="938">
        <f t="shared" si="22"/>
        <v>13.968240000000002</v>
      </c>
      <c r="Q151" s="60">
        <f t="shared" si="23"/>
        <v>0</v>
      </c>
      <c r="R151" s="740"/>
    </row>
    <row r="152" spans="1:18" s="413" customFormat="1" ht="13.5" thickBot="1">
      <c r="A152" s="1058"/>
      <c r="B152" s="935"/>
      <c r="C152" s="267" t="s">
        <v>4388</v>
      </c>
      <c r="D152" s="268" t="s">
        <v>4389</v>
      </c>
      <c r="E152" s="936">
        <v>1081.5999999999999</v>
      </c>
      <c r="F152" s="59">
        <f t="shared" si="12"/>
        <v>594.88</v>
      </c>
      <c r="G152" s="62">
        <f t="shared" si="13"/>
        <v>0</v>
      </c>
      <c r="H152" s="60">
        <f t="shared" si="14"/>
        <v>18.661385600000003</v>
      </c>
      <c r="I152" s="61">
        <f t="shared" si="15"/>
        <v>0</v>
      </c>
      <c r="J152" s="60">
        <f t="shared" si="26"/>
        <v>16.299712</v>
      </c>
      <c r="K152" s="61">
        <f t="shared" si="17"/>
        <v>0</v>
      </c>
      <c r="L152" s="60">
        <f t="shared" si="25"/>
        <v>13.563264</v>
      </c>
      <c r="M152" s="60">
        <f t="shared" si="19"/>
        <v>0</v>
      </c>
      <c r="N152" s="60">
        <f t="shared" si="20"/>
        <v>12.135552000000001</v>
      </c>
      <c r="O152" s="60">
        <f t="shared" si="21"/>
        <v>0</v>
      </c>
      <c r="P152" s="938">
        <f t="shared" si="22"/>
        <v>11.005279999999999</v>
      </c>
      <c r="Q152" s="60">
        <f t="shared" si="23"/>
        <v>0</v>
      </c>
      <c r="R152" s="740"/>
    </row>
    <row r="153" spans="1:18" s="413" customFormat="1" ht="15">
      <c r="A153" s="729"/>
      <c r="B153" s="380"/>
      <c r="C153" s="380"/>
      <c r="D153" s="1200" t="s">
        <v>183</v>
      </c>
      <c r="E153" s="1060"/>
      <c r="F153" s="1060"/>
      <c r="G153" s="730">
        <f>SUM(G33:G152)+G30</f>
        <v>0</v>
      </c>
      <c r="H153" s="451" t="s">
        <v>185</v>
      </c>
      <c r="I153" s="730">
        <f>SUM(I33:I152)+I30</f>
        <v>0</v>
      </c>
      <c r="J153" s="451" t="s">
        <v>186</v>
      </c>
      <c r="K153" s="730">
        <f>SUM(K33:K152)+K30</f>
        <v>0</v>
      </c>
      <c r="L153" s="451" t="s">
        <v>187</v>
      </c>
      <c r="M153" s="730">
        <f>SUM(M33:M152)+M30</f>
        <v>0</v>
      </c>
      <c r="N153" s="451" t="s">
        <v>94</v>
      </c>
      <c r="O153" s="730">
        <f>SUM(O33:O152)+O30</f>
        <v>0</v>
      </c>
      <c r="P153" s="451" t="s">
        <v>826</v>
      </c>
      <c r="Q153" s="730">
        <f>SUM(Q33:Q152)+Q30</f>
        <v>0</v>
      </c>
    </row>
    <row r="154" spans="1:18" s="413" customFormat="1">
      <c r="A154" s="437"/>
      <c r="B154" s="378"/>
      <c r="C154" s="378"/>
      <c r="D154" s="437"/>
      <c r="E154" s="437"/>
      <c r="F154" s="626"/>
      <c r="G154" s="626"/>
      <c r="H154" s="437"/>
      <c r="I154" s="437"/>
      <c r="J154" s="437"/>
      <c r="K154" s="437"/>
      <c r="L154" s="437"/>
      <c r="M154" s="939">
        <v>1312.5</v>
      </c>
      <c r="N154" s="437"/>
      <c r="O154" s="437"/>
      <c r="P154" s="437"/>
      <c r="Q154" s="437"/>
    </row>
    <row r="155" spans="1:18" s="413" customFormat="1" ht="15.75">
      <c r="A155" s="378"/>
      <c r="B155" s="731"/>
      <c r="C155" s="731"/>
      <c r="D155" s="732"/>
      <c r="E155" s="732"/>
      <c r="F155" s="733"/>
      <c r="G155" s="455"/>
      <c r="H155" s="378"/>
      <c r="I155" s="378"/>
      <c r="J155" s="378"/>
      <c r="K155" s="378"/>
      <c r="L155" s="378"/>
      <c r="M155" s="816">
        <f>SUM(M33:M154)</f>
        <v>1312.5</v>
      </c>
      <c r="N155" s="378"/>
      <c r="O155" s="378"/>
      <c r="P155" s="378"/>
      <c r="Q155" s="378"/>
    </row>
    <row r="156" spans="1:18" s="729" customFormat="1">
      <c r="A156" s="378"/>
      <c r="B156" s="378"/>
      <c r="C156" s="378"/>
      <c r="D156" s="378"/>
      <c r="E156" s="378"/>
      <c r="F156" s="733"/>
      <c r="G156" s="455"/>
      <c r="H156" s="378"/>
      <c r="I156" s="378"/>
      <c r="J156" s="378"/>
      <c r="K156" s="378"/>
      <c r="L156" s="378"/>
      <c r="M156" s="378"/>
      <c r="N156" s="378"/>
      <c r="O156" s="378"/>
      <c r="P156" s="378"/>
      <c r="Q156" s="378"/>
    </row>
    <row r="157" spans="1:18" s="729" customFormat="1">
      <c r="A157" s="378"/>
      <c r="B157" s="378"/>
      <c r="C157" s="378"/>
      <c r="D157" s="378"/>
      <c r="E157" s="378"/>
      <c r="F157" s="455"/>
      <c r="G157" s="455"/>
      <c r="H157" s="378"/>
      <c r="I157" s="378"/>
      <c r="J157" s="378"/>
      <c r="K157" s="378"/>
      <c r="L157" s="378"/>
      <c r="M157" s="378"/>
      <c r="N157" s="378"/>
      <c r="O157" s="378"/>
      <c r="P157" s="378"/>
      <c r="Q157" s="378"/>
    </row>
    <row r="158" spans="1:18" s="734" customFormat="1" hidden="1">
      <c r="A158" s="378"/>
      <c r="B158" s="378"/>
      <c r="C158" s="378"/>
      <c r="D158" s="378"/>
      <c r="E158" s="378"/>
      <c r="F158" s="455"/>
      <c r="G158" s="455"/>
      <c r="H158" s="378"/>
      <c r="I158" s="378"/>
      <c r="J158" s="378"/>
      <c r="K158" s="378"/>
      <c r="L158" s="378"/>
      <c r="M158" s="378"/>
      <c r="N158" s="378"/>
      <c r="O158" s="378"/>
      <c r="P158" s="378"/>
      <c r="Q158" s="378"/>
    </row>
    <row r="159" spans="1:18" s="729" customFormat="1">
      <c r="A159" s="378"/>
      <c r="B159" s="378"/>
      <c r="C159" s="378"/>
      <c r="D159" s="378"/>
      <c r="E159" s="378"/>
      <c r="F159" s="455"/>
      <c r="G159" s="455"/>
      <c r="H159" s="378"/>
      <c r="I159" s="378"/>
      <c r="J159" s="378"/>
      <c r="K159" s="378"/>
      <c r="L159" s="378"/>
      <c r="M159" s="378"/>
      <c r="N159" s="378"/>
      <c r="O159" s="378"/>
      <c r="P159" s="378"/>
      <c r="Q159" s="378"/>
    </row>
    <row r="160" spans="1:18" s="437" customFormat="1">
      <c r="A160" s="378"/>
      <c r="B160" s="378"/>
      <c r="C160" s="378"/>
      <c r="D160" s="378"/>
      <c r="E160" s="378"/>
      <c r="F160" s="455"/>
      <c r="G160" s="455"/>
      <c r="H160" s="378"/>
      <c r="I160" s="378"/>
      <c r="J160" s="378"/>
      <c r="K160" s="378"/>
      <c r="L160" s="378"/>
      <c r="M160" s="378"/>
      <c r="N160" s="378"/>
      <c r="O160" s="378"/>
      <c r="P160" s="378"/>
      <c r="Q160" s="378"/>
    </row>
    <row r="173" spans="2:3">
      <c r="B173" s="380"/>
      <c r="C173" s="380"/>
    </row>
  </sheetData>
  <mergeCells count="19">
    <mergeCell ref="A32:Q32"/>
    <mergeCell ref="A33:A152"/>
    <mergeCell ref="D153:F153"/>
    <mergeCell ref="F28:G28"/>
    <mergeCell ref="H28:Q28"/>
    <mergeCell ref="A30:A31"/>
    <mergeCell ref="B30:B31"/>
    <mergeCell ref="G30:G31"/>
    <mergeCell ref="I30:I31"/>
    <mergeCell ref="K30:K31"/>
    <mergeCell ref="M30:M31"/>
    <mergeCell ref="O30:O31"/>
    <mergeCell ref="Q30:Q31"/>
    <mergeCell ref="A26:Q26"/>
    <mergeCell ref="A4:O4"/>
    <mergeCell ref="A5:O5"/>
    <mergeCell ref="H8:J8"/>
    <mergeCell ref="D20:D21"/>
    <mergeCell ref="A25:Q25"/>
  </mergeCells>
  <pageMargins left="0.52" right="0.19" top="0.47" bottom="0.43" header="0.3" footer="0.22"/>
  <pageSetup scale="36" firstPageNumber="6" orientation="landscape" useFirstPageNumber="1" r:id="rId1"/>
  <headerFooter alignWithMargins="0">
    <oddHeader>&amp;L&amp;"Arial,Bold"VITA CONTRACT #: VA-191121-VBS</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1">
    <tabColor indexed="62"/>
  </sheetPr>
  <dimension ref="A1:S192"/>
  <sheetViews>
    <sheetView topLeftCell="D12" zoomScale="79" zoomScaleNormal="79" workbookViewId="0">
      <selection activeCell="N32" sqref="N32"/>
    </sheetView>
  </sheetViews>
  <sheetFormatPr defaultColWidth="8.85546875" defaultRowHeight="15.75"/>
  <cols>
    <col min="1" max="1" width="14" style="178" customWidth="1"/>
    <col min="2" max="2" width="8.7109375" style="178" customWidth="1"/>
    <col min="3" max="3" width="20.140625" style="178" customWidth="1"/>
    <col min="4" max="4" width="51" style="178" customWidth="1"/>
    <col min="5" max="5" width="17" style="178" customWidth="1"/>
    <col min="6" max="6" width="18.28515625" style="455" customWidth="1"/>
    <col min="7" max="7" width="16" style="455" customWidth="1"/>
    <col min="8" max="8" width="21.28515625" style="178" customWidth="1"/>
    <col min="9" max="9" width="25.5703125" style="178" customWidth="1"/>
    <col min="10" max="10" width="20.5703125" style="178" customWidth="1"/>
    <col min="11" max="11" width="21.140625" style="178" customWidth="1"/>
    <col min="12" max="12" width="20" style="178" customWidth="1"/>
    <col min="13" max="13" width="19" style="178" customWidth="1"/>
    <col min="14" max="14" width="19.5703125" style="178" customWidth="1"/>
    <col min="15" max="15" width="19.140625" style="178" customWidth="1"/>
    <col min="16" max="16" width="19.5703125" style="178" customWidth="1"/>
    <col min="17" max="17" width="19.140625" style="178" customWidth="1"/>
    <col min="18" max="18" width="12.42578125" style="178" customWidth="1"/>
    <col min="19" max="16384" width="8.85546875" style="178"/>
  </cols>
  <sheetData>
    <row r="1" spans="1:17" ht="16.5" thickBot="1">
      <c r="B1" s="179"/>
      <c r="C1" s="179"/>
      <c r="D1" s="180"/>
      <c r="E1" s="180"/>
      <c r="F1" s="181"/>
      <c r="G1" s="181"/>
      <c r="H1" s="181"/>
      <c r="I1" s="181"/>
      <c r="J1" s="181"/>
      <c r="K1" s="180"/>
      <c r="L1" s="181"/>
    </row>
    <row r="2" spans="1:17" ht="9" customHeight="1">
      <c r="A2" s="182"/>
      <c r="B2" s="183"/>
      <c r="C2" s="183"/>
      <c r="D2" s="184"/>
      <c r="E2" s="184"/>
      <c r="F2" s="185"/>
      <c r="G2" s="185"/>
      <c r="H2" s="185"/>
      <c r="I2" s="186"/>
      <c r="J2" s="186"/>
      <c r="K2" s="186"/>
      <c r="L2" s="186"/>
      <c r="M2" s="182"/>
      <c r="N2" s="182"/>
      <c r="O2" s="182"/>
      <c r="P2" s="182"/>
      <c r="Q2" s="182"/>
    </row>
    <row r="3" spans="1:17" ht="10.5" customHeight="1">
      <c r="B3" s="179"/>
      <c r="C3" s="179"/>
      <c r="D3" s="180"/>
      <c r="E3" s="180"/>
      <c r="F3" s="181"/>
      <c r="G3" s="181"/>
      <c r="H3" s="181"/>
      <c r="I3" s="187"/>
      <c r="J3" s="187"/>
      <c r="K3" s="187"/>
      <c r="L3" s="187"/>
    </row>
    <row r="4" spans="1:17" ht="36" customHeight="1">
      <c r="A4" s="1329" t="s">
        <v>3824</v>
      </c>
      <c r="B4" s="1023"/>
      <c r="C4" s="1023"/>
      <c r="D4" s="1023"/>
      <c r="E4" s="1023"/>
      <c r="F4" s="1023"/>
      <c r="G4" s="1023"/>
      <c r="H4" s="1023"/>
      <c r="I4" s="1023"/>
      <c r="J4" s="1023"/>
      <c r="K4" s="1023"/>
      <c r="L4" s="1023"/>
      <c r="M4" s="1023"/>
      <c r="N4" s="1023"/>
      <c r="O4" s="1023"/>
      <c r="P4" s="378"/>
      <c r="Q4" s="378"/>
    </row>
    <row r="5" spans="1:17" s="188" customFormat="1" ht="46.5" customHeight="1">
      <c r="A5" s="1330" t="s">
        <v>3825</v>
      </c>
      <c r="B5" s="1025"/>
      <c r="C5" s="1025"/>
      <c r="D5" s="1025"/>
      <c r="E5" s="1025"/>
      <c r="F5" s="1025"/>
      <c r="G5" s="1025"/>
      <c r="H5" s="1025"/>
      <c r="I5" s="1025"/>
      <c r="J5" s="1025"/>
      <c r="K5" s="1025"/>
      <c r="L5" s="1025"/>
      <c r="M5" s="1025"/>
      <c r="N5" s="1025"/>
      <c r="O5" s="1025"/>
      <c r="P5" s="388"/>
      <c r="Q5" s="388"/>
    </row>
    <row r="6" spans="1:17" ht="9" customHeight="1" thickBot="1">
      <c r="A6" s="189"/>
      <c r="B6" s="190"/>
      <c r="C6" s="190"/>
      <c r="D6" s="191"/>
      <c r="E6" s="191"/>
      <c r="F6" s="192"/>
      <c r="G6" s="192"/>
      <c r="H6" s="192"/>
      <c r="I6" s="193"/>
      <c r="J6" s="193"/>
      <c r="K6" s="193"/>
      <c r="L6" s="193"/>
      <c r="M6" s="189"/>
      <c r="N6" s="189"/>
      <c r="O6" s="189"/>
      <c r="P6" s="189"/>
      <c r="Q6" s="189"/>
    </row>
    <row r="7" spans="1:17" s="187" customFormat="1" ht="14.25">
      <c r="B7" s="194"/>
      <c r="C7" s="194"/>
      <c r="D7" s="195"/>
      <c r="E7" s="195"/>
      <c r="F7" s="195"/>
      <c r="G7" s="195"/>
      <c r="H7" s="195"/>
      <c r="I7" s="195"/>
      <c r="J7" s="195"/>
      <c r="K7" s="195"/>
      <c r="L7" s="195"/>
      <c r="M7" s="195"/>
      <c r="N7" s="195"/>
      <c r="O7" s="195"/>
      <c r="P7" s="195"/>
      <c r="Q7" s="195"/>
    </row>
    <row r="8" spans="1:17" s="187" customFormat="1">
      <c r="F8" s="1331" t="s">
        <v>3</v>
      </c>
      <c r="G8" s="1331"/>
      <c r="H8" s="1331"/>
      <c r="I8" s="1331"/>
      <c r="J8" s="178"/>
      <c r="K8" s="178"/>
      <c r="L8" s="178"/>
    </row>
    <row r="9" spans="1:17" s="187" customFormat="1" ht="14.25">
      <c r="F9" s="246" t="s">
        <v>210</v>
      </c>
      <c r="G9" s="387" t="s">
        <v>557</v>
      </c>
      <c r="I9" s="198"/>
      <c r="J9" s="198"/>
      <c r="L9" s="198"/>
    </row>
    <row r="10" spans="1:17" s="187" customFormat="1" ht="14.25">
      <c r="F10" s="246" t="s">
        <v>8</v>
      </c>
      <c r="G10" s="540" t="s">
        <v>3892</v>
      </c>
      <c r="I10" s="198"/>
      <c r="J10" s="198"/>
      <c r="L10" s="198"/>
    </row>
    <row r="11" spans="1:17" s="187" customFormat="1" ht="14.25">
      <c r="F11" s="246" t="s">
        <v>9</v>
      </c>
      <c r="G11" s="540" t="s">
        <v>3889</v>
      </c>
      <c r="I11" s="198"/>
      <c r="J11" s="198"/>
      <c r="L11" s="198"/>
    </row>
    <row r="12" spans="1:17" s="187" customFormat="1" ht="14.25">
      <c r="F12" s="246" t="s">
        <v>10</v>
      </c>
      <c r="G12" s="540" t="s">
        <v>3890</v>
      </c>
      <c r="I12" s="198"/>
      <c r="J12" s="198"/>
      <c r="L12" s="198"/>
    </row>
    <row r="13" spans="1:17" s="187" customFormat="1" ht="14.25">
      <c r="D13" s="199"/>
      <c r="E13" s="199"/>
      <c r="F13" s="246" t="s">
        <v>12</v>
      </c>
      <c r="G13" s="540" t="s">
        <v>623</v>
      </c>
      <c r="I13" s="198"/>
      <c r="J13" s="198"/>
      <c r="L13" s="198"/>
    </row>
    <row r="14" spans="1:17" s="187" customFormat="1" ht="14.25">
      <c r="F14" s="246"/>
      <c r="G14" s="540" t="s">
        <v>3901</v>
      </c>
      <c r="I14" s="198"/>
      <c r="J14" s="198"/>
      <c r="L14" s="198"/>
    </row>
    <row r="15" spans="1:17" s="187" customFormat="1" ht="14.25">
      <c r="F15" s="246" t="s">
        <v>13</v>
      </c>
      <c r="G15" s="540" t="s">
        <v>60</v>
      </c>
      <c r="I15" s="198"/>
      <c r="J15" s="198"/>
      <c r="L15" s="559"/>
    </row>
    <row r="16" spans="1:17" s="187" customFormat="1" ht="14.25">
      <c r="F16" s="246" t="s">
        <v>16</v>
      </c>
      <c r="G16" s="540" t="s">
        <v>61</v>
      </c>
      <c r="I16" s="201"/>
      <c r="J16" s="201"/>
      <c r="L16" s="201"/>
    </row>
    <row r="17" spans="1:19" s="187" customFormat="1" ht="14.25">
      <c r="F17" s="246" t="s">
        <v>220</v>
      </c>
      <c r="G17" s="540" t="s">
        <v>3893</v>
      </c>
      <c r="I17" s="201"/>
      <c r="J17" s="201"/>
      <c r="L17" s="201"/>
    </row>
    <row r="18" spans="1:19" s="187" customFormat="1" ht="14.25">
      <c r="F18" s="246" t="s">
        <v>21</v>
      </c>
      <c r="G18" s="540" t="s">
        <v>3891</v>
      </c>
      <c r="I18" s="201"/>
      <c r="J18" s="201"/>
      <c r="L18" s="201"/>
    </row>
    <row r="19" spans="1:19" s="187" customFormat="1" ht="14.25">
      <c r="F19" s="246" t="s">
        <v>22</v>
      </c>
      <c r="G19" s="540" t="s">
        <v>3888</v>
      </c>
      <c r="I19" s="201"/>
      <c r="J19" s="201"/>
      <c r="L19" s="201"/>
    </row>
    <row r="20" spans="1:19" s="187" customFormat="1" ht="14.25">
      <c r="F20" s="246"/>
      <c r="G20" s="540"/>
      <c r="I20" s="201"/>
      <c r="J20" s="201"/>
      <c r="L20" s="201"/>
    </row>
    <row r="21" spans="1:19" s="187" customFormat="1" ht="14.25">
      <c r="F21" s="246"/>
      <c r="G21" s="540"/>
      <c r="I21" s="201"/>
      <c r="J21" s="201"/>
      <c r="L21" s="201"/>
    </row>
    <row r="22" spans="1:19" s="187" customFormat="1" ht="14.25">
      <c r="D22" s="204"/>
      <c r="E22" s="204"/>
      <c r="F22" s="246"/>
      <c r="G22" s="541"/>
      <c r="K22" s="201"/>
    </row>
    <row r="23" spans="1:19" s="387" customFormat="1" ht="16.5" customHeight="1">
      <c r="A23" s="1188" t="s">
        <v>23</v>
      </c>
      <c r="B23" s="1188"/>
      <c r="C23" s="1188"/>
      <c r="D23" s="1188"/>
      <c r="E23" s="1188"/>
      <c r="F23" s="1188"/>
      <c r="G23" s="1188"/>
      <c r="H23" s="1188"/>
      <c r="I23" s="1188"/>
      <c r="J23" s="1188"/>
      <c r="K23" s="1188"/>
      <c r="L23" s="1188"/>
      <c r="M23" s="1188"/>
      <c r="N23" s="1188"/>
      <c r="O23" s="1188"/>
      <c r="P23" s="1188"/>
      <c r="Q23" s="1188"/>
    </row>
    <row r="24" spans="1:19" s="387" customFormat="1" ht="13.9" customHeight="1">
      <c r="A24" s="1335" t="s">
        <v>887</v>
      </c>
      <c r="B24" s="1336"/>
      <c r="C24" s="1336"/>
      <c r="D24" s="1336"/>
      <c r="E24" s="1336"/>
      <c r="F24" s="1336"/>
      <c r="G24" s="1336"/>
      <c r="H24" s="1336"/>
      <c r="I24" s="1336"/>
      <c r="J24" s="1336"/>
      <c r="K24" s="1336"/>
      <c r="L24" s="1336"/>
      <c r="M24" s="1336"/>
      <c r="N24" s="1336"/>
      <c r="O24" s="1336"/>
      <c r="P24" s="1336"/>
      <c r="Q24" s="1336"/>
    </row>
    <row r="25" spans="1:19" s="187" customFormat="1" ht="12.75" customHeight="1">
      <c r="B25" s="203"/>
      <c r="C25" s="203"/>
      <c r="D25" s="204"/>
      <c r="E25" s="204"/>
      <c r="F25" s="205"/>
      <c r="G25" s="205"/>
      <c r="I25" s="188"/>
      <c r="J25" s="188"/>
      <c r="K25" s="188"/>
      <c r="L25" s="188"/>
    </row>
    <row r="26" spans="1:19" s="187" customFormat="1" ht="12.75" customHeight="1" thickBot="1">
      <c r="D26" s="204"/>
      <c r="E26" s="204"/>
      <c r="F26" s="205"/>
      <c r="G26" s="205"/>
      <c r="I26" s="206"/>
      <c r="J26" s="206"/>
      <c r="K26" s="206"/>
      <c r="L26" s="206"/>
    </row>
    <row r="27" spans="1:19" s="187" customFormat="1" ht="15.75" customHeight="1" thickBot="1">
      <c r="F27" s="1040" t="s">
        <v>167</v>
      </c>
      <c r="G27" s="1041"/>
      <c r="H27" s="1332" t="s">
        <v>168</v>
      </c>
      <c r="I27" s="1333"/>
      <c r="J27" s="1333"/>
      <c r="K27" s="1333"/>
      <c r="L27" s="1333"/>
      <c r="M27" s="1333"/>
      <c r="N27" s="1333"/>
      <c r="O27" s="1333"/>
      <c r="P27" s="1333"/>
      <c r="Q27" s="1334"/>
    </row>
    <row r="28" spans="1:19" s="209" customFormat="1" ht="63.75" customHeight="1" thickBot="1">
      <c r="A28" s="207" t="s">
        <v>122</v>
      </c>
      <c r="B28" s="207" t="s">
        <v>169</v>
      </c>
      <c r="C28" s="208" t="s">
        <v>170</v>
      </c>
      <c r="D28" s="208" t="s">
        <v>171</v>
      </c>
      <c r="E28" s="208" t="s">
        <v>172</v>
      </c>
      <c r="F28" s="208" t="s">
        <v>173</v>
      </c>
      <c r="G28" s="207" t="s">
        <v>174</v>
      </c>
      <c r="H28" s="208" t="s">
        <v>176</v>
      </c>
      <c r="I28" s="207" t="s">
        <v>174</v>
      </c>
      <c r="J28" s="208" t="s">
        <v>177</v>
      </c>
      <c r="K28" s="207" t="s">
        <v>174</v>
      </c>
      <c r="L28" s="208" t="s">
        <v>178</v>
      </c>
      <c r="M28" s="207" t="s">
        <v>174</v>
      </c>
      <c r="N28" s="208" t="s">
        <v>157</v>
      </c>
      <c r="O28" s="207" t="s">
        <v>174</v>
      </c>
      <c r="P28" s="208" t="s">
        <v>824</v>
      </c>
      <c r="Q28" s="207" t="s">
        <v>174</v>
      </c>
    </row>
    <row r="29" spans="1:19" s="213" customFormat="1" ht="26.25" customHeight="1" thickBot="1">
      <c r="A29" s="1345" t="s">
        <v>998</v>
      </c>
      <c r="B29" s="1347"/>
      <c r="C29" s="558" t="s">
        <v>3827</v>
      </c>
      <c r="D29" s="247" t="s">
        <v>3826</v>
      </c>
      <c r="E29" s="248">
        <v>46559</v>
      </c>
      <c r="F29" s="49">
        <f>SUM(E29:E30)*(1-61%)</f>
        <v>18259.02</v>
      </c>
      <c r="G29" s="1062">
        <f>F29*B29</f>
        <v>0</v>
      </c>
      <c r="H29" s="50">
        <f>F29*0.03137</f>
        <v>572.78545740000004</v>
      </c>
      <c r="I29" s="1062">
        <f>H29*B29</f>
        <v>0</v>
      </c>
      <c r="J29" s="50">
        <f>F29*0.0274</f>
        <v>500.29714800000005</v>
      </c>
      <c r="K29" s="1062">
        <f>J29*B29</f>
        <v>0</v>
      </c>
      <c r="L29" s="542">
        <f>F29*0.0228</f>
        <v>416.305656</v>
      </c>
      <c r="M29" s="1062">
        <f>L29*B29</f>
        <v>0</v>
      </c>
      <c r="N29" s="542">
        <f>F29*0.0204</f>
        <v>372.48400800000002</v>
      </c>
      <c r="O29" s="1062">
        <f>N29*B29</f>
        <v>0</v>
      </c>
      <c r="P29" s="542">
        <f>F29*0.0185</f>
        <v>337.79187000000002</v>
      </c>
      <c r="Q29" s="1062">
        <f>P29*B29</f>
        <v>0</v>
      </c>
    </row>
    <row r="30" spans="1:19" s="244" customFormat="1" ht="13.5" customHeight="1" thickBot="1">
      <c r="A30" s="1346"/>
      <c r="B30" s="1348"/>
      <c r="C30" s="543" t="s">
        <v>104</v>
      </c>
      <c r="D30" s="544" t="s">
        <v>180</v>
      </c>
      <c r="E30" s="545">
        <v>259</v>
      </c>
      <c r="F30" s="428" t="s">
        <v>162</v>
      </c>
      <c r="G30" s="1349"/>
      <c r="H30" s="428" t="s">
        <v>162</v>
      </c>
      <c r="I30" s="1349"/>
      <c r="J30" s="428" t="s">
        <v>162</v>
      </c>
      <c r="K30" s="1349"/>
      <c r="L30" s="423" t="s">
        <v>162</v>
      </c>
      <c r="M30" s="1350"/>
      <c r="N30" s="423" t="s">
        <v>162</v>
      </c>
      <c r="O30" s="1351"/>
      <c r="P30" s="423" t="s">
        <v>162</v>
      </c>
      <c r="Q30" s="1351"/>
    </row>
    <row r="31" spans="1:19" s="244" customFormat="1" ht="13.9" customHeight="1" thickBot="1">
      <c r="A31" s="1337" t="s">
        <v>182</v>
      </c>
      <c r="B31" s="1338"/>
      <c r="C31" s="1338"/>
      <c r="D31" s="1338"/>
      <c r="E31" s="1338"/>
      <c r="F31" s="1338"/>
      <c r="G31" s="1338"/>
      <c r="H31" s="1338"/>
      <c r="I31" s="1338"/>
      <c r="J31" s="1338"/>
      <c r="K31" s="1338"/>
      <c r="L31" s="1338"/>
      <c r="M31" s="1338"/>
      <c r="N31" s="1338"/>
      <c r="O31" s="1338"/>
      <c r="P31" s="1338"/>
      <c r="Q31" s="1339"/>
      <c r="R31" s="547"/>
      <c r="S31" s="547"/>
    </row>
    <row r="32" spans="1:19" s="244" customFormat="1" ht="13.5" thickBot="1">
      <c r="A32" s="1340"/>
      <c r="B32" s="571"/>
      <c r="C32" s="708" t="s">
        <v>3838</v>
      </c>
      <c r="D32" s="709" t="s">
        <v>3887</v>
      </c>
      <c r="E32" s="574">
        <v>514.43298969072168</v>
      </c>
      <c r="F32" s="575">
        <f t="shared" ref="F32:F65" si="0">E32*(1-45%)</f>
        <v>282.93814432989694</v>
      </c>
      <c r="G32" s="17">
        <f t="shared" ref="G32:G65" si="1">F32*B32</f>
        <v>0</v>
      </c>
      <c r="H32" s="18">
        <f t="shared" ref="H32:H63" si="2">F32*0.03137</f>
        <v>8.8757695876288683</v>
      </c>
      <c r="I32" s="18">
        <f t="shared" ref="I32:I63" si="3">H32*B32</f>
        <v>0</v>
      </c>
      <c r="J32" s="18">
        <f t="shared" ref="J32:J77" si="4">F32*0.0274</f>
        <v>7.7525051546391763</v>
      </c>
      <c r="K32" s="18">
        <f t="shared" ref="K32:K63" si="5">J32*B32</f>
        <v>0</v>
      </c>
      <c r="L32" s="18">
        <f t="shared" ref="L32:L77" si="6">F32*0.0228</f>
        <v>6.4509896907216504</v>
      </c>
      <c r="M32" s="18">
        <f t="shared" ref="M32:M63" si="7">L32*B32</f>
        <v>0</v>
      </c>
      <c r="N32" s="18">
        <f t="shared" ref="N32:N63" si="8">F32*0.0204</f>
        <v>5.7719381443298978</v>
      </c>
      <c r="O32" s="18">
        <f t="shared" ref="O32:O63" si="9">N32*B32</f>
        <v>0</v>
      </c>
      <c r="P32" s="18">
        <f t="shared" ref="P32:P63" si="10">F32*0.0185</f>
        <v>5.2343556701030929</v>
      </c>
      <c r="Q32" s="18">
        <f t="shared" ref="Q32:Q63" si="11">P32*B32</f>
        <v>0</v>
      </c>
      <c r="R32" s="743"/>
      <c r="S32" s="547"/>
    </row>
    <row r="33" spans="1:19" s="244" customFormat="1" ht="13.5" thickBot="1">
      <c r="A33" s="1340"/>
      <c r="B33" s="548"/>
      <c r="C33" s="549">
        <v>45206625</v>
      </c>
      <c r="D33" s="550" t="s">
        <v>3881</v>
      </c>
      <c r="E33" s="557">
        <v>430.92783505154642</v>
      </c>
      <c r="F33" s="13">
        <f t="shared" si="0"/>
        <v>237.01030927835055</v>
      </c>
      <c r="G33" s="17">
        <f t="shared" si="1"/>
        <v>0</v>
      </c>
      <c r="H33" s="18">
        <f t="shared" si="2"/>
        <v>7.4350134020618572</v>
      </c>
      <c r="I33" s="18">
        <f t="shared" si="3"/>
        <v>0</v>
      </c>
      <c r="J33" s="18">
        <f t="shared" si="4"/>
        <v>6.4940824742268051</v>
      </c>
      <c r="K33" s="18">
        <f t="shared" si="5"/>
        <v>0</v>
      </c>
      <c r="L33" s="18">
        <f t="shared" si="6"/>
        <v>5.4038350515463929</v>
      </c>
      <c r="M33" s="18">
        <f t="shared" si="7"/>
        <v>0</v>
      </c>
      <c r="N33" s="18">
        <f t="shared" si="8"/>
        <v>4.8350103092783518</v>
      </c>
      <c r="O33" s="18">
        <f t="shared" si="9"/>
        <v>0</v>
      </c>
      <c r="P33" s="18">
        <f t="shared" si="10"/>
        <v>4.384690721649485</v>
      </c>
      <c r="Q33" s="18">
        <f t="shared" si="11"/>
        <v>0</v>
      </c>
      <c r="R33" s="743"/>
      <c r="S33" s="547"/>
    </row>
    <row r="34" spans="1:19" s="244" customFormat="1" ht="13.5" thickBot="1">
      <c r="A34" s="1340"/>
      <c r="B34" s="548"/>
      <c r="C34" s="549" t="s">
        <v>3491</v>
      </c>
      <c r="D34" s="550" t="s">
        <v>568</v>
      </c>
      <c r="E34" s="557">
        <v>411.34020618556701</v>
      </c>
      <c r="F34" s="13">
        <f t="shared" si="0"/>
        <v>226.23711340206188</v>
      </c>
      <c r="G34" s="17">
        <f t="shared" si="1"/>
        <v>0</v>
      </c>
      <c r="H34" s="18">
        <f t="shared" si="2"/>
        <v>7.097058247422682</v>
      </c>
      <c r="I34" s="18">
        <f t="shared" si="3"/>
        <v>0</v>
      </c>
      <c r="J34" s="18">
        <f t="shared" si="4"/>
        <v>6.1988969072164961</v>
      </c>
      <c r="K34" s="18">
        <f t="shared" si="5"/>
        <v>0</v>
      </c>
      <c r="L34" s="18">
        <f t="shared" si="6"/>
        <v>5.1582061855670114</v>
      </c>
      <c r="M34" s="18">
        <f t="shared" si="7"/>
        <v>0</v>
      </c>
      <c r="N34" s="18">
        <f t="shared" si="8"/>
        <v>4.6152371134020624</v>
      </c>
      <c r="O34" s="18">
        <f t="shared" si="9"/>
        <v>0</v>
      </c>
      <c r="P34" s="18">
        <f t="shared" si="10"/>
        <v>4.1853865979381446</v>
      </c>
      <c r="Q34" s="18">
        <f t="shared" si="11"/>
        <v>0</v>
      </c>
      <c r="R34" s="743"/>
      <c r="S34" s="547"/>
    </row>
    <row r="35" spans="1:19" s="244" customFormat="1" ht="13.5" thickBot="1">
      <c r="A35" s="1340"/>
      <c r="B35" s="548"/>
      <c r="C35" s="551">
        <v>45200712</v>
      </c>
      <c r="D35" s="552" t="s">
        <v>3872</v>
      </c>
      <c r="E35" s="557">
        <v>152.22680412371133</v>
      </c>
      <c r="F35" s="13">
        <f t="shared" si="0"/>
        <v>83.72474226804124</v>
      </c>
      <c r="G35" s="17">
        <f t="shared" si="1"/>
        <v>0</v>
      </c>
      <c r="H35" s="18">
        <f t="shared" si="2"/>
        <v>2.6264451649484539</v>
      </c>
      <c r="I35" s="18">
        <f t="shared" si="3"/>
        <v>0</v>
      </c>
      <c r="J35" s="18">
        <f t="shared" si="4"/>
        <v>2.2940579381443302</v>
      </c>
      <c r="K35" s="18">
        <f t="shared" si="5"/>
        <v>0</v>
      </c>
      <c r="L35" s="18">
        <f t="shared" si="6"/>
        <v>1.9089241237113403</v>
      </c>
      <c r="M35" s="18">
        <f t="shared" si="7"/>
        <v>0</v>
      </c>
      <c r="N35" s="18">
        <f t="shared" si="8"/>
        <v>1.7079847422680414</v>
      </c>
      <c r="O35" s="18">
        <f t="shared" si="9"/>
        <v>0</v>
      </c>
      <c r="P35" s="18">
        <f t="shared" si="10"/>
        <v>1.548907731958763</v>
      </c>
      <c r="Q35" s="18">
        <f t="shared" si="11"/>
        <v>0</v>
      </c>
      <c r="R35" s="743"/>
      <c r="S35" s="547"/>
    </row>
    <row r="36" spans="1:19" s="244" customFormat="1" ht="13.5" thickBot="1">
      <c r="A36" s="1340"/>
      <c r="B36" s="548"/>
      <c r="C36" s="551" t="s">
        <v>3828</v>
      </c>
      <c r="D36" s="552" t="s">
        <v>3840</v>
      </c>
      <c r="E36" s="557">
        <v>2783.5051546391755</v>
      </c>
      <c r="F36" s="13">
        <f t="shared" si="0"/>
        <v>1530.9278350515467</v>
      </c>
      <c r="G36" s="17">
        <f t="shared" si="1"/>
        <v>0</v>
      </c>
      <c r="H36" s="18">
        <f t="shared" si="2"/>
        <v>48.025206185567022</v>
      </c>
      <c r="I36" s="18">
        <f t="shared" si="3"/>
        <v>0</v>
      </c>
      <c r="J36" s="18">
        <f t="shared" si="4"/>
        <v>41.94742268041238</v>
      </c>
      <c r="K36" s="18">
        <f t="shared" si="5"/>
        <v>0</v>
      </c>
      <c r="L36" s="18">
        <f t="shared" si="6"/>
        <v>34.905154639175265</v>
      </c>
      <c r="M36" s="18">
        <f t="shared" si="7"/>
        <v>0</v>
      </c>
      <c r="N36" s="18">
        <f t="shared" si="8"/>
        <v>31.230927835051556</v>
      </c>
      <c r="O36" s="18">
        <f t="shared" si="9"/>
        <v>0</v>
      </c>
      <c r="P36" s="18">
        <f t="shared" si="10"/>
        <v>28.322164948453612</v>
      </c>
      <c r="Q36" s="18">
        <f t="shared" si="11"/>
        <v>0</v>
      </c>
      <c r="R36" s="743"/>
      <c r="S36" s="547"/>
    </row>
    <row r="37" spans="1:19" s="244" customFormat="1" ht="13.5" thickBot="1">
      <c r="A37" s="1340"/>
      <c r="B37" s="548"/>
      <c r="C37" s="551" t="s">
        <v>3834</v>
      </c>
      <c r="D37" s="552" t="s">
        <v>3867</v>
      </c>
      <c r="E37" s="557">
        <v>5154.6391752577319</v>
      </c>
      <c r="F37" s="13">
        <f t="shared" si="0"/>
        <v>2835.0515463917527</v>
      </c>
      <c r="G37" s="17">
        <f t="shared" si="1"/>
        <v>0</v>
      </c>
      <c r="H37" s="18">
        <f t="shared" si="2"/>
        <v>88.935567010309285</v>
      </c>
      <c r="I37" s="18">
        <f t="shared" si="3"/>
        <v>0</v>
      </c>
      <c r="J37" s="18">
        <f t="shared" si="4"/>
        <v>77.680412371134025</v>
      </c>
      <c r="K37" s="18">
        <f t="shared" si="5"/>
        <v>0</v>
      </c>
      <c r="L37" s="18">
        <f t="shared" si="6"/>
        <v>64.639175257731964</v>
      </c>
      <c r="M37" s="18">
        <f t="shared" si="7"/>
        <v>0</v>
      </c>
      <c r="N37" s="18">
        <f t="shared" si="8"/>
        <v>57.83505154639176</v>
      </c>
      <c r="O37" s="18">
        <f t="shared" si="9"/>
        <v>0</v>
      </c>
      <c r="P37" s="18">
        <f t="shared" si="10"/>
        <v>52.448453608247419</v>
      </c>
      <c r="Q37" s="18">
        <f t="shared" si="11"/>
        <v>0</v>
      </c>
      <c r="R37" s="743"/>
      <c r="S37" s="547"/>
    </row>
    <row r="38" spans="1:19" s="244" customFormat="1" ht="13.5" thickBot="1">
      <c r="A38" s="1340"/>
      <c r="B38" s="548"/>
      <c r="C38" s="551">
        <v>45111142</v>
      </c>
      <c r="D38" s="552" t="s">
        <v>3819</v>
      </c>
      <c r="E38" s="557">
        <v>1025.7731958762886</v>
      </c>
      <c r="F38" s="13">
        <f t="shared" si="0"/>
        <v>564.17525773195882</v>
      </c>
      <c r="G38" s="17">
        <f t="shared" si="1"/>
        <v>0</v>
      </c>
      <c r="H38" s="18">
        <f t="shared" si="2"/>
        <v>17.698177835051549</v>
      </c>
      <c r="I38" s="18">
        <f t="shared" si="3"/>
        <v>0</v>
      </c>
      <c r="J38" s="18">
        <f t="shared" si="4"/>
        <v>15.458402061855672</v>
      </c>
      <c r="K38" s="18">
        <f t="shared" si="5"/>
        <v>0</v>
      </c>
      <c r="L38" s="18">
        <f t="shared" si="6"/>
        <v>12.863195876288662</v>
      </c>
      <c r="M38" s="18">
        <f t="shared" si="7"/>
        <v>0</v>
      </c>
      <c r="N38" s="18">
        <f t="shared" si="8"/>
        <v>11.509175257731961</v>
      </c>
      <c r="O38" s="18">
        <f t="shared" si="9"/>
        <v>0</v>
      </c>
      <c r="P38" s="18">
        <f t="shared" si="10"/>
        <v>10.437242268041238</v>
      </c>
      <c r="Q38" s="18">
        <f t="shared" si="11"/>
        <v>0</v>
      </c>
      <c r="R38" s="743"/>
      <c r="S38" s="547"/>
    </row>
    <row r="39" spans="1:19" s="244" customFormat="1" ht="13.5" thickBot="1">
      <c r="A39" s="1340"/>
      <c r="B39" s="548"/>
      <c r="C39" s="549" t="s">
        <v>3836</v>
      </c>
      <c r="D39" s="550" t="s">
        <v>3885</v>
      </c>
      <c r="E39" s="557">
        <v>1608.2474226804125</v>
      </c>
      <c r="F39" s="13">
        <f t="shared" si="0"/>
        <v>884.53608247422687</v>
      </c>
      <c r="G39" s="17">
        <f t="shared" si="1"/>
        <v>0</v>
      </c>
      <c r="H39" s="18">
        <f t="shared" si="2"/>
        <v>27.7478969072165</v>
      </c>
      <c r="I39" s="18">
        <f t="shared" si="3"/>
        <v>0</v>
      </c>
      <c r="J39" s="18">
        <f t="shared" si="4"/>
        <v>24.236288659793818</v>
      </c>
      <c r="K39" s="18">
        <f t="shared" si="5"/>
        <v>0</v>
      </c>
      <c r="L39" s="18">
        <f t="shared" si="6"/>
        <v>20.167422680412372</v>
      </c>
      <c r="M39" s="18">
        <f t="shared" si="7"/>
        <v>0</v>
      </c>
      <c r="N39" s="18">
        <f t="shared" si="8"/>
        <v>18.044536082474231</v>
      </c>
      <c r="O39" s="18">
        <f t="shared" si="9"/>
        <v>0</v>
      </c>
      <c r="P39" s="18">
        <f t="shared" si="10"/>
        <v>16.363917525773196</v>
      </c>
      <c r="Q39" s="18">
        <f t="shared" si="11"/>
        <v>0</v>
      </c>
      <c r="R39" s="743"/>
      <c r="S39" s="547"/>
    </row>
    <row r="40" spans="1:19" s="244" customFormat="1" ht="26.25" thickBot="1">
      <c r="A40" s="1340"/>
      <c r="B40" s="548"/>
      <c r="C40" s="551" t="s">
        <v>3829</v>
      </c>
      <c r="D40" s="552" t="s">
        <v>3842</v>
      </c>
      <c r="E40" s="557">
        <v>484.53608247422682</v>
      </c>
      <c r="F40" s="13">
        <f t="shared" si="0"/>
        <v>266.4948453608248</v>
      </c>
      <c r="G40" s="17">
        <f t="shared" si="1"/>
        <v>0</v>
      </c>
      <c r="H40" s="18">
        <f t="shared" si="2"/>
        <v>8.3599432989690747</v>
      </c>
      <c r="I40" s="18">
        <f t="shared" si="3"/>
        <v>0</v>
      </c>
      <c r="J40" s="18">
        <f t="shared" si="4"/>
        <v>7.3019587628866001</v>
      </c>
      <c r="K40" s="18">
        <f t="shared" si="5"/>
        <v>0</v>
      </c>
      <c r="L40" s="18">
        <f t="shared" si="6"/>
        <v>6.0760824742268058</v>
      </c>
      <c r="M40" s="18">
        <f t="shared" si="7"/>
        <v>0</v>
      </c>
      <c r="N40" s="18">
        <f t="shared" si="8"/>
        <v>5.4364948453608264</v>
      </c>
      <c r="O40" s="18">
        <f t="shared" si="9"/>
        <v>0</v>
      </c>
      <c r="P40" s="18">
        <f t="shared" si="10"/>
        <v>4.9301546391752584</v>
      </c>
      <c r="Q40" s="18">
        <f t="shared" si="11"/>
        <v>0</v>
      </c>
      <c r="R40" s="743"/>
      <c r="S40" s="547"/>
    </row>
    <row r="41" spans="1:19" s="244" customFormat="1" ht="13.5" thickBot="1">
      <c r="A41" s="1340"/>
      <c r="B41" s="548"/>
      <c r="C41" s="551" t="s">
        <v>274</v>
      </c>
      <c r="D41" s="552" t="s">
        <v>3861</v>
      </c>
      <c r="E41" s="557">
        <v>721.64948453608247</v>
      </c>
      <c r="F41" s="13">
        <f t="shared" si="0"/>
        <v>396.90721649484539</v>
      </c>
      <c r="G41" s="17">
        <f t="shared" si="1"/>
        <v>0</v>
      </c>
      <c r="H41" s="18">
        <f t="shared" si="2"/>
        <v>12.4509793814433</v>
      </c>
      <c r="I41" s="18">
        <f t="shared" si="3"/>
        <v>0</v>
      </c>
      <c r="J41" s="18">
        <f t="shared" si="4"/>
        <v>10.875257731958763</v>
      </c>
      <c r="K41" s="18">
        <f t="shared" si="5"/>
        <v>0</v>
      </c>
      <c r="L41" s="18">
        <f t="shared" si="6"/>
        <v>9.0494845360824758</v>
      </c>
      <c r="M41" s="18">
        <f t="shared" si="7"/>
        <v>0</v>
      </c>
      <c r="N41" s="18">
        <f t="shared" si="8"/>
        <v>8.0969072164948468</v>
      </c>
      <c r="O41" s="18">
        <f t="shared" si="9"/>
        <v>0</v>
      </c>
      <c r="P41" s="18">
        <f t="shared" si="10"/>
        <v>7.3427835051546388</v>
      </c>
      <c r="Q41" s="18">
        <f t="shared" si="11"/>
        <v>0</v>
      </c>
      <c r="R41" s="743"/>
      <c r="S41" s="547"/>
    </row>
    <row r="42" spans="1:19" s="244" customFormat="1" ht="13.5" thickBot="1">
      <c r="A42" s="1340"/>
      <c r="B42" s="548"/>
      <c r="C42" s="551">
        <v>45199274</v>
      </c>
      <c r="D42" s="552" t="s">
        <v>3871</v>
      </c>
      <c r="E42" s="557">
        <v>882.47422680412376</v>
      </c>
      <c r="F42" s="13">
        <f t="shared" si="0"/>
        <v>485.36082474226811</v>
      </c>
      <c r="G42" s="17">
        <f t="shared" si="1"/>
        <v>0</v>
      </c>
      <c r="H42" s="18">
        <f t="shared" si="2"/>
        <v>15.225769072164951</v>
      </c>
      <c r="I42" s="18">
        <f t="shared" si="3"/>
        <v>0</v>
      </c>
      <c r="J42" s="18">
        <f t="shared" si="4"/>
        <v>13.298886597938147</v>
      </c>
      <c r="K42" s="18">
        <f t="shared" si="5"/>
        <v>0</v>
      </c>
      <c r="L42" s="18">
        <f t="shared" si="6"/>
        <v>11.066226804123714</v>
      </c>
      <c r="M42" s="18">
        <f t="shared" si="7"/>
        <v>0</v>
      </c>
      <c r="N42" s="18">
        <f t="shared" si="8"/>
        <v>9.9013608247422695</v>
      </c>
      <c r="O42" s="18">
        <f t="shared" si="9"/>
        <v>0</v>
      </c>
      <c r="P42" s="18">
        <f t="shared" si="10"/>
        <v>8.9791752577319599</v>
      </c>
      <c r="Q42" s="18">
        <f t="shared" si="11"/>
        <v>0</v>
      </c>
      <c r="R42" s="743"/>
      <c r="S42" s="547"/>
    </row>
    <row r="43" spans="1:19" s="244" customFormat="1" ht="13.5" thickBot="1">
      <c r="A43" s="1340"/>
      <c r="B43" s="548"/>
      <c r="C43" s="549">
        <v>45201523</v>
      </c>
      <c r="D43" s="550" t="s">
        <v>3877</v>
      </c>
      <c r="E43" s="557">
        <v>1676.7010309278353</v>
      </c>
      <c r="F43" s="13">
        <f t="shared" si="0"/>
        <v>922.18556701030946</v>
      </c>
      <c r="G43" s="17">
        <f t="shared" si="1"/>
        <v>0</v>
      </c>
      <c r="H43" s="18">
        <f t="shared" si="2"/>
        <v>28.928961237113409</v>
      </c>
      <c r="I43" s="18">
        <f t="shared" si="3"/>
        <v>0</v>
      </c>
      <c r="J43" s="18">
        <f t="shared" si="4"/>
        <v>25.26788453608248</v>
      </c>
      <c r="K43" s="18">
        <f t="shared" si="5"/>
        <v>0</v>
      </c>
      <c r="L43" s="18">
        <f t="shared" si="6"/>
        <v>21.025830927835056</v>
      </c>
      <c r="M43" s="18">
        <f t="shared" si="7"/>
        <v>0</v>
      </c>
      <c r="N43" s="18">
        <f t="shared" si="8"/>
        <v>18.812585567010313</v>
      </c>
      <c r="O43" s="18">
        <f t="shared" si="9"/>
        <v>0</v>
      </c>
      <c r="P43" s="18">
        <f t="shared" si="10"/>
        <v>17.060432989690725</v>
      </c>
      <c r="Q43" s="18">
        <f t="shared" si="11"/>
        <v>0</v>
      </c>
      <c r="R43" s="743"/>
      <c r="S43" s="547"/>
    </row>
    <row r="44" spans="1:19" s="244" customFormat="1" ht="13.5" thickBot="1">
      <c r="A44" s="1340"/>
      <c r="B44" s="548"/>
      <c r="C44" s="551">
        <v>45201525</v>
      </c>
      <c r="D44" s="552" t="s">
        <v>3878</v>
      </c>
      <c r="E44" s="557">
        <v>2371.6494845360826</v>
      </c>
      <c r="F44" s="13">
        <f t="shared" si="0"/>
        <v>1304.4072164948454</v>
      </c>
      <c r="G44" s="17">
        <f t="shared" si="1"/>
        <v>0</v>
      </c>
      <c r="H44" s="18">
        <f t="shared" si="2"/>
        <v>40.919254381443302</v>
      </c>
      <c r="I44" s="18">
        <f t="shared" si="3"/>
        <v>0</v>
      </c>
      <c r="J44" s="18">
        <f t="shared" si="4"/>
        <v>35.740757731958766</v>
      </c>
      <c r="K44" s="18">
        <f t="shared" si="5"/>
        <v>0</v>
      </c>
      <c r="L44" s="18">
        <f t="shared" si="6"/>
        <v>29.740484536082477</v>
      </c>
      <c r="M44" s="18">
        <f t="shared" si="7"/>
        <v>0</v>
      </c>
      <c r="N44" s="18">
        <f t="shared" si="8"/>
        <v>26.60990721649485</v>
      </c>
      <c r="O44" s="18">
        <f t="shared" si="9"/>
        <v>0</v>
      </c>
      <c r="P44" s="18">
        <f t="shared" si="10"/>
        <v>24.131533505154639</v>
      </c>
      <c r="Q44" s="18">
        <f t="shared" si="11"/>
        <v>0</v>
      </c>
      <c r="R44" s="743"/>
      <c r="S44" s="547"/>
    </row>
    <row r="45" spans="1:19" s="244" customFormat="1" ht="13.5" thickBot="1">
      <c r="A45" s="1340"/>
      <c r="B45" s="548"/>
      <c r="C45" s="549">
        <v>45201527</v>
      </c>
      <c r="D45" s="550" t="s">
        <v>3879</v>
      </c>
      <c r="E45" s="557">
        <v>2812.8865979381444</v>
      </c>
      <c r="F45" s="13">
        <f t="shared" si="0"/>
        <v>1547.0876288659795</v>
      </c>
      <c r="G45" s="17">
        <f t="shared" si="1"/>
        <v>0</v>
      </c>
      <c r="H45" s="18">
        <f t="shared" si="2"/>
        <v>48.532138917525778</v>
      </c>
      <c r="I45" s="18">
        <f t="shared" si="3"/>
        <v>0</v>
      </c>
      <c r="J45" s="18">
        <f t="shared" si="4"/>
        <v>42.390201030927841</v>
      </c>
      <c r="K45" s="18">
        <f t="shared" si="5"/>
        <v>0</v>
      </c>
      <c r="L45" s="18">
        <f t="shared" si="6"/>
        <v>35.273597938144334</v>
      </c>
      <c r="M45" s="18">
        <f t="shared" si="7"/>
        <v>0</v>
      </c>
      <c r="N45" s="18">
        <f t="shared" si="8"/>
        <v>31.560587628865985</v>
      </c>
      <c r="O45" s="18">
        <f t="shared" si="9"/>
        <v>0</v>
      </c>
      <c r="P45" s="18">
        <f t="shared" si="10"/>
        <v>28.621121134020619</v>
      </c>
      <c r="Q45" s="18">
        <f t="shared" si="11"/>
        <v>0</v>
      </c>
      <c r="R45" s="743"/>
      <c r="S45" s="547"/>
    </row>
    <row r="46" spans="1:19" s="244" customFormat="1" ht="13.5" thickBot="1">
      <c r="A46" s="1340"/>
      <c r="B46" s="548"/>
      <c r="C46" s="549">
        <v>45201529</v>
      </c>
      <c r="D46" s="550" t="s">
        <v>3880</v>
      </c>
      <c r="E46" s="557">
        <v>3298.2474226804125</v>
      </c>
      <c r="F46" s="13">
        <f t="shared" si="0"/>
        <v>1814.036082474227</v>
      </c>
      <c r="G46" s="17">
        <f t="shared" si="1"/>
        <v>0</v>
      </c>
      <c r="H46" s="18">
        <f t="shared" si="2"/>
        <v>56.906311907216505</v>
      </c>
      <c r="I46" s="18">
        <f t="shared" si="3"/>
        <v>0</v>
      </c>
      <c r="J46" s="18">
        <f t="shared" si="4"/>
        <v>49.704588659793821</v>
      </c>
      <c r="K46" s="18">
        <f t="shared" si="5"/>
        <v>0</v>
      </c>
      <c r="L46" s="18">
        <f t="shared" si="6"/>
        <v>41.360022680412378</v>
      </c>
      <c r="M46" s="18">
        <f t="shared" si="7"/>
        <v>0</v>
      </c>
      <c r="N46" s="18">
        <f t="shared" si="8"/>
        <v>37.006336082474235</v>
      </c>
      <c r="O46" s="18">
        <f t="shared" si="9"/>
        <v>0</v>
      </c>
      <c r="P46" s="18">
        <f t="shared" si="10"/>
        <v>33.5596675257732</v>
      </c>
      <c r="Q46" s="18">
        <f t="shared" si="11"/>
        <v>0</v>
      </c>
      <c r="R46" s="743"/>
      <c r="S46" s="547"/>
    </row>
    <row r="47" spans="1:19" s="244" customFormat="1" ht="13.5" thickBot="1">
      <c r="A47" s="1340"/>
      <c r="B47" s="548"/>
      <c r="C47" s="549">
        <v>45198237</v>
      </c>
      <c r="D47" s="550" t="s">
        <v>3870</v>
      </c>
      <c r="E47" s="557">
        <v>1047.9381443298969</v>
      </c>
      <c r="F47" s="13">
        <f t="shared" si="0"/>
        <v>576.36597938144337</v>
      </c>
      <c r="G47" s="17">
        <f t="shared" si="1"/>
        <v>0</v>
      </c>
      <c r="H47" s="18">
        <f t="shared" si="2"/>
        <v>18.080600773195879</v>
      </c>
      <c r="I47" s="18">
        <f t="shared" si="3"/>
        <v>0</v>
      </c>
      <c r="J47" s="18">
        <f t="shared" si="4"/>
        <v>15.792427835051548</v>
      </c>
      <c r="K47" s="18">
        <f t="shared" si="5"/>
        <v>0</v>
      </c>
      <c r="L47" s="18">
        <f t="shared" si="6"/>
        <v>13.141144329896909</v>
      </c>
      <c r="M47" s="18">
        <f t="shared" si="7"/>
        <v>0</v>
      </c>
      <c r="N47" s="18">
        <f t="shared" si="8"/>
        <v>11.757865979381446</v>
      </c>
      <c r="O47" s="18">
        <f t="shared" si="9"/>
        <v>0</v>
      </c>
      <c r="P47" s="18">
        <f t="shared" si="10"/>
        <v>10.662770618556701</v>
      </c>
      <c r="Q47" s="18">
        <f t="shared" si="11"/>
        <v>0</v>
      </c>
      <c r="R47" s="743"/>
      <c r="S47" s="547"/>
    </row>
    <row r="48" spans="1:19" s="244" customFormat="1" ht="13.5" thickBot="1">
      <c r="A48" s="1340"/>
      <c r="B48" s="548"/>
      <c r="C48" s="551">
        <v>45201515</v>
      </c>
      <c r="D48" s="552" t="s">
        <v>3873</v>
      </c>
      <c r="E48" s="557">
        <v>1985.5670103092784</v>
      </c>
      <c r="F48" s="13">
        <f t="shared" si="0"/>
        <v>1092.0618556701031</v>
      </c>
      <c r="G48" s="17">
        <f t="shared" si="1"/>
        <v>0</v>
      </c>
      <c r="H48" s="18">
        <f t="shared" si="2"/>
        <v>34.25798041237114</v>
      </c>
      <c r="I48" s="18">
        <f t="shared" si="3"/>
        <v>0</v>
      </c>
      <c r="J48" s="18">
        <f t="shared" si="4"/>
        <v>29.922494845360827</v>
      </c>
      <c r="K48" s="18">
        <f t="shared" si="5"/>
        <v>0</v>
      </c>
      <c r="L48" s="18">
        <f t="shared" si="6"/>
        <v>24.899010309278353</v>
      </c>
      <c r="M48" s="18">
        <f t="shared" si="7"/>
        <v>0</v>
      </c>
      <c r="N48" s="18">
        <f t="shared" si="8"/>
        <v>22.278061855670106</v>
      </c>
      <c r="O48" s="18">
        <f t="shared" si="9"/>
        <v>0</v>
      </c>
      <c r="P48" s="18">
        <f t="shared" si="10"/>
        <v>20.203144329896908</v>
      </c>
      <c r="Q48" s="18">
        <f t="shared" si="11"/>
        <v>0</v>
      </c>
      <c r="R48" s="743"/>
      <c r="S48" s="547"/>
    </row>
    <row r="49" spans="1:19" s="244" customFormat="1" ht="13.5" thickBot="1">
      <c r="A49" s="1340"/>
      <c r="B49" s="548"/>
      <c r="C49" s="551">
        <v>45201517</v>
      </c>
      <c r="D49" s="552" t="s">
        <v>3874</v>
      </c>
      <c r="E49" s="557">
        <v>2823.9175257731958</v>
      </c>
      <c r="F49" s="13">
        <f t="shared" si="0"/>
        <v>1553.1546391752579</v>
      </c>
      <c r="G49" s="17">
        <f t="shared" si="1"/>
        <v>0</v>
      </c>
      <c r="H49" s="18">
        <f t="shared" si="2"/>
        <v>48.722461030927846</v>
      </c>
      <c r="I49" s="18">
        <f t="shared" si="3"/>
        <v>0</v>
      </c>
      <c r="J49" s="18">
        <f t="shared" si="4"/>
        <v>42.556437113402069</v>
      </c>
      <c r="K49" s="18">
        <f t="shared" si="5"/>
        <v>0</v>
      </c>
      <c r="L49" s="18">
        <f t="shared" si="6"/>
        <v>35.411925773195883</v>
      </c>
      <c r="M49" s="18">
        <f t="shared" si="7"/>
        <v>0</v>
      </c>
      <c r="N49" s="18">
        <f t="shared" si="8"/>
        <v>31.684354639175265</v>
      </c>
      <c r="O49" s="18">
        <f t="shared" si="9"/>
        <v>0</v>
      </c>
      <c r="P49" s="18">
        <f t="shared" si="10"/>
        <v>28.73336082474227</v>
      </c>
      <c r="Q49" s="18">
        <f t="shared" si="11"/>
        <v>0</v>
      </c>
      <c r="R49" s="743"/>
      <c r="S49" s="547"/>
    </row>
    <row r="50" spans="1:19" s="244" customFormat="1" ht="13.5" thickBot="1">
      <c r="A50" s="1340"/>
      <c r="B50" s="548"/>
      <c r="C50" s="551">
        <v>45201519</v>
      </c>
      <c r="D50" s="552" t="s">
        <v>3875</v>
      </c>
      <c r="E50" s="557">
        <v>3342.3711340206187</v>
      </c>
      <c r="F50" s="13">
        <f t="shared" si="0"/>
        <v>1838.3041237113405</v>
      </c>
      <c r="G50" s="17">
        <f t="shared" si="1"/>
        <v>0</v>
      </c>
      <c r="H50" s="18">
        <f t="shared" si="2"/>
        <v>57.667600360824757</v>
      </c>
      <c r="I50" s="18">
        <f t="shared" si="3"/>
        <v>0</v>
      </c>
      <c r="J50" s="18">
        <f t="shared" si="4"/>
        <v>50.369532989690732</v>
      </c>
      <c r="K50" s="18">
        <f t="shared" si="5"/>
        <v>0</v>
      </c>
      <c r="L50" s="18">
        <f t="shared" si="6"/>
        <v>41.913334020618564</v>
      </c>
      <c r="M50" s="18">
        <f t="shared" si="7"/>
        <v>0</v>
      </c>
      <c r="N50" s="18">
        <f t="shared" si="8"/>
        <v>37.501404123711346</v>
      </c>
      <c r="O50" s="18">
        <f t="shared" si="9"/>
        <v>0</v>
      </c>
      <c r="P50" s="18">
        <f t="shared" si="10"/>
        <v>34.008626288659798</v>
      </c>
      <c r="Q50" s="18">
        <f t="shared" si="11"/>
        <v>0</v>
      </c>
      <c r="R50" s="743"/>
      <c r="S50" s="547"/>
    </row>
    <row r="51" spans="1:19" s="244" customFormat="1" ht="13.5" thickBot="1">
      <c r="A51" s="1340"/>
      <c r="B51" s="548"/>
      <c r="C51" s="551">
        <v>45201521</v>
      </c>
      <c r="D51" s="552" t="s">
        <v>3876</v>
      </c>
      <c r="E51" s="557">
        <v>3915.9793814432992</v>
      </c>
      <c r="F51" s="13">
        <f t="shared" si="0"/>
        <v>2153.7886597938145</v>
      </c>
      <c r="G51" s="17">
        <f t="shared" si="1"/>
        <v>0</v>
      </c>
      <c r="H51" s="18">
        <f t="shared" si="2"/>
        <v>67.564350257731959</v>
      </c>
      <c r="I51" s="18">
        <f t="shared" si="3"/>
        <v>0</v>
      </c>
      <c r="J51" s="18">
        <f t="shared" si="4"/>
        <v>59.013809278350521</v>
      </c>
      <c r="K51" s="18">
        <f t="shared" si="5"/>
        <v>0</v>
      </c>
      <c r="L51" s="18">
        <f t="shared" si="6"/>
        <v>49.106381443298972</v>
      </c>
      <c r="M51" s="18">
        <f t="shared" si="7"/>
        <v>0</v>
      </c>
      <c r="N51" s="18">
        <f t="shared" si="8"/>
        <v>43.937288659793822</v>
      </c>
      <c r="O51" s="18">
        <f t="shared" si="9"/>
        <v>0</v>
      </c>
      <c r="P51" s="18">
        <f t="shared" si="10"/>
        <v>39.845090206185567</v>
      </c>
      <c r="Q51" s="18">
        <f t="shared" si="11"/>
        <v>0</v>
      </c>
      <c r="R51" s="743"/>
      <c r="S51" s="547"/>
    </row>
    <row r="52" spans="1:19" s="244" customFormat="1" ht="13.5" thickBot="1">
      <c r="A52" s="1340"/>
      <c r="B52" s="548"/>
      <c r="C52" s="551">
        <v>45111136</v>
      </c>
      <c r="D52" s="552" t="s">
        <v>3818</v>
      </c>
      <c r="E52" s="557">
        <v>1134.020618556701</v>
      </c>
      <c r="F52" s="13">
        <f t="shared" si="0"/>
        <v>623.71134020618558</v>
      </c>
      <c r="G52" s="17">
        <f t="shared" si="1"/>
        <v>0</v>
      </c>
      <c r="H52" s="18">
        <f t="shared" si="2"/>
        <v>19.565824742268042</v>
      </c>
      <c r="I52" s="18">
        <f t="shared" si="3"/>
        <v>0</v>
      </c>
      <c r="J52" s="18">
        <f t="shared" si="4"/>
        <v>17.089690721649486</v>
      </c>
      <c r="K52" s="18">
        <f t="shared" si="5"/>
        <v>0</v>
      </c>
      <c r="L52" s="18">
        <f t="shared" si="6"/>
        <v>14.220618556701032</v>
      </c>
      <c r="M52" s="18">
        <f t="shared" si="7"/>
        <v>0</v>
      </c>
      <c r="N52" s="18">
        <f t="shared" si="8"/>
        <v>12.723711340206187</v>
      </c>
      <c r="O52" s="18">
        <f t="shared" si="9"/>
        <v>0</v>
      </c>
      <c r="P52" s="18">
        <f t="shared" si="10"/>
        <v>11.538659793814432</v>
      </c>
      <c r="Q52" s="18">
        <f t="shared" si="11"/>
        <v>0</v>
      </c>
      <c r="R52" s="743"/>
      <c r="S52" s="547"/>
    </row>
    <row r="53" spans="1:19" s="244" customFormat="1" ht="13.5" thickBot="1">
      <c r="A53" s="1340"/>
      <c r="B53" s="548"/>
      <c r="C53" s="551">
        <v>45206712</v>
      </c>
      <c r="D53" s="552" t="s">
        <v>3784</v>
      </c>
      <c r="E53" s="557">
        <v>2577.319587628866</v>
      </c>
      <c r="F53" s="13">
        <f t="shared" si="0"/>
        <v>1417.5257731958764</v>
      </c>
      <c r="G53" s="17">
        <f t="shared" si="1"/>
        <v>0</v>
      </c>
      <c r="H53" s="18">
        <f t="shared" si="2"/>
        <v>44.467783505154642</v>
      </c>
      <c r="I53" s="18">
        <f t="shared" si="3"/>
        <v>0</v>
      </c>
      <c r="J53" s="18">
        <f t="shared" si="4"/>
        <v>38.840206185567013</v>
      </c>
      <c r="K53" s="18">
        <f t="shared" si="5"/>
        <v>0</v>
      </c>
      <c r="L53" s="18">
        <f t="shared" si="6"/>
        <v>32.319587628865982</v>
      </c>
      <c r="M53" s="18">
        <f t="shared" si="7"/>
        <v>0</v>
      </c>
      <c r="N53" s="18">
        <f t="shared" si="8"/>
        <v>28.91752577319588</v>
      </c>
      <c r="O53" s="18">
        <f t="shared" si="9"/>
        <v>0</v>
      </c>
      <c r="P53" s="18">
        <f t="shared" si="10"/>
        <v>26.22422680412371</v>
      </c>
      <c r="Q53" s="18">
        <f t="shared" si="11"/>
        <v>0</v>
      </c>
      <c r="R53" s="743"/>
      <c r="S53" s="547"/>
    </row>
    <row r="54" spans="1:19" s="244" customFormat="1" ht="13.5" thickBot="1">
      <c r="A54" s="1340"/>
      <c r="B54" s="548"/>
      <c r="C54" s="551">
        <v>45206719</v>
      </c>
      <c r="D54" s="552" t="s">
        <v>3820</v>
      </c>
      <c r="E54" s="557">
        <v>3092.7835051546394</v>
      </c>
      <c r="F54" s="13">
        <f t="shared" si="0"/>
        <v>1701.0309278350519</v>
      </c>
      <c r="G54" s="17">
        <f t="shared" si="1"/>
        <v>0</v>
      </c>
      <c r="H54" s="18">
        <f t="shared" si="2"/>
        <v>53.361340206185581</v>
      </c>
      <c r="I54" s="18">
        <f t="shared" si="3"/>
        <v>0</v>
      </c>
      <c r="J54" s="18">
        <f t="shared" si="4"/>
        <v>46.608247422680421</v>
      </c>
      <c r="K54" s="18">
        <f t="shared" si="5"/>
        <v>0</v>
      </c>
      <c r="L54" s="18">
        <f t="shared" si="6"/>
        <v>38.783505154639187</v>
      </c>
      <c r="M54" s="18">
        <f t="shared" si="7"/>
        <v>0</v>
      </c>
      <c r="N54" s="18">
        <f t="shared" si="8"/>
        <v>34.701030927835063</v>
      </c>
      <c r="O54" s="18">
        <f t="shared" si="9"/>
        <v>0</v>
      </c>
      <c r="P54" s="18">
        <f t="shared" si="10"/>
        <v>31.469072164948457</v>
      </c>
      <c r="Q54" s="18">
        <f t="shared" si="11"/>
        <v>0</v>
      </c>
      <c r="R54" s="743"/>
      <c r="S54" s="547"/>
    </row>
    <row r="55" spans="1:19" s="244" customFormat="1" ht="13.5" thickBot="1">
      <c r="A55" s="1340"/>
      <c r="B55" s="548"/>
      <c r="C55" s="707">
        <v>100000006366</v>
      </c>
      <c r="D55" s="552" t="s">
        <v>778</v>
      </c>
      <c r="E55" s="557">
        <v>721.64948453608247</v>
      </c>
      <c r="F55" s="13">
        <f t="shared" si="0"/>
        <v>396.90721649484539</v>
      </c>
      <c r="G55" s="17">
        <f t="shared" si="1"/>
        <v>0</v>
      </c>
      <c r="H55" s="18">
        <f t="shared" si="2"/>
        <v>12.4509793814433</v>
      </c>
      <c r="I55" s="18">
        <f t="shared" si="3"/>
        <v>0</v>
      </c>
      <c r="J55" s="18">
        <f t="shared" si="4"/>
        <v>10.875257731958763</v>
      </c>
      <c r="K55" s="18">
        <f t="shared" si="5"/>
        <v>0</v>
      </c>
      <c r="L55" s="18">
        <f t="shared" si="6"/>
        <v>9.0494845360824758</v>
      </c>
      <c r="M55" s="18">
        <f t="shared" si="7"/>
        <v>0</v>
      </c>
      <c r="N55" s="18">
        <f t="shared" si="8"/>
        <v>8.0969072164948468</v>
      </c>
      <c r="O55" s="18">
        <f t="shared" si="9"/>
        <v>0</v>
      </c>
      <c r="P55" s="18">
        <f t="shared" si="10"/>
        <v>7.3427835051546388</v>
      </c>
      <c r="Q55" s="18">
        <f t="shared" si="11"/>
        <v>0</v>
      </c>
      <c r="R55" s="743"/>
      <c r="S55" s="547"/>
    </row>
    <row r="56" spans="1:19" s="244" customFormat="1" ht="13.5" thickBot="1">
      <c r="A56" s="1340"/>
      <c r="B56" s="548"/>
      <c r="C56" s="551">
        <v>45206722</v>
      </c>
      <c r="D56" s="552" t="s">
        <v>3882</v>
      </c>
      <c r="E56" s="557">
        <v>4329.8969072164946</v>
      </c>
      <c r="F56" s="13">
        <f t="shared" si="0"/>
        <v>2381.4432989690722</v>
      </c>
      <c r="G56" s="17">
        <f t="shared" si="1"/>
        <v>0</v>
      </c>
      <c r="H56" s="18">
        <f t="shared" si="2"/>
        <v>74.705876288659795</v>
      </c>
      <c r="I56" s="18">
        <f t="shared" si="3"/>
        <v>0</v>
      </c>
      <c r="J56" s="18">
        <f t="shared" si="4"/>
        <v>65.251546391752584</v>
      </c>
      <c r="K56" s="18">
        <f t="shared" si="5"/>
        <v>0</v>
      </c>
      <c r="L56" s="18">
        <f t="shared" si="6"/>
        <v>54.296907216494851</v>
      </c>
      <c r="M56" s="18">
        <f t="shared" si="7"/>
        <v>0</v>
      </c>
      <c r="N56" s="18">
        <f t="shared" si="8"/>
        <v>48.581443298969077</v>
      </c>
      <c r="O56" s="18">
        <f t="shared" si="9"/>
        <v>0</v>
      </c>
      <c r="P56" s="18">
        <f t="shared" si="10"/>
        <v>44.056701030927833</v>
      </c>
      <c r="Q56" s="18">
        <f t="shared" si="11"/>
        <v>0</v>
      </c>
      <c r="R56" s="743"/>
      <c r="S56" s="547"/>
    </row>
    <row r="57" spans="1:19" s="244" customFormat="1" ht="13.5" thickBot="1">
      <c r="A57" s="1340"/>
      <c r="B57" s="548"/>
      <c r="C57" s="707">
        <v>100000006367</v>
      </c>
      <c r="D57" s="552" t="s">
        <v>779</v>
      </c>
      <c r="E57" s="557">
        <v>1030.9278350515465</v>
      </c>
      <c r="F57" s="13">
        <f t="shared" si="0"/>
        <v>567.01030927835063</v>
      </c>
      <c r="G57" s="17">
        <f t="shared" si="1"/>
        <v>0</v>
      </c>
      <c r="H57" s="18">
        <f t="shared" si="2"/>
        <v>17.787113402061859</v>
      </c>
      <c r="I57" s="18">
        <f t="shared" si="3"/>
        <v>0</v>
      </c>
      <c r="J57" s="18">
        <f t="shared" si="4"/>
        <v>15.536082474226808</v>
      </c>
      <c r="K57" s="18">
        <f t="shared" si="5"/>
        <v>0</v>
      </c>
      <c r="L57" s="18">
        <f t="shared" si="6"/>
        <v>12.927835051546396</v>
      </c>
      <c r="M57" s="18">
        <f t="shared" si="7"/>
        <v>0</v>
      </c>
      <c r="N57" s="18">
        <f t="shared" si="8"/>
        <v>11.567010309278354</v>
      </c>
      <c r="O57" s="18">
        <f t="shared" si="9"/>
        <v>0</v>
      </c>
      <c r="P57" s="18">
        <f t="shared" si="10"/>
        <v>10.489690721649486</v>
      </c>
      <c r="Q57" s="18">
        <f t="shared" si="11"/>
        <v>0</v>
      </c>
      <c r="R57" s="743"/>
      <c r="S57" s="547"/>
    </row>
    <row r="58" spans="1:19" s="244" customFormat="1" ht="13.5" thickBot="1">
      <c r="A58" s="1340"/>
      <c r="B58" s="548"/>
      <c r="C58" s="549">
        <v>45206725</v>
      </c>
      <c r="D58" s="550" t="s">
        <v>3883</v>
      </c>
      <c r="E58" s="557">
        <v>6185.5670103092789</v>
      </c>
      <c r="F58" s="13">
        <f t="shared" si="0"/>
        <v>3402.0618556701038</v>
      </c>
      <c r="G58" s="17">
        <f t="shared" si="1"/>
        <v>0</v>
      </c>
      <c r="H58" s="18">
        <f t="shared" si="2"/>
        <v>106.72268041237116</v>
      </c>
      <c r="I58" s="18">
        <f t="shared" si="3"/>
        <v>0</v>
      </c>
      <c r="J58" s="18">
        <f t="shared" si="4"/>
        <v>93.216494845360842</v>
      </c>
      <c r="K58" s="18">
        <f t="shared" si="5"/>
        <v>0</v>
      </c>
      <c r="L58" s="18">
        <f t="shared" si="6"/>
        <v>77.567010309278373</v>
      </c>
      <c r="M58" s="18">
        <f t="shared" si="7"/>
        <v>0</v>
      </c>
      <c r="N58" s="18">
        <f t="shared" si="8"/>
        <v>69.402061855670127</v>
      </c>
      <c r="O58" s="18">
        <f t="shared" si="9"/>
        <v>0</v>
      </c>
      <c r="P58" s="18">
        <f t="shared" si="10"/>
        <v>62.938144329896915</v>
      </c>
      <c r="Q58" s="18">
        <f t="shared" si="11"/>
        <v>0</v>
      </c>
      <c r="R58" s="743"/>
      <c r="S58" s="547"/>
    </row>
    <row r="59" spans="1:19" s="244" customFormat="1" ht="13.5" thickBot="1">
      <c r="A59" s="1340"/>
      <c r="B59" s="548"/>
      <c r="C59" s="551" t="s">
        <v>3830</v>
      </c>
      <c r="D59" s="552" t="s">
        <v>3846</v>
      </c>
      <c r="E59" s="557">
        <v>5365.9793814432987</v>
      </c>
      <c r="F59" s="13">
        <f t="shared" si="0"/>
        <v>2951.2886597938145</v>
      </c>
      <c r="G59" s="17">
        <f t="shared" si="1"/>
        <v>0</v>
      </c>
      <c r="H59" s="18">
        <f t="shared" si="2"/>
        <v>92.581925257731967</v>
      </c>
      <c r="I59" s="18">
        <f t="shared" si="3"/>
        <v>0</v>
      </c>
      <c r="J59" s="18">
        <f t="shared" si="4"/>
        <v>80.865309278350523</v>
      </c>
      <c r="K59" s="18">
        <f t="shared" si="5"/>
        <v>0</v>
      </c>
      <c r="L59" s="18">
        <f t="shared" si="6"/>
        <v>67.289381443298979</v>
      </c>
      <c r="M59" s="18">
        <f t="shared" si="7"/>
        <v>0</v>
      </c>
      <c r="N59" s="18">
        <f t="shared" si="8"/>
        <v>60.20628865979382</v>
      </c>
      <c r="O59" s="18">
        <f t="shared" si="9"/>
        <v>0</v>
      </c>
      <c r="P59" s="18">
        <f t="shared" si="10"/>
        <v>54.598840206185564</v>
      </c>
      <c r="Q59" s="18">
        <f t="shared" si="11"/>
        <v>0</v>
      </c>
      <c r="R59" s="743"/>
      <c r="S59" s="547"/>
    </row>
    <row r="60" spans="1:19" s="244" customFormat="1" ht="13.5" thickBot="1">
      <c r="A60" s="1340"/>
      <c r="B60" s="548"/>
      <c r="C60" s="551" t="s">
        <v>64</v>
      </c>
      <c r="D60" s="552" t="s">
        <v>3855</v>
      </c>
      <c r="E60" s="557">
        <v>1376.9072164948452</v>
      </c>
      <c r="F60" s="13">
        <f t="shared" si="0"/>
        <v>757.29896907216494</v>
      </c>
      <c r="G60" s="17">
        <f t="shared" si="1"/>
        <v>0</v>
      </c>
      <c r="H60" s="18">
        <f t="shared" si="2"/>
        <v>23.756468659793814</v>
      </c>
      <c r="I60" s="18">
        <f t="shared" si="3"/>
        <v>0</v>
      </c>
      <c r="J60" s="18">
        <f t="shared" si="4"/>
        <v>20.749991752577319</v>
      </c>
      <c r="K60" s="18">
        <f t="shared" si="5"/>
        <v>0</v>
      </c>
      <c r="L60" s="18">
        <f t="shared" si="6"/>
        <v>17.266416494845362</v>
      </c>
      <c r="M60" s="18">
        <f t="shared" si="7"/>
        <v>0</v>
      </c>
      <c r="N60" s="18">
        <f t="shared" si="8"/>
        <v>15.448898969072166</v>
      </c>
      <c r="O60" s="18">
        <f t="shared" si="9"/>
        <v>0</v>
      </c>
      <c r="P60" s="18">
        <f t="shared" si="10"/>
        <v>14.01003092783505</v>
      </c>
      <c r="Q60" s="18">
        <f t="shared" si="11"/>
        <v>0</v>
      </c>
      <c r="R60" s="743"/>
      <c r="S60" s="547"/>
    </row>
    <row r="61" spans="1:19" s="244" customFormat="1" ht="13.5" thickBot="1">
      <c r="A61" s="1340"/>
      <c r="B61" s="548"/>
      <c r="C61" s="551" t="s">
        <v>620</v>
      </c>
      <c r="D61" s="552" t="s">
        <v>3858</v>
      </c>
      <c r="E61" s="557">
        <v>2180.103092783505</v>
      </c>
      <c r="F61" s="13">
        <f t="shared" si="0"/>
        <v>1199.0567010309278</v>
      </c>
      <c r="G61" s="17">
        <f t="shared" si="1"/>
        <v>0</v>
      </c>
      <c r="H61" s="18">
        <f t="shared" si="2"/>
        <v>37.614408711340211</v>
      </c>
      <c r="I61" s="18">
        <f t="shared" si="3"/>
        <v>0</v>
      </c>
      <c r="J61" s="18">
        <f t="shared" si="4"/>
        <v>32.854153608247422</v>
      </c>
      <c r="K61" s="18">
        <f t="shared" si="5"/>
        <v>0</v>
      </c>
      <c r="L61" s="18">
        <f t="shared" si="6"/>
        <v>27.338492783505156</v>
      </c>
      <c r="M61" s="18">
        <f t="shared" si="7"/>
        <v>0</v>
      </c>
      <c r="N61" s="18">
        <f t="shared" si="8"/>
        <v>24.460756701030927</v>
      </c>
      <c r="O61" s="18">
        <f t="shared" si="9"/>
        <v>0</v>
      </c>
      <c r="P61" s="18">
        <f t="shared" si="10"/>
        <v>22.182548969072162</v>
      </c>
      <c r="Q61" s="18">
        <f t="shared" si="11"/>
        <v>0</v>
      </c>
      <c r="R61" s="743"/>
      <c r="S61" s="547"/>
    </row>
    <row r="62" spans="1:19" s="244" customFormat="1" ht="13.5" thickBot="1">
      <c r="A62" s="1340"/>
      <c r="B62" s="548"/>
      <c r="C62" s="551" t="s">
        <v>576</v>
      </c>
      <c r="D62" s="552" t="s">
        <v>3859</v>
      </c>
      <c r="E62" s="557">
        <v>2404.1237113402062</v>
      </c>
      <c r="F62" s="13">
        <f t="shared" si="0"/>
        <v>1322.2680412371135</v>
      </c>
      <c r="G62" s="17">
        <f t="shared" si="1"/>
        <v>0</v>
      </c>
      <c r="H62" s="18">
        <f t="shared" si="2"/>
        <v>41.479548453608253</v>
      </c>
      <c r="I62" s="18">
        <f t="shared" si="3"/>
        <v>0</v>
      </c>
      <c r="J62" s="18">
        <f t="shared" si="4"/>
        <v>36.230144329896909</v>
      </c>
      <c r="K62" s="18">
        <f t="shared" si="5"/>
        <v>0</v>
      </c>
      <c r="L62" s="18">
        <f t="shared" si="6"/>
        <v>30.14771134020619</v>
      </c>
      <c r="M62" s="18">
        <f t="shared" si="7"/>
        <v>0</v>
      </c>
      <c r="N62" s="18">
        <f t="shared" si="8"/>
        <v>26.974268041237117</v>
      </c>
      <c r="O62" s="18">
        <f t="shared" si="9"/>
        <v>0</v>
      </c>
      <c r="P62" s="18">
        <f t="shared" si="10"/>
        <v>24.461958762886599</v>
      </c>
      <c r="Q62" s="18">
        <f t="shared" si="11"/>
        <v>0</v>
      </c>
      <c r="R62" s="743"/>
      <c r="S62" s="547"/>
    </row>
    <row r="63" spans="1:19" s="244" customFormat="1" ht="13.5" thickBot="1">
      <c r="A63" s="1340"/>
      <c r="B63" s="548"/>
      <c r="C63" s="551" t="s">
        <v>267</v>
      </c>
      <c r="D63" s="552" t="s">
        <v>3850</v>
      </c>
      <c r="E63" s="557">
        <v>257.73195876288662</v>
      </c>
      <c r="F63" s="13">
        <f t="shared" si="0"/>
        <v>141.75257731958766</v>
      </c>
      <c r="G63" s="17">
        <f t="shared" si="1"/>
        <v>0</v>
      </c>
      <c r="H63" s="18">
        <f t="shared" si="2"/>
        <v>4.4467783505154648</v>
      </c>
      <c r="I63" s="18">
        <f t="shared" si="3"/>
        <v>0</v>
      </c>
      <c r="J63" s="18">
        <f t="shared" si="4"/>
        <v>3.8840206185567019</v>
      </c>
      <c r="K63" s="18">
        <f t="shared" si="5"/>
        <v>0</v>
      </c>
      <c r="L63" s="18">
        <f t="shared" si="6"/>
        <v>3.2319587628865989</v>
      </c>
      <c r="M63" s="18">
        <f t="shared" si="7"/>
        <v>0</v>
      </c>
      <c r="N63" s="18">
        <f t="shared" si="8"/>
        <v>2.8917525773195885</v>
      </c>
      <c r="O63" s="18">
        <f t="shared" si="9"/>
        <v>0</v>
      </c>
      <c r="P63" s="18">
        <f t="shared" si="10"/>
        <v>2.6224226804123716</v>
      </c>
      <c r="Q63" s="18">
        <f t="shared" si="11"/>
        <v>0</v>
      </c>
      <c r="R63" s="743"/>
      <c r="S63" s="547"/>
    </row>
    <row r="64" spans="1:19" s="244" customFormat="1" ht="13.5" thickBot="1">
      <c r="A64" s="1340"/>
      <c r="B64" s="548"/>
      <c r="C64" s="549" t="s">
        <v>618</v>
      </c>
      <c r="D64" s="550" t="s">
        <v>3856</v>
      </c>
      <c r="E64" s="557">
        <v>1830.9278350515465</v>
      </c>
      <c r="F64" s="13">
        <f t="shared" si="0"/>
        <v>1007.0103092783506</v>
      </c>
      <c r="G64" s="17">
        <f t="shared" si="1"/>
        <v>0</v>
      </c>
      <c r="H64" s="18">
        <f t="shared" ref="H64:H88" si="12">F64*0.03137</f>
        <v>31.58991340206186</v>
      </c>
      <c r="I64" s="18">
        <f t="shared" ref="I64:I88" si="13">H64*B64</f>
        <v>0</v>
      </c>
      <c r="J64" s="18">
        <f t="shared" si="4"/>
        <v>27.592082474226807</v>
      </c>
      <c r="K64" s="18">
        <f t="shared" ref="K64:K88" si="14">J64*B64</f>
        <v>0</v>
      </c>
      <c r="L64" s="18">
        <f t="shared" si="6"/>
        <v>22.959835051546396</v>
      </c>
      <c r="M64" s="18">
        <f t="shared" ref="M64:M88" si="15">L64*B64</f>
        <v>0</v>
      </c>
      <c r="N64" s="18">
        <f t="shared" ref="N64:N88" si="16">F64*0.0204</f>
        <v>20.543010309278355</v>
      </c>
      <c r="O64" s="18">
        <f t="shared" ref="O64:O88" si="17">N64*B64</f>
        <v>0</v>
      </c>
      <c r="P64" s="18">
        <f t="shared" ref="P64:P88" si="18">F64*0.0185</f>
        <v>18.629690721649485</v>
      </c>
      <c r="Q64" s="18">
        <f t="shared" ref="Q64:Q88" si="19">P64*B64</f>
        <v>0</v>
      </c>
      <c r="R64" s="743"/>
      <c r="S64" s="547"/>
    </row>
    <row r="65" spans="1:19" s="244" customFormat="1" ht="13.5" thickBot="1">
      <c r="A65" s="1340"/>
      <c r="B65" s="548"/>
      <c r="C65" s="551" t="s">
        <v>3835</v>
      </c>
      <c r="D65" s="552" t="s">
        <v>3884</v>
      </c>
      <c r="E65" s="557">
        <v>9278.350515463917</v>
      </c>
      <c r="F65" s="13">
        <f t="shared" si="0"/>
        <v>5103.0927835051543</v>
      </c>
      <c r="G65" s="17">
        <f t="shared" si="1"/>
        <v>0</v>
      </c>
      <c r="H65" s="18">
        <f t="shared" si="12"/>
        <v>160.08402061855671</v>
      </c>
      <c r="I65" s="18">
        <f t="shared" si="13"/>
        <v>0</v>
      </c>
      <c r="J65" s="18">
        <f t="shared" si="4"/>
        <v>139.82474226804123</v>
      </c>
      <c r="K65" s="18">
        <f t="shared" si="14"/>
        <v>0</v>
      </c>
      <c r="L65" s="18">
        <f t="shared" si="6"/>
        <v>116.35051546391752</v>
      </c>
      <c r="M65" s="18">
        <f t="shared" si="15"/>
        <v>0</v>
      </c>
      <c r="N65" s="18">
        <f t="shared" si="16"/>
        <v>104.10309278350516</v>
      </c>
      <c r="O65" s="18">
        <f t="shared" si="17"/>
        <v>0</v>
      </c>
      <c r="P65" s="18">
        <f t="shared" si="18"/>
        <v>94.407216494845343</v>
      </c>
      <c r="Q65" s="18">
        <f t="shared" si="19"/>
        <v>0</v>
      </c>
      <c r="R65" s="743"/>
      <c r="S65" s="547"/>
    </row>
    <row r="66" spans="1:19" s="244" customFormat="1" ht="13.5" thickBot="1">
      <c r="A66" s="1340"/>
      <c r="B66" s="548"/>
      <c r="C66" s="551" t="s">
        <v>3837</v>
      </c>
      <c r="D66" s="552" t="s">
        <v>3886</v>
      </c>
      <c r="E66" s="557">
        <v>6288.6597938144332</v>
      </c>
      <c r="F66" s="13">
        <v>741.40000000000009</v>
      </c>
      <c r="G66" s="17">
        <v>0</v>
      </c>
      <c r="H66" s="18">
        <f t="shared" si="12"/>
        <v>23.257718000000004</v>
      </c>
      <c r="I66" s="18">
        <f t="shared" si="13"/>
        <v>0</v>
      </c>
      <c r="J66" s="18">
        <f t="shared" si="4"/>
        <v>20.314360000000004</v>
      </c>
      <c r="K66" s="18">
        <f t="shared" si="14"/>
        <v>0</v>
      </c>
      <c r="L66" s="18">
        <f t="shared" si="6"/>
        <v>16.903920000000003</v>
      </c>
      <c r="M66" s="18">
        <f t="shared" si="15"/>
        <v>0</v>
      </c>
      <c r="N66" s="18">
        <f t="shared" si="16"/>
        <v>15.124560000000002</v>
      </c>
      <c r="O66" s="18">
        <f t="shared" si="17"/>
        <v>0</v>
      </c>
      <c r="P66" s="18">
        <f t="shared" si="18"/>
        <v>13.715900000000001</v>
      </c>
      <c r="Q66" s="18">
        <f t="shared" si="19"/>
        <v>0</v>
      </c>
      <c r="R66" s="743"/>
      <c r="S66" s="547"/>
    </row>
    <row r="67" spans="1:19" s="244" customFormat="1" ht="13.5" thickBot="1">
      <c r="A67" s="1340"/>
      <c r="B67" s="548"/>
      <c r="C67" s="551" t="s">
        <v>3832</v>
      </c>
      <c r="D67" s="552" t="s">
        <v>3865</v>
      </c>
      <c r="E67" s="557">
        <v>1608.2474226804125</v>
      </c>
      <c r="F67" s="13">
        <f t="shared" ref="F67:F88" si="20">E67*(1-45%)</f>
        <v>884.53608247422687</v>
      </c>
      <c r="G67" s="17">
        <f t="shared" ref="G67:G88" si="21">F67*B67</f>
        <v>0</v>
      </c>
      <c r="H67" s="18">
        <f t="shared" si="12"/>
        <v>27.7478969072165</v>
      </c>
      <c r="I67" s="18">
        <f t="shared" si="13"/>
        <v>0</v>
      </c>
      <c r="J67" s="18">
        <f t="shared" si="4"/>
        <v>24.236288659793818</v>
      </c>
      <c r="K67" s="18">
        <f t="shared" si="14"/>
        <v>0</v>
      </c>
      <c r="L67" s="18">
        <f t="shared" si="6"/>
        <v>20.167422680412372</v>
      </c>
      <c r="M67" s="18">
        <f t="shared" si="15"/>
        <v>0</v>
      </c>
      <c r="N67" s="18">
        <f t="shared" si="16"/>
        <v>18.044536082474231</v>
      </c>
      <c r="O67" s="18">
        <f t="shared" si="17"/>
        <v>0</v>
      </c>
      <c r="P67" s="18">
        <f t="shared" si="18"/>
        <v>16.363917525773196</v>
      </c>
      <c r="Q67" s="18">
        <f t="shared" si="19"/>
        <v>0</v>
      </c>
      <c r="R67" s="743"/>
      <c r="S67" s="547"/>
    </row>
    <row r="68" spans="1:19" s="244" customFormat="1" ht="13.5" thickBot="1">
      <c r="A68" s="1340"/>
      <c r="B68" s="548"/>
      <c r="C68" s="551" t="s">
        <v>799</v>
      </c>
      <c r="D68" s="552" t="s">
        <v>3843</v>
      </c>
      <c r="E68" s="557">
        <v>396.67010309278351</v>
      </c>
      <c r="F68" s="13">
        <f t="shared" si="20"/>
        <v>218.16855670103095</v>
      </c>
      <c r="G68" s="17">
        <f t="shared" si="21"/>
        <v>0</v>
      </c>
      <c r="H68" s="18">
        <f t="shared" si="12"/>
        <v>6.8439476237113412</v>
      </c>
      <c r="I68" s="18">
        <f t="shared" si="13"/>
        <v>0</v>
      </c>
      <c r="J68" s="18">
        <f t="shared" si="4"/>
        <v>5.9778184536082479</v>
      </c>
      <c r="K68" s="18">
        <f t="shared" si="14"/>
        <v>0</v>
      </c>
      <c r="L68" s="18">
        <f t="shared" si="6"/>
        <v>4.9742430927835057</v>
      </c>
      <c r="M68" s="18">
        <f t="shared" si="15"/>
        <v>0</v>
      </c>
      <c r="N68" s="18">
        <f t="shared" si="16"/>
        <v>4.4506385567010316</v>
      </c>
      <c r="O68" s="18">
        <f t="shared" si="17"/>
        <v>0</v>
      </c>
      <c r="P68" s="18">
        <f t="shared" si="18"/>
        <v>4.0361182989690727</v>
      </c>
      <c r="Q68" s="18">
        <f t="shared" si="19"/>
        <v>0</v>
      </c>
      <c r="R68" s="743"/>
      <c r="S68" s="547"/>
    </row>
    <row r="69" spans="1:19" s="244" customFormat="1" ht="13.5" thickBot="1">
      <c r="A69" s="1340"/>
      <c r="B69" s="548"/>
      <c r="C69" s="551" t="s">
        <v>544</v>
      </c>
      <c r="D69" s="552" t="s">
        <v>3854</v>
      </c>
      <c r="E69" s="557">
        <v>3671.7525773195875</v>
      </c>
      <c r="F69" s="13">
        <f t="shared" si="20"/>
        <v>2019.4639175257732</v>
      </c>
      <c r="G69" s="17">
        <f t="shared" si="21"/>
        <v>0</v>
      </c>
      <c r="H69" s="18">
        <f t="shared" si="12"/>
        <v>63.350583092783509</v>
      </c>
      <c r="I69" s="18">
        <f t="shared" si="13"/>
        <v>0</v>
      </c>
      <c r="J69" s="18">
        <f t="shared" si="4"/>
        <v>55.333311340206187</v>
      </c>
      <c r="K69" s="18">
        <f t="shared" si="14"/>
        <v>0</v>
      </c>
      <c r="L69" s="18">
        <f t="shared" si="6"/>
        <v>46.043777319587633</v>
      </c>
      <c r="M69" s="18">
        <f t="shared" si="15"/>
        <v>0</v>
      </c>
      <c r="N69" s="18">
        <f t="shared" si="16"/>
        <v>41.197063917525774</v>
      </c>
      <c r="O69" s="18">
        <f t="shared" si="17"/>
        <v>0</v>
      </c>
      <c r="P69" s="18">
        <f t="shared" si="18"/>
        <v>37.3600824742268</v>
      </c>
      <c r="Q69" s="18">
        <f t="shared" si="19"/>
        <v>0</v>
      </c>
      <c r="R69" s="743"/>
      <c r="S69" s="547"/>
    </row>
    <row r="70" spans="1:19" s="244" customFormat="1" ht="13.5" thickBot="1">
      <c r="A70" s="1340"/>
      <c r="B70" s="548"/>
      <c r="C70" s="551" t="s">
        <v>589</v>
      </c>
      <c r="D70" s="552" t="s">
        <v>3863</v>
      </c>
      <c r="E70" s="557">
        <v>5670.1030927835054</v>
      </c>
      <c r="F70" s="13">
        <f t="shared" si="20"/>
        <v>3118.5567010309283</v>
      </c>
      <c r="G70" s="17">
        <f t="shared" si="21"/>
        <v>0</v>
      </c>
      <c r="H70" s="18">
        <f t="shared" si="12"/>
        <v>97.82912371134023</v>
      </c>
      <c r="I70" s="18">
        <f t="shared" si="13"/>
        <v>0</v>
      </c>
      <c r="J70" s="18">
        <f t="shared" si="4"/>
        <v>85.448453608247434</v>
      </c>
      <c r="K70" s="18">
        <f t="shared" si="14"/>
        <v>0</v>
      </c>
      <c r="L70" s="18">
        <f t="shared" si="6"/>
        <v>71.103092783505161</v>
      </c>
      <c r="M70" s="18">
        <f t="shared" si="15"/>
        <v>0</v>
      </c>
      <c r="N70" s="18">
        <f t="shared" si="16"/>
        <v>63.61855670103094</v>
      </c>
      <c r="O70" s="18">
        <f t="shared" si="17"/>
        <v>0</v>
      </c>
      <c r="P70" s="18">
        <f t="shared" si="18"/>
        <v>57.693298969072167</v>
      </c>
      <c r="Q70" s="18">
        <f t="shared" si="19"/>
        <v>0</v>
      </c>
      <c r="R70" s="743"/>
      <c r="S70" s="547"/>
    </row>
    <row r="71" spans="1:19" s="244" customFormat="1" ht="13.5" thickBot="1">
      <c r="A71" s="1340"/>
      <c r="B71" s="548"/>
      <c r="C71" s="551" t="s">
        <v>621</v>
      </c>
      <c r="D71" s="552" t="s">
        <v>3864</v>
      </c>
      <c r="E71" s="557">
        <v>4561.855670103093</v>
      </c>
      <c r="F71" s="13">
        <f t="shared" si="20"/>
        <v>2509.0206185567013</v>
      </c>
      <c r="G71" s="17">
        <f t="shared" si="21"/>
        <v>0</v>
      </c>
      <c r="H71" s="18">
        <f t="shared" si="12"/>
        <v>78.707976804123717</v>
      </c>
      <c r="I71" s="18">
        <f t="shared" si="13"/>
        <v>0</v>
      </c>
      <c r="J71" s="18">
        <f t="shared" si="4"/>
        <v>68.747164948453616</v>
      </c>
      <c r="K71" s="18">
        <f t="shared" si="14"/>
        <v>0</v>
      </c>
      <c r="L71" s="18">
        <f t="shared" si="6"/>
        <v>57.205670103092793</v>
      </c>
      <c r="M71" s="18">
        <f t="shared" si="15"/>
        <v>0</v>
      </c>
      <c r="N71" s="18">
        <f t="shared" si="16"/>
        <v>51.184020618556708</v>
      </c>
      <c r="O71" s="18">
        <f t="shared" si="17"/>
        <v>0</v>
      </c>
      <c r="P71" s="18">
        <f t="shared" si="18"/>
        <v>46.416881443298969</v>
      </c>
      <c r="Q71" s="18">
        <f t="shared" si="19"/>
        <v>0</v>
      </c>
      <c r="R71" s="743"/>
      <c r="S71" s="547"/>
    </row>
    <row r="72" spans="1:19" s="244" customFormat="1" ht="13.5" thickBot="1">
      <c r="A72" s="1340"/>
      <c r="B72" s="548"/>
      <c r="C72" s="551" t="s">
        <v>3833</v>
      </c>
      <c r="D72" s="552" t="s">
        <v>3866</v>
      </c>
      <c r="E72" s="557">
        <v>600</v>
      </c>
      <c r="F72" s="13">
        <f t="shared" si="20"/>
        <v>330</v>
      </c>
      <c r="G72" s="17">
        <f t="shared" si="21"/>
        <v>0</v>
      </c>
      <c r="H72" s="18">
        <f t="shared" si="12"/>
        <v>10.3521</v>
      </c>
      <c r="I72" s="18">
        <f t="shared" si="13"/>
        <v>0</v>
      </c>
      <c r="J72" s="18">
        <f t="shared" si="4"/>
        <v>9.0419999999999998</v>
      </c>
      <c r="K72" s="18">
        <f t="shared" si="14"/>
        <v>0</v>
      </c>
      <c r="L72" s="18">
        <f t="shared" si="6"/>
        <v>7.524</v>
      </c>
      <c r="M72" s="18">
        <f t="shared" si="15"/>
        <v>0</v>
      </c>
      <c r="N72" s="18">
        <f t="shared" si="16"/>
        <v>6.7320000000000002</v>
      </c>
      <c r="O72" s="18">
        <f t="shared" si="17"/>
        <v>0</v>
      </c>
      <c r="P72" s="18">
        <f t="shared" si="18"/>
        <v>6.1049999999999995</v>
      </c>
      <c r="Q72" s="18">
        <f t="shared" si="19"/>
        <v>0</v>
      </c>
      <c r="R72" s="743"/>
      <c r="S72" s="547"/>
    </row>
    <row r="73" spans="1:19" s="244" customFormat="1" ht="13.5" thickBot="1">
      <c r="A73" s="1340"/>
      <c r="B73" s="548"/>
      <c r="C73" s="551" t="s">
        <v>56</v>
      </c>
      <c r="D73" s="552" t="s">
        <v>3848</v>
      </c>
      <c r="E73" s="557">
        <v>458.76288659793818</v>
      </c>
      <c r="F73" s="13">
        <f t="shared" si="20"/>
        <v>252.31958762886603</v>
      </c>
      <c r="G73" s="17">
        <f t="shared" si="21"/>
        <v>0</v>
      </c>
      <c r="H73" s="18">
        <f t="shared" si="12"/>
        <v>7.9152654639175282</v>
      </c>
      <c r="I73" s="18">
        <f t="shared" si="13"/>
        <v>0</v>
      </c>
      <c r="J73" s="18">
        <f t="shared" si="4"/>
        <v>6.9135567010309291</v>
      </c>
      <c r="K73" s="18">
        <f t="shared" si="14"/>
        <v>0</v>
      </c>
      <c r="L73" s="18">
        <f t="shared" si="6"/>
        <v>5.7528865979381454</v>
      </c>
      <c r="M73" s="18">
        <f t="shared" si="15"/>
        <v>0</v>
      </c>
      <c r="N73" s="18">
        <f t="shared" si="16"/>
        <v>5.1473195876288678</v>
      </c>
      <c r="O73" s="18">
        <f t="shared" si="17"/>
        <v>0</v>
      </c>
      <c r="P73" s="18">
        <f t="shared" si="18"/>
        <v>4.6679123711340216</v>
      </c>
      <c r="Q73" s="18">
        <f t="shared" si="19"/>
        <v>0</v>
      </c>
      <c r="R73" s="743"/>
      <c r="S73" s="547"/>
    </row>
    <row r="74" spans="1:19" s="244" customFormat="1" ht="13.5" thickBot="1">
      <c r="A74" s="1340"/>
      <c r="B74" s="548"/>
      <c r="C74" s="551" t="s">
        <v>546</v>
      </c>
      <c r="D74" s="552" t="s">
        <v>3862</v>
      </c>
      <c r="E74" s="557">
        <v>618.5567010309278</v>
      </c>
      <c r="F74" s="13">
        <f t="shared" si="20"/>
        <v>340.20618556701032</v>
      </c>
      <c r="G74" s="17">
        <f t="shared" si="21"/>
        <v>0</v>
      </c>
      <c r="H74" s="18">
        <f t="shared" si="12"/>
        <v>10.672268041237114</v>
      </c>
      <c r="I74" s="18">
        <f t="shared" si="13"/>
        <v>0</v>
      </c>
      <c r="J74" s="18">
        <f t="shared" si="4"/>
        <v>9.3216494845360831</v>
      </c>
      <c r="K74" s="18">
        <f t="shared" si="14"/>
        <v>0</v>
      </c>
      <c r="L74" s="18">
        <f t="shared" si="6"/>
        <v>7.7567010309278359</v>
      </c>
      <c r="M74" s="18">
        <f t="shared" si="15"/>
        <v>0</v>
      </c>
      <c r="N74" s="18">
        <f t="shared" si="16"/>
        <v>6.9402061855670114</v>
      </c>
      <c r="O74" s="18">
        <f t="shared" si="17"/>
        <v>0</v>
      </c>
      <c r="P74" s="18">
        <f t="shared" si="18"/>
        <v>6.2938144329896906</v>
      </c>
      <c r="Q74" s="18">
        <f t="shared" si="19"/>
        <v>0</v>
      </c>
      <c r="R74" s="743"/>
      <c r="S74" s="547"/>
    </row>
    <row r="75" spans="1:19" s="244" customFormat="1" ht="13.5" thickBot="1">
      <c r="A75" s="1340"/>
      <c r="B75" s="548"/>
      <c r="C75" s="551" t="s">
        <v>3755</v>
      </c>
      <c r="D75" s="552" t="s">
        <v>3868</v>
      </c>
      <c r="E75" s="557">
        <v>505.15463917525773</v>
      </c>
      <c r="F75" s="13">
        <f t="shared" si="20"/>
        <v>277.83505154639175</v>
      </c>
      <c r="G75" s="17">
        <f t="shared" si="21"/>
        <v>0</v>
      </c>
      <c r="H75" s="18">
        <f t="shared" si="12"/>
        <v>8.7156855670103095</v>
      </c>
      <c r="I75" s="18">
        <f t="shared" si="13"/>
        <v>0</v>
      </c>
      <c r="J75" s="18">
        <f t="shared" si="4"/>
        <v>7.6126804123711347</v>
      </c>
      <c r="K75" s="18">
        <f t="shared" si="14"/>
        <v>0</v>
      </c>
      <c r="L75" s="18">
        <f t="shared" si="6"/>
        <v>6.334639175257732</v>
      </c>
      <c r="M75" s="18">
        <f t="shared" si="15"/>
        <v>0</v>
      </c>
      <c r="N75" s="18">
        <f t="shared" si="16"/>
        <v>5.6678350515463922</v>
      </c>
      <c r="O75" s="18">
        <f t="shared" si="17"/>
        <v>0</v>
      </c>
      <c r="P75" s="18">
        <f t="shared" si="18"/>
        <v>5.1399484536082474</v>
      </c>
      <c r="Q75" s="18">
        <f t="shared" si="19"/>
        <v>0</v>
      </c>
      <c r="R75" s="743"/>
      <c r="S75" s="547"/>
    </row>
    <row r="76" spans="1:19" s="244" customFormat="1" ht="13.5" thickBot="1">
      <c r="A76" s="1340"/>
      <c r="B76" s="548"/>
      <c r="C76" s="549" t="s">
        <v>3756</v>
      </c>
      <c r="D76" s="550" t="s">
        <v>3869</v>
      </c>
      <c r="E76" s="557">
        <v>793.81443298969077</v>
      </c>
      <c r="F76" s="13">
        <f t="shared" si="20"/>
        <v>436.59793814432999</v>
      </c>
      <c r="G76" s="17">
        <f t="shared" si="21"/>
        <v>0</v>
      </c>
      <c r="H76" s="18">
        <f t="shared" si="12"/>
        <v>13.696077319587632</v>
      </c>
      <c r="I76" s="18">
        <f t="shared" si="13"/>
        <v>0</v>
      </c>
      <c r="J76" s="18">
        <f t="shared" si="4"/>
        <v>11.962783505154642</v>
      </c>
      <c r="K76" s="18">
        <f t="shared" si="14"/>
        <v>0</v>
      </c>
      <c r="L76" s="18">
        <f t="shared" si="6"/>
        <v>9.9544329896907247</v>
      </c>
      <c r="M76" s="18">
        <f t="shared" si="15"/>
        <v>0</v>
      </c>
      <c r="N76" s="18">
        <f t="shared" si="16"/>
        <v>8.9065979381443316</v>
      </c>
      <c r="O76" s="18">
        <f t="shared" si="17"/>
        <v>0</v>
      </c>
      <c r="P76" s="18">
        <f t="shared" si="18"/>
        <v>8.0770618556701042</v>
      </c>
      <c r="Q76" s="18">
        <f t="shared" si="19"/>
        <v>0</v>
      </c>
      <c r="R76" s="743"/>
      <c r="S76" s="547"/>
    </row>
    <row r="77" spans="1:19" s="244" customFormat="1" ht="13.5" thickBot="1">
      <c r="A77" s="1340"/>
      <c r="B77" s="548"/>
      <c r="C77" s="551" t="s">
        <v>69</v>
      </c>
      <c r="D77" s="552" t="s">
        <v>3839</v>
      </c>
      <c r="E77" s="557">
        <v>96.907216494845358</v>
      </c>
      <c r="F77" s="13">
        <f t="shared" si="20"/>
        <v>53.298969072164951</v>
      </c>
      <c r="G77" s="17">
        <f t="shared" si="21"/>
        <v>0</v>
      </c>
      <c r="H77" s="18">
        <f t="shared" si="12"/>
        <v>1.6719886597938147</v>
      </c>
      <c r="I77" s="18">
        <f t="shared" si="13"/>
        <v>0</v>
      </c>
      <c r="J77" s="18">
        <f t="shared" si="4"/>
        <v>1.4603917525773198</v>
      </c>
      <c r="K77" s="18">
        <f t="shared" si="14"/>
        <v>0</v>
      </c>
      <c r="L77" s="18">
        <f t="shared" si="6"/>
        <v>1.215216494845361</v>
      </c>
      <c r="M77" s="18">
        <f t="shared" si="15"/>
        <v>0</v>
      </c>
      <c r="N77" s="18">
        <f t="shared" si="16"/>
        <v>1.0872989690721651</v>
      </c>
      <c r="O77" s="18">
        <f t="shared" si="17"/>
        <v>0</v>
      </c>
      <c r="P77" s="18">
        <f t="shared" si="18"/>
        <v>0.98603092783505153</v>
      </c>
      <c r="Q77" s="18">
        <f t="shared" si="19"/>
        <v>0</v>
      </c>
      <c r="R77" s="743"/>
      <c r="S77" s="547"/>
    </row>
    <row r="78" spans="1:19" s="244" customFormat="1" ht="13.5" thickBot="1">
      <c r="A78" s="1340"/>
      <c r="B78" s="548"/>
      <c r="C78" s="551" t="s">
        <v>547</v>
      </c>
      <c r="D78" s="552" t="s">
        <v>3844</v>
      </c>
      <c r="E78" s="557">
        <v>711.40206185567001</v>
      </c>
      <c r="F78" s="13">
        <f t="shared" si="20"/>
        <v>391.27113402061855</v>
      </c>
      <c r="G78" s="17">
        <f t="shared" si="21"/>
        <v>0</v>
      </c>
      <c r="H78" s="18">
        <f t="shared" si="12"/>
        <v>12.274175474226805</v>
      </c>
      <c r="I78" s="18">
        <f t="shared" si="13"/>
        <v>0</v>
      </c>
      <c r="J78" s="18">
        <f>F78*0.02564</f>
        <v>10.032191876288659</v>
      </c>
      <c r="K78" s="18">
        <f t="shared" si="14"/>
        <v>0</v>
      </c>
      <c r="L78" s="18">
        <f>F78*0.0256</f>
        <v>10.016541030927835</v>
      </c>
      <c r="M78" s="18">
        <f t="shared" si="15"/>
        <v>0</v>
      </c>
      <c r="N78" s="18">
        <f t="shared" si="16"/>
        <v>7.9819311340206189</v>
      </c>
      <c r="O78" s="18">
        <f t="shared" si="17"/>
        <v>0</v>
      </c>
      <c r="P78" s="18">
        <f t="shared" si="18"/>
        <v>7.2385159793814431</v>
      </c>
      <c r="Q78" s="18">
        <f t="shared" si="19"/>
        <v>0</v>
      </c>
      <c r="R78" s="743"/>
      <c r="S78" s="547"/>
    </row>
    <row r="79" spans="1:19" s="244" customFormat="1" ht="13.5" thickBot="1">
      <c r="A79" s="1340"/>
      <c r="B79" s="548"/>
      <c r="C79" s="549" t="s">
        <v>3741</v>
      </c>
      <c r="D79" s="550" t="s">
        <v>3852</v>
      </c>
      <c r="E79" s="557">
        <v>3915.4639175257735</v>
      </c>
      <c r="F79" s="13">
        <f t="shared" si="20"/>
        <v>2153.5051546391755</v>
      </c>
      <c r="G79" s="17">
        <f t="shared" si="21"/>
        <v>0</v>
      </c>
      <c r="H79" s="18">
        <f t="shared" si="12"/>
        <v>67.555456701030934</v>
      </c>
      <c r="I79" s="18">
        <f t="shared" si="13"/>
        <v>0</v>
      </c>
      <c r="J79" s="18">
        <f>F79*0.0274</f>
        <v>59.006041237113415</v>
      </c>
      <c r="K79" s="18">
        <f t="shared" si="14"/>
        <v>0</v>
      </c>
      <c r="L79" s="18">
        <f t="shared" ref="L79:L88" si="22">F79*0.0228</f>
        <v>49.099917525773208</v>
      </c>
      <c r="M79" s="18">
        <f t="shared" si="15"/>
        <v>0</v>
      </c>
      <c r="N79" s="18">
        <f t="shared" si="16"/>
        <v>43.931505154639183</v>
      </c>
      <c r="O79" s="18">
        <f t="shared" si="17"/>
        <v>0</v>
      </c>
      <c r="P79" s="18">
        <f t="shared" si="18"/>
        <v>39.839845360824746</v>
      </c>
      <c r="Q79" s="18">
        <f t="shared" si="19"/>
        <v>0</v>
      </c>
      <c r="R79" s="743"/>
      <c r="S79" s="547"/>
    </row>
    <row r="80" spans="1:19" s="244" customFormat="1" ht="13.5" thickBot="1">
      <c r="A80" s="1340"/>
      <c r="B80" s="548"/>
      <c r="C80" s="551" t="s">
        <v>619</v>
      </c>
      <c r="D80" s="552" t="s">
        <v>3857</v>
      </c>
      <c r="E80" s="557">
        <v>6655.0515463917527</v>
      </c>
      <c r="F80" s="13">
        <f t="shared" si="20"/>
        <v>3660.2783505154644</v>
      </c>
      <c r="G80" s="17">
        <f t="shared" si="21"/>
        <v>0</v>
      </c>
      <c r="H80" s="18">
        <f t="shared" si="12"/>
        <v>114.82293185567012</v>
      </c>
      <c r="I80" s="18">
        <f t="shared" si="13"/>
        <v>0</v>
      </c>
      <c r="J80" s="18">
        <f>F80*0.0274</f>
        <v>100.29162680412372</v>
      </c>
      <c r="K80" s="18">
        <f t="shared" si="14"/>
        <v>0</v>
      </c>
      <c r="L80" s="18">
        <f t="shared" si="22"/>
        <v>83.454346391752594</v>
      </c>
      <c r="M80" s="18">
        <f t="shared" si="15"/>
        <v>0</v>
      </c>
      <c r="N80" s="18">
        <f t="shared" si="16"/>
        <v>74.669678350515483</v>
      </c>
      <c r="O80" s="18">
        <f t="shared" si="17"/>
        <v>0</v>
      </c>
      <c r="P80" s="18">
        <f t="shared" si="18"/>
        <v>67.715149484536084</v>
      </c>
      <c r="Q80" s="18">
        <f t="shared" si="19"/>
        <v>0</v>
      </c>
      <c r="R80" s="743"/>
      <c r="S80" s="547"/>
    </row>
    <row r="81" spans="1:19" s="244" customFormat="1" ht="13.5" thickBot="1">
      <c r="A81" s="1340"/>
      <c r="B81" s="548"/>
      <c r="C81" s="549" t="s">
        <v>3831</v>
      </c>
      <c r="D81" s="550" t="s">
        <v>3860</v>
      </c>
      <c r="E81" s="557">
        <v>11051.546391752578</v>
      </c>
      <c r="F81" s="13">
        <f t="shared" si="20"/>
        <v>6078.3505154639179</v>
      </c>
      <c r="G81" s="17">
        <f t="shared" si="21"/>
        <v>0</v>
      </c>
      <c r="H81" s="18">
        <f t="shared" si="12"/>
        <v>190.67785567010313</v>
      </c>
      <c r="I81" s="18">
        <f t="shared" si="13"/>
        <v>0</v>
      </c>
      <c r="J81" s="18">
        <f>F81*0.0274</f>
        <v>166.54680412371135</v>
      </c>
      <c r="K81" s="18">
        <f t="shared" si="14"/>
        <v>0</v>
      </c>
      <c r="L81" s="18">
        <f t="shared" si="22"/>
        <v>138.58639175257733</v>
      </c>
      <c r="M81" s="18">
        <f t="shared" si="15"/>
        <v>0</v>
      </c>
      <c r="N81" s="18">
        <f t="shared" si="16"/>
        <v>123.99835051546394</v>
      </c>
      <c r="O81" s="18">
        <f t="shared" si="17"/>
        <v>0</v>
      </c>
      <c r="P81" s="18">
        <f t="shared" si="18"/>
        <v>112.44948453608248</v>
      </c>
      <c r="Q81" s="18">
        <f t="shared" si="19"/>
        <v>0</v>
      </c>
      <c r="R81" s="743"/>
      <c r="S81" s="547"/>
    </row>
    <row r="82" spans="1:19" s="244" customFormat="1" ht="13.5" thickBot="1">
      <c r="A82" s="1340"/>
      <c r="B82" s="548"/>
      <c r="C82" s="551" t="s">
        <v>158</v>
      </c>
      <c r="D82" s="552" t="s">
        <v>3845</v>
      </c>
      <c r="E82" s="557">
        <v>1147.4226804123712</v>
      </c>
      <c r="F82" s="13">
        <f t="shared" si="20"/>
        <v>631.08247422680415</v>
      </c>
      <c r="G82" s="17">
        <f t="shared" si="21"/>
        <v>0</v>
      </c>
      <c r="H82" s="18">
        <f t="shared" si="12"/>
        <v>19.797057216494849</v>
      </c>
      <c r="I82" s="18">
        <f t="shared" si="13"/>
        <v>0</v>
      </c>
      <c r="J82" s="18">
        <f>F82*0.02564</f>
        <v>16.180954639175258</v>
      </c>
      <c r="K82" s="18">
        <f t="shared" si="14"/>
        <v>0</v>
      </c>
      <c r="L82" s="18">
        <f t="shared" si="22"/>
        <v>14.388680412371135</v>
      </c>
      <c r="M82" s="18">
        <f t="shared" si="15"/>
        <v>0</v>
      </c>
      <c r="N82" s="18">
        <f t="shared" si="16"/>
        <v>12.874082474226805</v>
      </c>
      <c r="O82" s="18">
        <f t="shared" si="17"/>
        <v>0</v>
      </c>
      <c r="P82" s="18">
        <f t="shared" si="18"/>
        <v>11.675025773195877</v>
      </c>
      <c r="Q82" s="18">
        <f t="shared" si="19"/>
        <v>0</v>
      </c>
      <c r="R82" s="743"/>
      <c r="S82" s="547"/>
    </row>
    <row r="83" spans="1:19" s="244" customFormat="1" ht="13.5" thickBot="1">
      <c r="A83" s="1340"/>
      <c r="B83" s="548"/>
      <c r="C83" s="551" t="s">
        <v>3740</v>
      </c>
      <c r="D83" s="552" t="s">
        <v>3851</v>
      </c>
      <c r="E83" s="557">
        <v>861.11340206185571</v>
      </c>
      <c r="F83" s="13">
        <f t="shared" si="20"/>
        <v>473.61237113402069</v>
      </c>
      <c r="G83" s="17">
        <f t="shared" si="21"/>
        <v>0</v>
      </c>
      <c r="H83" s="18">
        <f t="shared" si="12"/>
        <v>14.85722008247423</v>
      </c>
      <c r="I83" s="18">
        <f t="shared" si="13"/>
        <v>0</v>
      </c>
      <c r="J83" s="18">
        <f t="shared" ref="J83:J88" si="23">F83*0.0274</f>
        <v>12.976978969072167</v>
      </c>
      <c r="K83" s="18">
        <f t="shared" si="14"/>
        <v>0</v>
      </c>
      <c r="L83" s="18">
        <f t="shared" si="22"/>
        <v>10.798362061855672</v>
      </c>
      <c r="M83" s="18">
        <f t="shared" si="15"/>
        <v>0</v>
      </c>
      <c r="N83" s="18">
        <f t="shared" si="16"/>
        <v>9.6616923711340235</v>
      </c>
      <c r="O83" s="18">
        <f t="shared" si="17"/>
        <v>0</v>
      </c>
      <c r="P83" s="18">
        <f t="shared" si="18"/>
        <v>8.7618288659793819</v>
      </c>
      <c r="Q83" s="18">
        <f t="shared" si="19"/>
        <v>0</v>
      </c>
      <c r="R83" s="743"/>
      <c r="S83" s="547"/>
    </row>
    <row r="84" spans="1:19" s="244" customFormat="1" ht="13.5" thickBot="1">
      <c r="A84" s="1340"/>
      <c r="B84" s="548"/>
      <c r="C84" s="549" t="s">
        <v>55</v>
      </c>
      <c r="D84" s="550" t="s">
        <v>3847</v>
      </c>
      <c r="E84" s="557">
        <v>2038.5876288659795</v>
      </c>
      <c r="F84" s="13">
        <f t="shared" si="20"/>
        <v>1121.2231958762889</v>
      </c>
      <c r="G84" s="17">
        <f t="shared" si="21"/>
        <v>0</v>
      </c>
      <c r="H84" s="18">
        <f t="shared" si="12"/>
        <v>35.172771654639185</v>
      </c>
      <c r="I84" s="18">
        <f t="shared" si="13"/>
        <v>0</v>
      </c>
      <c r="J84" s="18">
        <f t="shared" si="23"/>
        <v>30.721515567010314</v>
      </c>
      <c r="K84" s="18">
        <f t="shared" si="14"/>
        <v>0</v>
      </c>
      <c r="L84" s="18">
        <f t="shared" si="22"/>
        <v>25.563888865979386</v>
      </c>
      <c r="M84" s="18">
        <f t="shared" si="15"/>
        <v>0</v>
      </c>
      <c r="N84" s="18">
        <f t="shared" si="16"/>
        <v>22.872953195876295</v>
      </c>
      <c r="O84" s="18">
        <f t="shared" si="17"/>
        <v>0</v>
      </c>
      <c r="P84" s="18">
        <f t="shared" si="18"/>
        <v>20.742629123711342</v>
      </c>
      <c r="Q84" s="18">
        <f t="shared" si="19"/>
        <v>0</v>
      </c>
      <c r="R84" s="743"/>
      <c r="S84" s="547"/>
    </row>
    <row r="85" spans="1:19" s="244" customFormat="1" ht="13.5" thickBot="1">
      <c r="A85" s="1340"/>
      <c r="B85" s="548"/>
      <c r="C85" s="551" t="s">
        <v>3711</v>
      </c>
      <c r="D85" s="552" t="s">
        <v>3647</v>
      </c>
      <c r="E85" s="557">
        <v>796.90721649484533</v>
      </c>
      <c r="F85" s="13">
        <f t="shared" si="20"/>
        <v>438.29896907216499</v>
      </c>
      <c r="G85" s="17">
        <f t="shared" si="21"/>
        <v>0</v>
      </c>
      <c r="H85" s="18">
        <f t="shared" si="12"/>
        <v>13.749438659793817</v>
      </c>
      <c r="I85" s="18">
        <f t="shared" si="13"/>
        <v>0</v>
      </c>
      <c r="J85" s="18">
        <f t="shared" si="23"/>
        <v>12.00939175257732</v>
      </c>
      <c r="K85" s="18">
        <f t="shared" si="14"/>
        <v>0</v>
      </c>
      <c r="L85" s="18">
        <f t="shared" si="22"/>
        <v>9.9932164948453615</v>
      </c>
      <c r="M85" s="18">
        <f t="shared" si="15"/>
        <v>0</v>
      </c>
      <c r="N85" s="18">
        <f t="shared" si="16"/>
        <v>8.9412989690721663</v>
      </c>
      <c r="O85" s="18">
        <f t="shared" si="17"/>
        <v>0</v>
      </c>
      <c r="P85" s="18">
        <f t="shared" si="18"/>
        <v>8.1085309278350515</v>
      </c>
      <c r="Q85" s="18">
        <f t="shared" si="19"/>
        <v>0</v>
      </c>
      <c r="R85" s="743"/>
      <c r="S85" s="547"/>
    </row>
    <row r="86" spans="1:19" s="244" customFormat="1" ht="13.5" thickBot="1">
      <c r="A86" s="1340"/>
      <c r="B86" s="548"/>
      <c r="C86" s="551" t="s">
        <v>3754</v>
      </c>
      <c r="D86" s="552" t="s">
        <v>3841</v>
      </c>
      <c r="E86" s="557">
        <v>2577.319587628866</v>
      </c>
      <c r="F86" s="13">
        <f t="shared" si="20"/>
        <v>1417.5257731958764</v>
      </c>
      <c r="G86" s="17">
        <f t="shared" si="21"/>
        <v>0</v>
      </c>
      <c r="H86" s="18">
        <f t="shared" si="12"/>
        <v>44.467783505154642</v>
      </c>
      <c r="I86" s="18">
        <f t="shared" si="13"/>
        <v>0</v>
      </c>
      <c r="J86" s="18">
        <f t="shared" si="23"/>
        <v>38.840206185567013</v>
      </c>
      <c r="K86" s="18">
        <f t="shared" si="14"/>
        <v>0</v>
      </c>
      <c r="L86" s="18">
        <f t="shared" si="22"/>
        <v>32.319587628865982</v>
      </c>
      <c r="M86" s="18">
        <f t="shared" si="15"/>
        <v>0</v>
      </c>
      <c r="N86" s="18">
        <f t="shared" si="16"/>
        <v>28.91752577319588</v>
      </c>
      <c r="O86" s="18">
        <f t="shared" si="17"/>
        <v>0</v>
      </c>
      <c r="P86" s="18">
        <f t="shared" si="18"/>
        <v>26.22422680412371</v>
      </c>
      <c r="Q86" s="18">
        <f t="shared" si="19"/>
        <v>0</v>
      </c>
      <c r="R86" s="743"/>
      <c r="S86" s="547"/>
    </row>
    <row r="87" spans="1:19" s="244" customFormat="1" ht="13.5" thickBot="1">
      <c r="A87" s="1340"/>
      <c r="B87" s="548"/>
      <c r="C87" s="551" t="s">
        <v>3765</v>
      </c>
      <c r="D87" s="552" t="s">
        <v>3853</v>
      </c>
      <c r="E87" s="557">
        <v>927.83505154639181</v>
      </c>
      <c r="F87" s="13">
        <f t="shared" si="20"/>
        <v>510.30927835051551</v>
      </c>
      <c r="G87" s="17">
        <f t="shared" si="21"/>
        <v>0</v>
      </c>
      <c r="H87" s="18">
        <f t="shared" si="12"/>
        <v>16.008402061855673</v>
      </c>
      <c r="I87" s="18">
        <f t="shared" si="13"/>
        <v>0</v>
      </c>
      <c r="J87" s="18">
        <f t="shared" si="23"/>
        <v>13.982474226804126</v>
      </c>
      <c r="K87" s="18">
        <f t="shared" si="14"/>
        <v>0</v>
      </c>
      <c r="L87" s="18">
        <f t="shared" si="22"/>
        <v>11.635051546391754</v>
      </c>
      <c r="M87" s="18">
        <f t="shared" si="15"/>
        <v>0</v>
      </c>
      <c r="N87" s="18">
        <f t="shared" si="16"/>
        <v>10.410309278350518</v>
      </c>
      <c r="O87" s="18">
        <f t="shared" si="17"/>
        <v>0</v>
      </c>
      <c r="P87" s="18">
        <f t="shared" si="18"/>
        <v>9.4407216494845372</v>
      </c>
      <c r="Q87" s="18">
        <f t="shared" si="19"/>
        <v>0</v>
      </c>
      <c r="R87" s="743"/>
      <c r="S87" s="547"/>
    </row>
    <row r="88" spans="1:19" s="244" customFormat="1" ht="13.5" thickBot="1">
      <c r="A88" s="1341"/>
      <c r="B88" s="548"/>
      <c r="C88" s="551" t="s">
        <v>268</v>
      </c>
      <c r="D88" s="552" t="s">
        <v>3849</v>
      </c>
      <c r="E88" s="557">
        <v>597.93814432989689</v>
      </c>
      <c r="F88" s="13">
        <f t="shared" si="20"/>
        <v>328.86597938144331</v>
      </c>
      <c r="G88" s="17">
        <f t="shared" si="21"/>
        <v>0</v>
      </c>
      <c r="H88" s="18">
        <f t="shared" si="12"/>
        <v>10.316525773195877</v>
      </c>
      <c r="I88" s="18">
        <f t="shared" si="13"/>
        <v>0</v>
      </c>
      <c r="J88" s="18">
        <f t="shared" si="23"/>
        <v>9.0109278350515467</v>
      </c>
      <c r="K88" s="18">
        <f t="shared" si="14"/>
        <v>0</v>
      </c>
      <c r="L88" s="18">
        <f t="shared" si="22"/>
        <v>7.4981443298969079</v>
      </c>
      <c r="M88" s="18">
        <f t="shared" si="15"/>
        <v>0</v>
      </c>
      <c r="N88" s="18">
        <f t="shared" si="16"/>
        <v>6.7088659793814438</v>
      </c>
      <c r="O88" s="18">
        <f t="shared" si="17"/>
        <v>0</v>
      </c>
      <c r="P88" s="18">
        <f t="shared" si="18"/>
        <v>6.0840206185567007</v>
      </c>
      <c r="Q88" s="18">
        <f t="shared" si="19"/>
        <v>0</v>
      </c>
      <c r="R88" s="743"/>
      <c r="S88" s="547"/>
    </row>
    <row r="89" spans="1:19" s="553" customFormat="1">
      <c r="A89" s="546"/>
      <c r="D89" s="1342" t="s">
        <v>183</v>
      </c>
      <c r="E89" s="1343"/>
      <c r="F89" s="1344"/>
      <c r="G89" s="78">
        <f>SUM(G32:G88)+G29</f>
        <v>0</v>
      </c>
      <c r="H89" s="240" t="s">
        <v>201</v>
      </c>
      <c r="I89" s="78">
        <f>SUM(I32:I88)+I29</f>
        <v>0</v>
      </c>
      <c r="J89" s="240" t="s">
        <v>202</v>
      </c>
      <c r="K89" s="78">
        <f>SUM(K32:K88)+K29</f>
        <v>0</v>
      </c>
      <c r="L89" s="240" t="s">
        <v>203</v>
      </c>
      <c r="M89" s="78">
        <f>SUM(M32:M88)+M29</f>
        <v>0</v>
      </c>
      <c r="N89" s="240" t="s">
        <v>95</v>
      </c>
      <c r="O89" s="78">
        <f>SUM(O32:O88)+O29</f>
        <v>0</v>
      </c>
      <c r="P89" s="240" t="s">
        <v>888</v>
      </c>
      <c r="Q89" s="78">
        <f>SUM(Q32:Q88)+Q29</f>
        <v>0</v>
      </c>
    </row>
    <row r="90" spans="1:19" s="553" customFormat="1" ht="12.75">
      <c r="F90" s="554"/>
      <c r="G90" s="554"/>
      <c r="H90" s="555"/>
    </row>
    <row r="91" spans="1:19" s="553" customFormat="1" ht="12.75">
      <c r="F91" s="554"/>
      <c r="G91" s="554"/>
    </row>
    <row r="92" spans="1:19" s="553" customFormat="1" ht="12.75">
      <c r="F92" s="554"/>
      <c r="G92" s="554"/>
    </row>
    <row r="93" spans="1:19" s="553" customFormat="1" ht="12.75">
      <c r="F93" s="554"/>
      <c r="G93" s="554"/>
    </row>
    <row r="94" spans="1:19" s="553" customFormat="1" ht="12.75">
      <c r="F94" s="554"/>
      <c r="G94" s="554"/>
    </row>
    <row r="95" spans="1:19" s="553" customFormat="1" ht="12.75">
      <c r="F95" s="554"/>
      <c r="G95" s="554"/>
    </row>
    <row r="96" spans="1:19" s="553" customFormat="1" ht="12.75">
      <c r="F96" s="554"/>
      <c r="G96" s="554"/>
    </row>
    <row r="97" spans="2:7" s="553" customFormat="1" ht="12.75">
      <c r="F97" s="554"/>
      <c r="G97" s="554"/>
    </row>
    <row r="98" spans="2:7" s="553" customFormat="1" ht="12.75">
      <c r="F98" s="554"/>
      <c r="G98" s="554"/>
    </row>
    <row r="99" spans="2:7" s="553" customFormat="1" ht="12.75">
      <c r="F99" s="554"/>
      <c r="G99" s="554"/>
    </row>
    <row r="100" spans="2:7" s="553" customFormat="1" ht="12.75">
      <c r="F100" s="554"/>
      <c r="G100" s="554"/>
    </row>
    <row r="101" spans="2:7" s="553" customFormat="1" ht="12.75">
      <c r="F101" s="554"/>
      <c r="G101" s="554"/>
    </row>
    <row r="102" spans="2:7" s="553" customFormat="1" ht="12.75">
      <c r="F102" s="554"/>
      <c r="G102" s="554"/>
    </row>
    <row r="103" spans="2:7" s="553" customFormat="1" ht="12.75">
      <c r="F103" s="554"/>
      <c r="G103" s="554"/>
    </row>
    <row r="104" spans="2:7" s="553" customFormat="1" ht="12.75">
      <c r="F104" s="554"/>
      <c r="G104" s="554"/>
    </row>
    <row r="105" spans="2:7" s="553" customFormat="1" ht="12.75">
      <c r="F105" s="554"/>
      <c r="G105" s="554"/>
    </row>
    <row r="106" spans="2:7" s="553" customFormat="1" ht="12.75">
      <c r="B106" s="243"/>
      <c r="C106" s="243"/>
      <c r="F106" s="554"/>
      <c r="G106" s="554"/>
    </row>
    <row r="107" spans="2:7" s="553" customFormat="1" ht="12.75">
      <c r="F107" s="554"/>
      <c r="G107" s="554"/>
    </row>
    <row r="108" spans="2:7" s="553" customFormat="1" ht="12.75">
      <c r="F108" s="554"/>
      <c r="G108" s="554"/>
    </row>
    <row r="109" spans="2:7" s="553" customFormat="1" ht="12.75">
      <c r="F109" s="554"/>
      <c r="G109" s="554"/>
    </row>
    <row r="110" spans="2:7" s="553" customFormat="1" ht="12.75">
      <c r="F110" s="554"/>
      <c r="G110" s="554"/>
    </row>
    <row r="111" spans="2:7" s="553" customFormat="1" ht="12.75">
      <c r="F111" s="554"/>
      <c r="G111" s="554"/>
    </row>
    <row r="112" spans="2:7" s="553" customFormat="1" ht="12.75">
      <c r="F112" s="554"/>
      <c r="G112" s="554"/>
    </row>
    <row r="113" spans="6:7" s="553" customFormat="1" ht="12.75">
      <c r="F113" s="554"/>
      <c r="G113" s="554"/>
    </row>
    <row r="114" spans="6:7" s="553" customFormat="1" ht="12.75">
      <c r="F114" s="554"/>
      <c r="G114" s="554"/>
    </row>
    <row r="115" spans="6:7" s="553" customFormat="1" ht="12.75">
      <c r="F115" s="554"/>
      <c r="G115" s="554"/>
    </row>
    <row r="116" spans="6:7" s="553" customFormat="1" ht="12.75">
      <c r="F116" s="554"/>
      <c r="G116" s="554"/>
    </row>
    <row r="117" spans="6:7" s="553" customFormat="1" ht="12.75">
      <c r="F117" s="554"/>
      <c r="G117" s="554"/>
    </row>
    <row r="118" spans="6:7" s="553" customFormat="1" ht="12.75">
      <c r="F118" s="554"/>
      <c r="G118" s="554"/>
    </row>
    <row r="119" spans="6:7" s="553" customFormat="1" ht="12.75">
      <c r="F119" s="554"/>
      <c r="G119" s="554"/>
    </row>
    <row r="120" spans="6:7" s="553" customFormat="1" ht="12.75">
      <c r="F120" s="554"/>
      <c r="G120" s="554"/>
    </row>
    <row r="121" spans="6:7" s="553" customFormat="1" ht="12.75">
      <c r="F121" s="554"/>
      <c r="G121" s="554"/>
    </row>
    <row r="122" spans="6:7" s="553" customFormat="1" ht="12.75">
      <c r="F122" s="554"/>
      <c r="G122" s="554"/>
    </row>
    <row r="123" spans="6:7" s="553" customFormat="1" ht="12.75">
      <c r="F123" s="554"/>
      <c r="G123" s="554"/>
    </row>
    <row r="124" spans="6:7" s="553" customFormat="1" ht="12.75">
      <c r="F124" s="554"/>
      <c r="G124" s="554"/>
    </row>
    <row r="125" spans="6:7" s="553" customFormat="1" ht="12.75">
      <c r="F125" s="554"/>
      <c r="G125" s="554"/>
    </row>
    <row r="126" spans="6:7" s="553" customFormat="1" ht="12.75">
      <c r="F126" s="452"/>
      <c r="G126" s="452"/>
    </row>
    <row r="127" spans="6:7" s="553" customFormat="1" ht="12.75">
      <c r="F127" s="452"/>
      <c r="G127" s="452"/>
    </row>
    <row r="128" spans="6:7" s="553" customFormat="1" ht="12.75">
      <c r="F128" s="452"/>
      <c r="G128" s="452"/>
    </row>
    <row r="129" spans="6:7" s="553" customFormat="1" ht="12.75">
      <c r="F129" s="452"/>
      <c r="G129" s="452"/>
    </row>
    <row r="130" spans="6:7" s="553" customFormat="1" ht="12.75">
      <c r="F130" s="452"/>
      <c r="G130" s="452"/>
    </row>
    <row r="131" spans="6:7" s="553" customFormat="1" ht="12.75">
      <c r="F131" s="452"/>
      <c r="G131" s="452"/>
    </row>
    <row r="132" spans="6:7" s="553" customFormat="1" ht="12.75">
      <c r="F132" s="452"/>
      <c r="G132" s="452"/>
    </row>
    <row r="133" spans="6:7" s="553" customFormat="1" ht="12.75">
      <c r="F133" s="452"/>
      <c r="G133" s="452"/>
    </row>
    <row r="134" spans="6:7" s="553" customFormat="1" ht="12.75">
      <c r="F134" s="452"/>
      <c r="G134" s="452"/>
    </row>
    <row r="135" spans="6:7" s="553" customFormat="1" ht="12.75">
      <c r="F135" s="452"/>
      <c r="G135" s="452"/>
    </row>
    <row r="136" spans="6:7" s="553" customFormat="1" ht="12.75">
      <c r="F136" s="452"/>
      <c r="G136" s="452"/>
    </row>
    <row r="137" spans="6:7" s="553" customFormat="1" ht="12.75">
      <c r="F137" s="452"/>
      <c r="G137" s="452"/>
    </row>
    <row r="138" spans="6:7" s="553" customFormat="1" ht="12.75">
      <c r="F138" s="452"/>
      <c r="G138" s="452"/>
    </row>
    <row r="139" spans="6:7" s="553" customFormat="1" ht="12.75">
      <c r="F139" s="452"/>
      <c r="G139" s="452"/>
    </row>
    <row r="140" spans="6:7" s="553" customFormat="1" ht="12.75">
      <c r="F140" s="452"/>
      <c r="G140" s="452"/>
    </row>
    <row r="141" spans="6:7" s="553" customFormat="1" ht="12.75">
      <c r="F141" s="452"/>
      <c r="G141" s="452"/>
    </row>
    <row r="142" spans="6:7" s="553" customFormat="1" ht="12.75">
      <c r="F142" s="452"/>
      <c r="G142" s="452"/>
    </row>
    <row r="143" spans="6:7" s="553" customFormat="1" ht="12.75">
      <c r="F143" s="452"/>
      <c r="G143" s="452"/>
    </row>
    <row r="144" spans="6:7" s="553" customFormat="1" ht="12.75">
      <c r="F144" s="452"/>
      <c r="G144" s="452"/>
    </row>
    <row r="145" spans="6:7" s="553" customFormat="1" ht="12.75">
      <c r="F145" s="452"/>
      <c r="G145" s="452"/>
    </row>
    <row r="146" spans="6:7" s="553" customFormat="1" ht="12.75">
      <c r="F146" s="452"/>
      <c r="G146" s="452"/>
    </row>
    <row r="147" spans="6:7" s="553" customFormat="1" ht="12.75">
      <c r="F147" s="452"/>
      <c r="G147" s="452"/>
    </row>
    <row r="148" spans="6:7" s="553" customFormat="1" ht="12.75">
      <c r="F148" s="452"/>
      <c r="G148" s="452"/>
    </row>
    <row r="149" spans="6:7" s="553" customFormat="1" ht="12.75">
      <c r="F149" s="452"/>
      <c r="G149" s="452"/>
    </row>
    <row r="150" spans="6:7" s="553" customFormat="1" ht="12.75">
      <c r="F150" s="452"/>
      <c r="G150" s="452"/>
    </row>
    <row r="151" spans="6:7" s="553" customFormat="1" ht="12.75">
      <c r="F151" s="452"/>
      <c r="G151" s="452"/>
    </row>
    <row r="152" spans="6:7" s="553" customFormat="1" ht="12.75">
      <c r="F152" s="452"/>
      <c r="G152" s="452"/>
    </row>
    <row r="153" spans="6:7" s="553" customFormat="1" ht="12.75">
      <c r="F153" s="452"/>
      <c r="G153" s="452"/>
    </row>
    <row r="154" spans="6:7" s="553" customFormat="1" ht="12.75">
      <c r="F154" s="452"/>
      <c r="G154" s="452"/>
    </row>
    <row r="155" spans="6:7" s="553" customFormat="1" ht="12.75">
      <c r="F155" s="452"/>
      <c r="G155" s="452"/>
    </row>
    <row r="156" spans="6:7" s="553" customFormat="1" ht="12.75">
      <c r="F156" s="452"/>
      <c r="G156" s="452"/>
    </row>
    <row r="157" spans="6:7" s="553" customFormat="1" ht="12.75">
      <c r="F157" s="452"/>
      <c r="G157" s="452"/>
    </row>
    <row r="158" spans="6:7" s="553" customFormat="1" ht="12.75">
      <c r="F158" s="452"/>
      <c r="G158" s="452"/>
    </row>
    <row r="159" spans="6:7" s="553" customFormat="1" ht="12.75">
      <c r="F159" s="452"/>
      <c r="G159" s="452"/>
    </row>
    <row r="160" spans="6:7" s="553" customFormat="1" ht="12.75">
      <c r="F160" s="452"/>
      <c r="G160" s="452"/>
    </row>
    <row r="161" spans="6:7" s="553" customFormat="1" ht="12.75">
      <c r="F161" s="452"/>
      <c r="G161" s="452"/>
    </row>
    <row r="162" spans="6:7" s="553" customFormat="1" ht="12.75">
      <c r="F162" s="452"/>
      <c r="G162" s="452"/>
    </row>
    <row r="163" spans="6:7" s="553" customFormat="1" ht="12.75">
      <c r="F163" s="452"/>
      <c r="G163" s="452"/>
    </row>
    <row r="164" spans="6:7" s="553" customFormat="1" ht="12.75">
      <c r="F164" s="452"/>
      <c r="G164" s="452"/>
    </row>
    <row r="165" spans="6:7" s="553" customFormat="1" ht="12.75">
      <c r="F165" s="452"/>
      <c r="G165" s="452"/>
    </row>
    <row r="166" spans="6:7" s="553" customFormat="1" ht="12.75">
      <c r="F166" s="452"/>
      <c r="G166" s="452"/>
    </row>
    <row r="167" spans="6:7" s="553" customFormat="1" ht="12.75">
      <c r="F167" s="452"/>
      <c r="G167" s="452"/>
    </row>
    <row r="168" spans="6:7" s="553" customFormat="1" ht="12.75">
      <c r="F168" s="452"/>
      <c r="G168" s="452"/>
    </row>
    <row r="169" spans="6:7" s="553" customFormat="1" ht="12.75">
      <c r="F169" s="452"/>
      <c r="G169" s="452"/>
    </row>
    <row r="170" spans="6:7" s="553" customFormat="1" ht="12.75">
      <c r="F170" s="452"/>
      <c r="G170" s="452"/>
    </row>
    <row r="171" spans="6:7" s="553" customFormat="1" ht="12.75">
      <c r="F171" s="452"/>
      <c r="G171" s="452"/>
    </row>
    <row r="172" spans="6:7" s="553" customFormat="1" ht="12.75">
      <c r="F172" s="452"/>
      <c r="G172" s="452"/>
    </row>
    <row r="173" spans="6:7" s="553" customFormat="1" ht="12.75">
      <c r="F173" s="452"/>
      <c r="G173" s="452"/>
    </row>
    <row r="174" spans="6:7" s="553" customFormat="1" ht="12.75">
      <c r="F174" s="452"/>
      <c r="G174" s="452"/>
    </row>
    <row r="175" spans="6:7" s="553" customFormat="1" ht="12.75">
      <c r="F175" s="452"/>
      <c r="G175" s="452"/>
    </row>
    <row r="176" spans="6:7" s="553" customFormat="1" ht="12.75">
      <c r="F176" s="452"/>
      <c r="G176" s="452"/>
    </row>
    <row r="177" spans="1:17" s="553" customFormat="1" ht="12.75">
      <c r="F177" s="452"/>
      <c r="G177" s="452"/>
    </row>
    <row r="178" spans="1:17" s="553" customFormat="1" ht="12.75">
      <c r="F178" s="452"/>
      <c r="G178" s="452"/>
    </row>
    <row r="179" spans="1:17" s="553" customFormat="1" ht="12.75">
      <c r="F179" s="452"/>
      <c r="G179" s="452"/>
    </row>
    <row r="180" spans="1:17" s="553" customFormat="1" ht="12.75">
      <c r="F180" s="452"/>
      <c r="G180" s="452"/>
    </row>
    <row r="181" spans="1:17" s="553" customFormat="1" ht="12.75">
      <c r="F181" s="452"/>
      <c r="G181" s="452"/>
    </row>
    <row r="182" spans="1:17" s="553" customFormat="1" ht="12.75">
      <c r="F182" s="452"/>
      <c r="G182" s="452"/>
    </row>
    <row r="183" spans="1:17" s="553" customFormat="1" ht="12.75">
      <c r="F183" s="452"/>
      <c r="G183" s="452"/>
    </row>
    <row r="184" spans="1:17" s="553" customFormat="1" ht="12.75">
      <c r="F184" s="452"/>
      <c r="G184" s="452"/>
    </row>
    <row r="185" spans="1:17" s="553" customFormat="1" ht="12.75">
      <c r="F185" s="452"/>
      <c r="G185" s="452"/>
    </row>
    <row r="186" spans="1:17" s="553" customFormat="1" ht="12.75">
      <c r="F186" s="452"/>
      <c r="G186" s="452"/>
    </row>
    <row r="187" spans="1:17" s="553" customFormat="1" ht="12.75">
      <c r="F187" s="452"/>
      <c r="G187" s="452"/>
    </row>
    <row r="188" spans="1:17" s="553" customFormat="1" ht="12.75">
      <c r="F188" s="452"/>
      <c r="G188" s="452"/>
    </row>
    <row r="189" spans="1:17" s="553" customFormat="1" ht="12.75">
      <c r="F189" s="452"/>
      <c r="G189" s="452"/>
    </row>
    <row r="190" spans="1:17">
      <c r="A190" s="553"/>
      <c r="B190" s="553"/>
      <c r="C190" s="553"/>
      <c r="D190" s="553"/>
      <c r="E190" s="553"/>
      <c r="F190" s="452"/>
      <c r="G190" s="452"/>
      <c r="H190" s="553"/>
      <c r="I190" s="553"/>
      <c r="J190" s="553"/>
      <c r="K190" s="553"/>
      <c r="L190" s="553"/>
      <c r="M190" s="553"/>
      <c r="N190" s="553"/>
      <c r="O190" s="553"/>
      <c r="P190" s="553"/>
      <c r="Q190" s="553"/>
    </row>
    <row r="191" spans="1:17">
      <c r="A191" s="553"/>
      <c r="B191" s="553"/>
      <c r="C191" s="553"/>
      <c r="D191" s="553"/>
      <c r="E191" s="553"/>
      <c r="F191" s="452"/>
      <c r="G191" s="452"/>
      <c r="H191" s="553"/>
      <c r="I191" s="553"/>
      <c r="J191" s="553"/>
      <c r="K191" s="553"/>
      <c r="L191" s="553"/>
      <c r="M191" s="553"/>
      <c r="N191" s="553"/>
      <c r="O191" s="553"/>
      <c r="P191" s="553"/>
      <c r="Q191" s="553"/>
    </row>
    <row r="192" spans="1:17">
      <c r="A192" s="553"/>
      <c r="B192" s="553"/>
      <c r="C192" s="553"/>
      <c r="D192" s="553"/>
      <c r="E192" s="553"/>
      <c r="F192" s="452"/>
      <c r="G192" s="452"/>
      <c r="I192" s="553"/>
      <c r="J192" s="553"/>
      <c r="K192" s="553"/>
      <c r="L192" s="553"/>
      <c r="M192" s="553"/>
      <c r="N192" s="553"/>
      <c r="O192" s="553"/>
      <c r="P192" s="553"/>
      <c r="Q192" s="553"/>
    </row>
  </sheetData>
  <mergeCells count="18">
    <mergeCell ref="A31:Q31"/>
    <mergeCell ref="A32:A88"/>
    <mergeCell ref="D89:F89"/>
    <mergeCell ref="A29:A30"/>
    <mergeCell ref="B29:B30"/>
    <mergeCell ref="G29:G30"/>
    <mergeCell ref="I29:I30"/>
    <mergeCell ref="K29:K30"/>
    <mergeCell ref="M29:M30"/>
    <mergeCell ref="O29:O30"/>
    <mergeCell ref="Q29:Q30"/>
    <mergeCell ref="A4:O4"/>
    <mergeCell ref="A5:O5"/>
    <mergeCell ref="F8:I8"/>
    <mergeCell ref="F27:G27"/>
    <mergeCell ref="H27:Q27"/>
    <mergeCell ref="A23:Q23"/>
    <mergeCell ref="A24:Q24"/>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2">
    <tabColor indexed="62"/>
  </sheetPr>
  <dimension ref="A1:S270"/>
  <sheetViews>
    <sheetView topLeftCell="C15" zoomScale="90" zoomScaleNormal="90" workbookViewId="0">
      <selection activeCell="S28" sqref="S28"/>
    </sheetView>
  </sheetViews>
  <sheetFormatPr defaultColWidth="8.85546875" defaultRowHeight="15.75"/>
  <cols>
    <col min="1" max="1" width="14" style="178" customWidth="1"/>
    <col min="2" max="2" width="8.7109375" style="178" customWidth="1"/>
    <col min="3" max="3" width="19.85546875" style="178" customWidth="1"/>
    <col min="4" max="4" width="51" style="178" customWidth="1"/>
    <col min="5" max="5" width="17" style="178" customWidth="1"/>
    <col min="6" max="6" width="18.28515625" style="455" customWidth="1"/>
    <col min="7" max="7" width="16" style="455" customWidth="1"/>
    <col min="8" max="8" width="21.28515625" style="178" customWidth="1"/>
    <col min="9" max="9" width="25.5703125" style="178" customWidth="1"/>
    <col min="10" max="10" width="20.5703125" style="178" customWidth="1"/>
    <col min="11" max="11" width="21.140625" style="178" customWidth="1"/>
    <col min="12" max="12" width="20" style="178" customWidth="1"/>
    <col min="13" max="13" width="19" style="178" customWidth="1"/>
    <col min="14" max="14" width="19.5703125" style="178" customWidth="1"/>
    <col min="15" max="15" width="19.140625" style="178" customWidth="1"/>
    <col min="16" max="16" width="19.5703125" style="178" customWidth="1"/>
    <col min="17" max="17" width="19.140625" style="178" customWidth="1"/>
    <col min="18" max="18" width="12.42578125" style="178" customWidth="1"/>
    <col min="19" max="16384" width="8.85546875" style="178"/>
  </cols>
  <sheetData>
    <row r="1" spans="1:17" ht="16.5" thickBot="1">
      <c r="B1" s="179"/>
      <c r="C1" s="179"/>
      <c r="D1" s="180"/>
      <c r="E1" s="180"/>
      <c r="F1" s="181"/>
      <c r="G1" s="181"/>
      <c r="H1" s="181"/>
      <c r="I1" s="181"/>
      <c r="J1" s="181"/>
      <c r="K1" s="180"/>
      <c r="L1" s="181"/>
    </row>
    <row r="2" spans="1:17" ht="9" customHeight="1">
      <c r="A2" s="182"/>
      <c r="B2" s="183"/>
      <c r="C2" s="183"/>
      <c r="D2" s="184"/>
      <c r="E2" s="184"/>
      <c r="F2" s="185"/>
      <c r="G2" s="185"/>
      <c r="H2" s="185"/>
      <c r="I2" s="186"/>
      <c r="J2" s="186"/>
      <c r="K2" s="186"/>
      <c r="L2" s="186"/>
      <c r="M2" s="182"/>
      <c r="N2" s="182"/>
      <c r="O2" s="182"/>
      <c r="P2" s="182"/>
      <c r="Q2" s="182"/>
    </row>
    <row r="3" spans="1:17" ht="10.5" customHeight="1">
      <c r="B3" s="179"/>
      <c r="C3" s="179"/>
      <c r="D3" s="180"/>
      <c r="E3" s="180"/>
      <c r="F3" s="181"/>
      <c r="G3" s="181"/>
      <c r="H3" s="181"/>
      <c r="I3" s="187"/>
      <c r="J3" s="187"/>
      <c r="K3" s="187"/>
      <c r="L3" s="187"/>
    </row>
    <row r="4" spans="1:17" ht="36" customHeight="1">
      <c r="A4" s="1329" t="s">
        <v>3896</v>
      </c>
      <c r="B4" s="1023"/>
      <c r="C4" s="1023"/>
      <c r="D4" s="1023"/>
      <c r="E4" s="1023"/>
      <c r="F4" s="1023"/>
      <c r="G4" s="1023"/>
      <c r="H4" s="1023"/>
      <c r="I4" s="1023"/>
      <c r="J4" s="1023"/>
      <c r="K4" s="1023"/>
      <c r="L4" s="1023"/>
      <c r="M4" s="1023"/>
      <c r="N4" s="1023"/>
      <c r="O4" s="1023"/>
      <c r="P4" s="378"/>
      <c r="Q4" s="378"/>
    </row>
    <row r="5" spans="1:17" s="188" customFormat="1" ht="46.5" customHeight="1">
      <c r="A5" s="1330" t="s">
        <v>3897</v>
      </c>
      <c r="B5" s="1025"/>
      <c r="C5" s="1025"/>
      <c r="D5" s="1025"/>
      <c r="E5" s="1025"/>
      <c r="F5" s="1025"/>
      <c r="G5" s="1025"/>
      <c r="H5" s="1025"/>
      <c r="I5" s="1025"/>
      <c r="J5" s="1025"/>
      <c r="K5" s="1025"/>
      <c r="L5" s="1025"/>
      <c r="M5" s="1025"/>
      <c r="N5" s="1025"/>
      <c r="O5" s="1025"/>
      <c r="P5" s="388"/>
      <c r="Q5" s="388"/>
    </row>
    <row r="6" spans="1:17" ht="9" customHeight="1" thickBot="1">
      <c r="A6" s="189"/>
      <c r="B6" s="190"/>
      <c r="C6" s="190"/>
      <c r="D6" s="191"/>
      <c r="E6" s="191"/>
      <c r="F6" s="192"/>
      <c r="G6" s="192"/>
      <c r="H6" s="192"/>
      <c r="I6" s="193"/>
      <c r="J6" s="193"/>
      <c r="K6" s="193"/>
      <c r="L6" s="193"/>
      <c r="M6" s="189"/>
      <c r="N6" s="189"/>
      <c r="O6" s="189"/>
      <c r="P6" s="189"/>
      <c r="Q6" s="189"/>
    </row>
    <row r="7" spans="1:17" s="187" customFormat="1" ht="14.25">
      <c r="B7" s="194"/>
      <c r="C7" s="194"/>
      <c r="D7" s="195"/>
      <c r="E7" s="195"/>
      <c r="F7" s="195"/>
      <c r="G7" s="195"/>
      <c r="H7" s="195"/>
      <c r="I7" s="195"/>
      <c r="J7" s="195"/>
      <c r="K7" s="195"/>
      <c r="L7" s="195"/>
      <c r="M7" s="195"/>
      <c r="N7" s="195"/>
      <c r="O7" s="195"/>
      <c r="P7" s="195"/>
      <c r="Q7" s="195"/>
    </row>
    <row r="8" spans="1:17" s="187" customFormat="1">
      <c r="F8" s="1331" t="s">
        <v>3</v>
      </c>
      <c r="G8" s="1331"/>
      <c r="H8" s="1331"/>
      <c r="I8" s="1331"/>
      <c r="J8" s="178"/>
      <c r="K8" s="178"/>
      <c r="L8" s="178"/>
    </row>
    <row r="9" spans="1:17" s="187" customFormat="1" ht="14.25">
      <c r="F9" s="246" t="s">
        <v>210</v>
      </c>
      <c r="G9" s="387" t="s">
        <v>557</v>
      </c>
      <c r="I9" s="198"/>
      <c r="J9" s="198"/>
      <c r="L9" s="198"/>
    </row>
    <row r="10" spans="1:17" s="187" customFormat="1" ht="14.25">
      <c r="F10" s="246" t="s">
        <v>8</v>
      </c>
      <c r="G10" s="540" t="s">
        <v>587</v>
      </c>
      <c r="I10" s="198"/>
      <c r="J10" s="198"/>
      <c r="L10" s="198"/>
    </row>
    <row r="11" spans="1:17" s="187" customFormat="1" ht="14.25">
      <c r="F11" s="246" t="s">
        <v>9</v>
      </c>
      <c r="G11" s="540" t="s">
        <v>3898</v>
      </c>
      <c r="I11" s="198"/>
      <c r="J11" s="198"/>
      <c r="L11" s="198"/>
    </row>
    <row r="12" spans="1:17" s="187" customFormat="1" ht="14.25">
      <c r="F12" s="246" t="s">
        <v>10</v>
      </c>
      <c r="G12" s="540" t="s">
        <v>3890</v>
      </c>
      <c r="I12" s="198"/>
      <c r="J12" s="198"/>
      <c r="L12" s="198"/>
    </row>
    <row r="13" spans="1:17" s="187" customFormat="1" ht="14.25">
      <c r="D13" s="199"/>
      <c r="E13" s="199"/>
      <c r="F13" s="246" t="s">
        <v>12</v>
      </c>
      <c r="G13" s="540" t="s">
        <v>3899</v>
      </c>
      <c r="I13" s="198"/>
      <c r="J13" s="198"/>
      <c r="L13" s="198"/>
    </row>
    <row r="14" spans="1:17" s="187" customFormat="1" ht="14.25">
      <c r="F14" s="246"/>
      <c r="G14" s="540" t="s">
        <v>3900</v>
      </c>
      <c r="I14" s="198"/>
      <c r="J14" s="198"/>
      <c r="L14" s="198"/>
    </row>
    <row r="15" spans="1:17" s="187" customFormat="1" ht="14.25">
      <c r="F15" s="246" t="s">
        <v>13</v>
      </c>
      <c r="G15" s="540" t="s">
        <v>60</v>
      </c>
      <c r="I15" s="198"/>
      <c r="J15" s="198"/>
      <c r="L15" s="559"/>
    </row>
    <row r="16" spans="1:17" s="187" customFormat="1" ht="14.25">
      <c r="F16" s="246" t="s">
        <v>16</v>
      </c>
      <c r="G16" s="540" t="s">
        <v>61</v>
      </c>
      <c r="I16" s="201"/>
      <c r="J16" s="201"/>
      <c r="L16" s="201"/>
    </row>
    <row r="17" spans="1:19" s="187" customFormat="1" ht="14.25">
      <c r="F17" s="246" t="s">
        <v>220</v>
      </c>
      <c r="G17" s="540" t="s">
        <v>3893</v>
      </c>
      <c r="I17" s="201"/>
      <c r="J17" s="201"/>
      <c r="L17" s="201"/>
    </row>
    <row r="18" spans="1:19" s="187" customFormat="1" ht="14.25">
      <c r="F18" s="246" t="s">
        <v>21</v>
      </c>
      <c r="G18" s="540" t="s">
        <v>3891</v>
      </c>
      <c r="I18" s="201"/>
      <c r="J18" s="201"/>
      <c r="L18" s="201"/>
    </row>
    <row r="19" spans="1:19" s="187" customFormat="1" ht="14.25">
      <c r="F19" s="246" t="s">
        <v>22</v>
      </c>
      <c r="G19" s="540" t="s">
        <v>3888</v>
      </c>
      <c r="I19" s="201"/>
      <c r="J19" s="201"/>
      <c r="L19" s="201"/>
    </row>
    <row r="20" spans="1:19" s="187" customFormat="1" ht="14.25">
      <c r="F20" s="246"/>
      <c r="G20" s="540"/>
      <c r="I20" s="201"/>
      <c r="J20" s="201"/>
      <c r="L20" s="201"/>
    </row>
    <row r="21" spans="1:19" s="187" customFormat="1" ht="14.25">
      <c r="F21" s="246"/>
      <c r="G21" s="540"/>
      <c r="I21" s="201"/>
      <c r="J21" s="201"/>
      <c r="L21" s="201"/>
    </row>
    <row r="22" spans="1:19" s="187" customFormat="1" ht="14.25">
      <c r="D22" s="204"/>
      <c r="E22" s="204"/>
      <c r="F22" s="246"/>
      <c r="G22" s="541"/>
      <c r="K22" s="201"/>
    </row>
    <row r="23" spans="1:19" s="387" customFormat="1" ht="16.5" thickBot="1">
      <c r="A23" s="1188" t="s">
        <v>23</v>
      </c>
      <c r="B23" s="1352"/>
      <c r="C23" s="1352"/>
      <c r="D23" s="1352"/>
      <c r="E23" s="1352"/>
      <c r="F23" s="1352"/>
      <c r="G23" s="1352"/>
      <c r="H23" s="1352"/>
      <c r="I23" s="1352"/>
      <c r="J23" s="1352"/>
      <c r="K23" s="1352"/>
      <c r="L23" s="1352"/>
      <c r="M23" s="1352"/>
      <c r="N23" s="1023"/>
      <c r="O23" s="1032"/>
      <c r="P23" s="378"/>
      <c r="Q23" s="378"/>
    </row>
    <row r="24" spans="1:19" s="387" customFormat="1" ht="13.9" customHeight="1" thickBot="1">
      <c r="A24" s="1353" t="s">
        <v>887</v>
      </c>
      <c r="B24" s="1354"/>
      <c r="C24" s="1354"/>
      <c r="D24" s="1354"/>
      <c r="E24" s="1354"/>
      <c r="F24" s="1354"/>
      <c r="G24" s="1354"/>
      <c r="H24" s="1354"/>
      <c r="I24" s="1354"/>
      <c r="J24" s="1354"/>
      <c r="K24" s="1354"/>
      <c r="L24" s="1354"/>
      <c r="M24" s="1354"/>
      <c r="N24" s="1354"/>
      <c r="O24" s="1355"/>
      <c r="P24" s="564"/>
      <c r="Q24" s="564"/>
    </row>
    <row r="25" spans="1:19" s="187" customFormat="1" ht="12.75" customHeight="1">
      <c r="B25" s="203"/>
      <c r="C25" s="203"/>
      <c r="D25" s="204"/>
      <c r="E25" s="204"/>
      <c r="F25" s="205"/>
      <c r="G25" s="205"/>
      <c r="I25" s="188"/>
      <c r="J25" s="188"/>
      <c r="K25" s="188"/>
      <c r="L25" s="188"/>
    </row>
    <row r="26" spans="1:19" s="187" customFormat="1" ht="12.75" customHeight="1" thickBot="1">
      <c r="D26" s="204"/>
      <c r="E26" s="204"/>
      <c r="F26" s="205"/>
      <c r="G26" s="205"/>
      <c r="I26" s="206"/>
      <c r="J26" s="206"/>
      <c r="K26" s="206"/>
      <c r="L26" s="206"/>
    </row>
    <row r="27" spans="1:19" s="187" customFormat="1" ht="15.75" customHeight="1" thickBot="1">
      <c r="F27" s="1040" t="s">
        <v>167</v>
      </c>
      <c r="G27" s="1041"/>
      <c r="H27" s="1332" t="s">
        <v>168</v>
      </c>
      <c r="I27" s="1333"/>
      <c r="J27" s="1333"/>
      <c r="K27" s="1333"/>
      <c r="L27" s="1333"/>
      <c r="M27" s="1333"/>
      <c r="N27" s="1333"/>
      <c r="O27" s="1333"/>
      <c r="P27" s="1333"/>
      <c r="Q27" s="1334"/>
    </row>
    <row r="28" spans="1:19" s="209" customFormat="1" ht="63.75" customHeight="1" thickBot="1">
      <c r="A28" s="207" t="s">
        <v>122</v>
      </c>
      <c r="B28" s="207" t="s">
        <v>169</v>
      </c>
      <c r="C28" s="208" t="s">
        <v>170</v>
      </c>
      <c r="D28" s="208" t="s">
        <v>171</v>
      </c>
      <c r="E28" s="208" t="s">
        <v>172</v>
      </c>
      <c r="F28" s="208" t="s">
        <v>173</v>
      </c>
      <c r="G28" s="207" t="s">
        <v>174</v>
      </c>
      <c r="H28" s="208" t="s">
        <v>176</v>
      </c>
      <c r="I28" s="207" t="s">
        <v>174</v>
      </c>
      <c r="J28" s="208" t="s">
        <v>177</v>
      </c>
      <c r="K28" s="207" t="s">
        <v>174</v>
      </c>
      <c r="L28" s="208" t="s">
        <v>178</v>
      </c>
      <c r="M28" s="207" t="s">
        <v>174</v>
      </c>
      <c r="N28" s="208" t="s">
        <v>157</v>
      </c>
      <c r="O28" s="207" t="s">
        <v>174</v>
      </c>
      <c r="P28" s="208" t="s">
        <v>824</v>
      </c>
      <c r="Q28" s="207" t="s">
        <v>174</v>
      </c>
    </row>
    <row r="29" spans="1:19" s="213" customFormat="1" ht="26.25" customHeight="1" thickBot="1">
      <c r="A29" s="1345" t="s">
        <v>998</v>
      </c>
      <c r="B29" s="1347"/>
      <c r="C29" s="558" t="s">
        <v>3894</v>
      </c>
      <c r="D29" s="247" t="s">
        <v>3895</v>
      </c>
      <c r="E29" s="248">
        <v>74262</v>
      </c>
      <c r="F29" s="49">
        <f>SUM(E29:E30)*(1-61%)</f>
        <v>29063.190000000002</v>
      </c>
      <c r="G29" s="1062">
        <f>F29*B29</f>
        <v>0</v>
      </c>
      <c r="H29" s="50">
        <f>F29*0.03137</f>
        <v>911.71227030000011</v>
      </c>
      <c r="I29" s="1062">
        <f>H29*B29</f>
        <v>0</v>
      </c>
      <c r="J29" s="50">
        <f>F29*0.0274</f>
        <v>796.33140600000013</v>
      </c>
      <c r="K29" s="1062">
        <f>J29*B29</f>
        <v>0</v>
      </c>
      <c r="L29" s="542">
        <f>F29*0.0228</f>
        <v>662.64073200000007</v>
      </c>
      <c r="M29" s="1062">
        <f>L29*B29</f>
        <v>0</v>
      </c>
      <c r="N29" s="542">
        <f>F29*0.0204</f>
        <v>592.88907600000005</v>
      </c>
      <c r="O29" s="1062">
        <f>N29*B29</f>
        <v>0</v>
      </c>
      <c r="P29" s="542">
        <f>F29*0.0185</f>
        <v>537.66901500000006</v>
      </c>
      <c r="Q29" s="1062">
        <f>P29*B29</f>
        <v>0</v>
      </c>
    </row>
    <row r="30" spans="1:19" s="244" customFormat="1" ht="13.5" customHeight="1" thickBot="1">
      <c r="A30" s="1346"/>
      <c r="B30" s="1348"/>
      <c r="C30" s="543" t="s">
        <v>104</v>
      </c>
      <c r="D30" s="544" t="s">
        <v>180</v>
      </c>
      <c r="E30" s="545">
        <v>259</v>
      </c>
      <c r="F30" s="428" t="s">
        <v>162</v>
      </c>
      <c r="G30" s="1349"/>
      <c r="H30" s="428" t="s">
        <v>162</v>
      </c>
      <c r="I30" s="1349"/>
      <c r="J30" s="428" t="s">
        <v>162</v>
      </c>
      <c r="K30" s="1349"/>
      <c r="L30" s="423" t="s">
        <v>162</v>
      </c>
      <c r="M30" s="1350"/>
      <c r="N30" s="423" t="s">
        <v>162</v>
      </c>
      <c r="O30" s="1351"/>
      <c r="P30" s="423" t="s">
        <v>162</v>
      </c>
      <c r="Q30" s="1351"/>
    </row>
    <row r="31" spans="1:19" s="244" customFormat="1" ht="13.9" customHeight="1" thickBot="1">
      <c r="A31" s="1337" t="s">
        <v>182</v>
      </c>
      <c r="B31" s="1338"/>
      <c r="C31" s="1338"/>
      <c r="D31" s="1338"/>
      <c r="E31" s="1338"/>
      <c r="F31" s="1338"/>
      <c r="G31" s="1338"/>
      <c r="H31" s="1338"/>
      <c r="I31" s="1338"/>
      <c r="J31" s="1338"/>
      <c r="K31" s="1338"/>
      <c r="L31" s="1338"/>
      <c r="M31" s="1338"/>
      <c r="N31" s="1338"/>
      <c r="O31" s="1338"/>
      <c r="P31" s="1338"/>
      <c r="Q31" s="1339"/>
      <c r="R31" s="547"/>
      <c r="S31" s="547"/>
    </row>
    <row r="32" spans="1:19" s="244" customFormat="1" ht="13.5" thickBot="1">
      <c r="A32" s="1340"/>
      <c r="B32" s="571"/>
      <c r="C32" s="572">
        <v>45162875</v>
      </c>
      <c r="D32" s="573" t="s">
        <v>762</v>
      </c>
      <c r="E32" s="574">
        <v>3030.9278350515465</v>
      </c>
      <c r="F32" s="575">
        <f t="shared" ref="F32:F63" si="0">E32*(1-45%)</f>
        <v>1667.0103092783506</v>
      </c>
      <c r="G32" s="17">
        <f t="shared" ref="G32:G63" si="1">F32*B32</f>
        <v>0</v>
      </c>
      <c r="H32" s="18">
        <f t="shared" ref="H32:H63" si="2">F32*0.03137</f>
        <v>52.294113402061861</v>
      </c>
      <c r="I32" s="18">
        <f t="shared" ref="I32:I63" si="3">H32*B32</f>
        <v>0</v>
      </c>
      <c r="J32" s="18">
        <f t="shared" ref="J32:J63" si="4">F32*0.0274</f>
        <v>45.67608247422681</v>
      </c>
      <c r="K32" s="18">
        <f t="shared" ref="K32:K63" si="5">J32*B32</f>
        <v>0</v>
      </c>
      <c r="L32" s="18">
        <f t="shared" ref="L32:L63" si="6">F32*0.0228</f>
        <v>38.007835051546394</v>
      </c>
      <c r="M32" s="18">
        <f t="shared" ref="M32:M63" si="7">L32*B32</f>
        <v>0</v>
      </c>
      <c r="N32" s="18">
        <f t="shared" ref="N32:N63" si="8">F32*0.0204</f>
        <v>34.007010309278357</v>
      </c>
      <c r="O32" s="18">
        <f t="shared" ref="O32:O63" si="9">N32*B32</f>
        <v>0</v>
      </c>
      <c r="P32" s="18">
        <f t="shared" ref="P32:P63" si="10">F32*0.0185</f>
        <v>30.839690721649486</v>
      </c>
      <c r="Q32" s="18">
        <f t="shared" ref="Q32:Q63" si="11">P32*B32</f>
        <v>0</v>
      </c>
      <c r="R32" s="743"/>
      <c r="S32" s="547"/>
    </row>
    <row r="33" spans="1:19" s="244" customFormat="1" ht="13.5" thickBot="1">
      <c r="A33" s="1340"/>
      <c r="B33" s="548"/>
      <c r="C33" s="549" t="s">
        <v>3838</v>
      </c>
      <c r="D33" s="550" t="s">
        <v>3887</v>
      </c>
      <c r="E33" s="557">
        <v>514.43298969072168</v>
      </c>
      <c r="F33" s="13">
        <f t="shared" si="0"/>
        <v>282.93814432989694</v>
      </c>
      <c r="G33" s="17">
        <f t="shared" si="1"/>
        <v>0</v>
      </c>
      <c r="H33" s="18">
        <f t="shared" si="2"/>
        <v>8.8757695876288683</v>
      </c>
      <c r="I33" s="18">
        <f t="shared" si="3"/>
        <v>0</v>
      </c>
      <c r="J33" s="18">
        <f t="shared" si="4"/>
        <v>7.7525051546391763</v>
      </c>
      <c r="K33" s="18">
        <f t="shared" si="5"/>
        <v>0</v>
      </c>
      <c r="L33" s="18">
        <f t="shared" si="6"/>
        <v>6.4509896907216504</v>
      </c>
      <c r="M33" s="18">
        <f t="shared" si="7"/>
        <v>0</v>
      </c>
      <c r="N33" s="18">
        <f t="shared" si="8"/>
        <v>5.7719381443298978</v>
      </c>
      <c r="O33" s="18">
        <f t="shared" si="9"/>
        <v>0</v>
      </c>
      <c r="P33" s="18">
        <f t="shared" si="10"/>
        <v>5.2343556701030929</v>
      </c>
      <c r="Q33" s="18">
        <f t="shared" si="11"/>
        <v>0</v>
      </c>
      <c r="R33" s="743"/>
      <c r="S33" s="547"/>
    </row>
    <row r="34" spans="1:19" s="244" customFormat="1" ht="13.5" thickBot="1">
      <c r="A34" s="1340"/>
      <c r="B34" s="548"/>
      <c r="C34" s="549">
        <v>45206625</v>
      </c>
      <c r="D34" s="550" t="s">
        <v>3881</v>
      </c>
      <c r="E34" s="557">
        <v>430.92783505154642</v>
      </c>
      <c r="F34" s="13">
        <f t="shared" si="0"/>
        <v>237.01030927835055</v>
      </c>
      <c r="G34" s="17">
        <f t="shared" si="1"/>
        <v>0</v>
      </c>
      <c r="H34" s="18">
        <f t="shared" si="2"/>
        <v>7.4350134020618572</v>
      </c>
      <c r="I34" s="18">
        <f t="shared" si="3"/>
        <v>0</v>
      </c>
      <c r="J34" s="18">
        <f t="shared" si="4"/>
        <v>6.4940824742268051</v>
      </c>
      <c r="K34" s="18">
        <f t="shared" si="5"/>
        <v>0</v>
      </c>
      <c r="L34" s="18">
        <f t="shared" si="6"/>
        <v>5.4038350515463929</v>
      </c>
      <c r="M34" s="18">
        <f t="shared" si="7"/>
        <v>0</v>
      </c>
      <c r="N34" s="18">
        <f t="shared" si="8"/>
        <v>4.8350103092783518</v>
      </c>
      <c r="O34" s="18">
        <f t="shared" si="9"/>
        <v>0</v>
      </c>
      <c r="P34" s="18">
        <f t="shared" si="10"/>
        <v>4.384690721649485</v>
      </c>
      <c r="Q34" s="18">
        <f t="shared" si="11"/>
        <v>0</v>
      </c>
      <c r="R34" s="743"/>
      <c r="S34" s="547"/>
    </row>
    <row r="35" spans="1:19" s="244" customFormat="1" ht="13.5" thickBot="1">
      <c r="A35" s="1340"/>
      <c r="B35" s="548"/>
      <c r="C35" s="551" t="s">
        <v>3491</v>
      </c>
      <c r="D35" s="552" t="s">
        <v>568</v>
      </c>
      <c r="E35" s="557">
        <v>411.34020618556701</v>
      </c>
      <c r="F35" s="13">
        <f t="shared" si="0"/>
        <v>226.23711340206188</v>
      </c>
      <c r="G35" s="17">
        <f t="shared" si="1"/>
        <v>0</v>
      </c>
      <c r="H35" s="18">
        <f t="shared" si="2"/>
        <v>7.097058247422682</v>
      </c>
      <c r="I35" s="18">
        <f t="shared" si="3"/>
        <v>0</v>
      </c>
      <c r="J35" s="18">
        <f t="shared" si="4"/>
        <v>6.1988969072164961</v>
      </c>
      <c r="K35" s="18">
        <f t="shared" si="5"/>
        <v>0</v>
      </c>
      <c r="L35" s="18">
        <f t="shared" si="6"/>
        <v>5.1582061855670114</v>
      </c>
      <c r="M35" s="18">
        <f t="shared" si="7"/>
        <v>0</v>
      </c>
      <c r="N35" s="18">
        <f t="shared" si="8"/>
        <v>4.6152371134020624</v>
      </c>
      <c r="O35" s="18">
        <f t="shared" si="9"/>
        <v>0</v>
      </c>
      <c r="P35" s="18">
        <f t="shared" si="10"/>
        <v>4.1853865979381446</v>
      </c>
      <c r="Q35" s="18">
        <f t="shared" si="11"/>
        <v>0</v>
      </c>
      <c r="R35" s="743"/>
      <c r="S35" s="547"/>
    </row>
    <row r="36" spans="1:19" s="244" customFormat="1" ht="13.5" thickBot="1">
      <c r="A36" s="1340"/>
      <c r="B36" s="548"/>
      <c r="C36" s="551" t="s">
        <v>541</v>
      </c>
      <c r="D36" s="552" t="s">
        <v>3957</v>
      </c>
      <c r="E36" s="557">
        <v>10886.59793814433</v>
      </c>
      <c r="F36" s="13">
        <f t="shared" si="0"/>
        <v>5987.6288659793818</v>
      </c>
      <c r="G36" s="17">
        <f t="shared" si="1"/>
        <v>0</v>
      </c>
      <c r="H36" s="18">
        <f t="shared" si="2"/>
        <v>187.83191752577321</v>
      </c>
      <c r="I36" s="18">
        <f t="shared" si="3"/>
        <v>0</v>
      </c>
      <c r="J36" s="18">
        <f t="shared" si="4"/>
        <v>164.06103092783508</v>
      </c>
      <c r="K36" s="18">
        <f t="shared" si="5"/>
        <v>0</v>
      </c>
      <c r="L36" s="18">
        <f t="shared" si="6"/>
        <v>136.51793814432992</v>
      </c>
      <c r="M36" s="18">
        <f t="shared" si="7"/>
        <v>0</v>
      </c>
      <c r="N36" s="18">
        <f t="shared" si="8"/>
        <v>122.1476288659794</v>
      </c>
      <c r="O36" s="18">
        <f t="shared" si="9"/>
        <v>0</v>
      </c>
      <c r="P36" s="18">
        <f t="shared" si="10"/>
        <v>110.77113402061856</v>
      </c>
      <c r="Q36" s="18">
        <f t="shared" si="11"/>
        <v>0</v>
      </c>
      <c r="R36" s="743"/>
      <c r="S36" s="547"/>
    </row>
    <row r="37" spans="1:19" s="244" customFormat="1" ht="13.5" thickBot="1">
      <c r="A37" s="1340"/>
      <c r="B37" s="548"/>
      <c r="C37" s="551" t="s">
        <v>3743</v>
      </c>
      <c r="D37" s="552" t="s">
        <v>3968</v>
      </c>
      <c r="E37" s="557">
        <v>3460.8247422680415</v>
      </c>
      <c r="F37" s="13">
        <f t="shared" si="0"/>
        <v>1903.4536082474231</v>
      </c>
      <c r="G37" s="17">
        <f t="shared" si="1"/>
        <v>0</v>
      </c>
      <c r="H37" s="18">
        <f t="shared" si="2"/>
        <v>59.711339690721665</v>
      </c>
      <c r="I37" s="18">
        <f t="shared" si="3"/>
        <v>0</v>
      </c>
      <c r="J37" s="18">
        <f t="shared" si="4"/>
        <v>52.15462886597939</v>
      </c>
      <c r="K37" s="18">
        <f t="shared" si="5"/>
        <v>0</v>
      </c>
      <c r="L37" s="18">
        <f t="shared" si="6"/>
        <v>43.398742268041246</v>
      </c>
      <c r="M37" s="18">
        <f t="shared" si="7"/>
        <v>0</v>
      </c>
      <c r="N37" s="18">
        <f t="shared" si="8"/>
        <v>38.830453608247431</v>
      </c>
      <c r="O37" s="18">
        <f t="shared" si="9"/>
        <v>0</v>
      </c>
      <c r="P37" s="18">
        <f t="shared" si="10"/>
        <v>35.213891752577325</v>
      </c>
      <c r="Q37" s="18">
        <f t="shared" si="11"/>
        <v>0</v>
      </c>
      <c r="R37" s="743"/>
      <c r="S37" s="547"/>
    </row>
    <row r="38" spans="1:19" s="244" customFormat="1" ht="13.5" thickBot="1">
      <c r="A38" s="1340"/>
      <c r="B38" s="548"/>
      <c r="C38" s="549" t="s">
        <v>3902</v>
      </c>
      <c r="D38" s="550" t="s">
        <v>3973</v>
      </c>
      <c r="E38" s="557">
        <v>2886.5979381443299</v>
      </c>
      <c r="F38" s="13">
        <f t="shared" si="0"/>
        <v>1587.6288659793815</v>
      </c>
      <c r="G38" s="17">
        <f t="shared" si="1"/>
        <v>0</v>
      </c>
      <c r="H38" s="18">
        <f t="shared" si="2"/>
        <v>49.803917525773201</v>
      </c>
      <c r="I38" s="18">
        <f t="shared" si="3"/>
        <v>0</v>
      </c>
      <c r="J38" s="18">
        <f t="shared" si="4"/>
        <v>43.501030927835053</v>
      </c>
      <c r="K38" s="18">
        <f t="shared" si="5"/>
        <v>0</v>
      </c>
      <c r="L38" s="18">
        <f t="shared" si="6"/>
        <v>36.197938144329903</v>
      </c>
      <c r="M38" s="18">
        <f t="shared" si="7"/>
        <v>0</v>
      </c>
      <c r="N38" s="18">
        <f t="shared" si="8"/>
        <v>32.387628865979387</v>
      </c>
      <c r="O38" s="18">
        <f t="shared" si="9"/>
        <v>0</v>
      </c>
      <c r="P38" s="18">
        <f t="shared" si="10"/>
        <v>29.371134020618555</v>
      </c>
      <c r="Q38" s="18">
        <f t="shared" si="11"/>
        <v>0</v>
      </c>
      <c r="R38" s="743"/>
      <c r="S38" s="547"/>
    </row>
    <row r="39" spans="1:19" s="244" customFormat="1" ht="13.5" thickBot="1">
      <c r="A39" s="1340"/>
      <c r="B39" s="548"/>
      <c r="C39" s="551" t="s">
        <v>3828</v>
      </c>
      <c r="D39" s="552" t="s">
        <v>3840</v>
      </c>
      <c r="E39" s="557">
        <v>2783.5051546391755</v>
      </c>
      <c r="F39" s="13">
        <f t="shared" si="0"/>
        <v>1530.9278350515467</v>
      </c>
      <c r="G39" s="17">
        <f t="shared" si="1"/>
        <v>0</v>
      </c>
      <c r="H39" s="18">
        <f t="shared" si="2"/>
        <v>48.025206185567022</v>
      </c>
      <c r="I39" s="18">
        <f t="shared" si="3"/>
        <v>0</v>
      </c>
      <c r="J39" s="18">
        <f t="shared" si="4"/>
        <v>41.94742268041238</v>
      </c>
      <c r="K39" s="18">
        <f t="shared" si="5"/>
        <v>0</v>
      </c>
      <c r="L39" s="18">
        <f t="shared" si="6"/>
        <v>34.905154639175265</v>
      </c>
      <c r="M39" s="18">
        <f t="shared" si="7"/>
        <v>0</v>
      </c>
      <c r="N39" s="18">
        <f t="shared" si="8"/>
        <v>31.230927835051556</v>
      </c>
      <c r="O39" s="18">
        <f t="shared" si="9"/>
        <v>0</v>
      </c>
      <c r="P39" s="18">
        <f t="shared" si="10"/>
        <v>28.322164948453612</v>
      </c>
      <c r="Q39" s="18">
        <f t="shared" si="11"/>
        <v>0</v>
      </c>
      <c r="R39" s="743"/>
      <c r="S39" s="547"/>
    </row>
    <row r="40" spans="1:19" s="244" customFormat="1" ht="13.5" thickBot="1">
      <c r="A40" s="1340"/>
      <c r="B40" s="548"/>
      <c r="C40" s="549">
        <v>7714914</v>
      </c>
      <c r="D40" s="550" t="s">
        <v>3929</v>
      </c>
      <c r="E40" s="557">
        <v>3471.3711340206187</v>
      </c>
      <c r="F40" s="13">
        <f t="shared" si="0"/>
        <v>1909.2541237113405</v>
      </c>
      <c r="G40" s="17">
        <f t="shared" si="1"/>
        <v>0</v>
      </c>
      <c r="H40" s="18">
        <f t="shared" si="2"/>
        <v>59.893301860824756</v>
      </c>
      <c r="I40" s="18">
        <f t="shared" si="3"/>
        <v>0</v>
      </c>
      <c r="J40" s="18">
        <f t="shared" si="4"/>
        <v>52.31356298969073</v>
      </c>
      <c r="K40" s="18">
        <f t="shared" si="5"/>
        <v>0</v>
      </c>
      <c r="L40" s="18">
        <f t="shared" si="6"/>
        <v>43.530994020618564</v>
      </c>
      <c r="M40" s="18">
        <f t="shared" si="7"/>
        <v>0</v>
      </c>
      <c r="N40" s="18">
        <f t="shared" si="8"/>
        <v>38.948784123711349</v>
      </c>
      <c r="O40" s="18">
        <f t="shared" si="9"/>
        <v>0</v>
      </c>
      <c r="P40" s="18">
        <f t="shared" si="10"/>
        <v>35.3212012886598</v>
      </c>
      <c r="Q40" s="18">
        <f t="shared" si="11"/>
        <v>0</v>
      </c>
      <c r="R40" s="743"/>
      <c r="S40" s="547"/>
    </row>
    <row r="41" spans="1:19" s="244" customFormat="1" ht="13.5" thickBot="1">
      <c r="A41" s="1340"/>
      <c r="B41" s="548"/>
      <c r="C41" s="551">
        <v>7714901</v>
      </c>
      <c r="D41" s="552" t="s">
        <v>3919</v>
      </c>
      <c r="E41" s="557">
        <v>1567.0721649484535</v>
      </c>
      <c r="F41" s="13">
        <f t="shared" si="0"/>
        <v>861.88969072164946</v>
      </c>
      <c r="G41" s="17">
        <f t="shared" si="1"/>
        <v>0</v>
      </c>
      <c r="H41" s="18">
        <f t="shared" si="2"/>
        <v>27.037479597938145</v>
      </c>
      <c r="I41" s="18">
        <f t="shared" si="3"/>
        <v>0</v>
      </c>
      <c r="J41" s="18">
        <f t="shared" si="4"/>
        <v>23.615777525773197</v>
      </c>
      <c r="K41" s="18">
        <f t="shared" si="5"/>
        <v>0</v>
      </c>
      <c r="L41" s="18">
        <f t="shared" si="6"/>
        <v>19.651084948453608</v>
      </c>
      <c r="M41" s="18">
        <f t="shared" si="7"/>
        <v>0</v>
      </c>
      <c r="N41" s="18">
        <f t="shared" si="8"/>
        <v>17.582549690721649</v>
      </c>
      <c r="O41" s="18">
        <f t="shared" si="9"/>
        <v>0</v>
      </c>
      <c r="P41" s="18">
        <f t="shared" si="10"/>
        <v>15.944959278350515</v>
      </c>
      <c r="Q41" s="18">
        <f t="shared" si="11"/>
        <v>0</v>
      </c>
      <c r="R41" s="743"/>
      <c r="S41" s="547"/>
    </row>
    <row r="42" spans="1:19" s="244" customFormat="1" ht="13.5" thickBot="1">
      <c r="A42" s="1340"/>
      <c r="B42" s="548"/>
      <c r="C42" s="551">
        <v>7714917</v>
      </c>
      <c r="D42" s="552" t="s">
        <v>3932</v>
      </c>
      <c r="E42" s="557">
        <v>4463.1855670103096</v>
      </c>
      <c r="F42" s="13">
        <f t="shared" si="0"/>
        <v>2454.7520618556705</v>
      </c>
      <c r="G42" s="17">
        <f t="shared" si="1"/>
        <v>0</v>
      </c>
      <c r="H42" s="18">
        <f t="shared" si="2"/>
        <v>77.005572180412386</v>
      </c>
      <c r="I42" s="18">
        <f t="shared" si="3"/>
        <v>0</v>
      </c>
      <c r="J42" s="18">
        <f t="shared" si="4"/>
        <v>67.260206494845377</v>
      </c>
      <c r="K42" s="18">
        <f t="shared" si="5"/>
        <v>0</v>
      </c>
      <c r="L42" s="18">
        <f t="shared" si="6"/>
        <v>55.968347010309287</v>
      </c>
      <c r="M42" s="18">
        <f t="shared" si="7"/>
        <v>0</v>
      </c>
      <c r="N42" s="18">
        <f t="shared" si="8"/>
        <v>50.076942061855682</v>
      </c>
      <c r="O42" s="18">
        <f t="shared" si="9"/>
        <v>0</v>
      </c>
      <c r="P42" s="18">
        <f t="shared" si="10"/>
        <v>45.412913144329899</v>
      </c>
      <c r="Q42" s="18">
        <f t="shared" si="11"/>
        <v>0</v>
      </c>
      <c r="R42" s="743"/>
      <c r="S42" s="547"/>
    </row>
    <row r="43" spans="1:19" s="244" customFormat="1" ht="13.5" thickBot="1">
      <c r="A43" s="1340"/>
      <c r="B43" s="548"/>
      <c r="C43" s="551">
        <v>7714911</v>
      </c>
      <c r="D43" s="552" t="s">
        <v>3926</v>
      </c>
      <c r="E43" s="557">
        <v>1368.7113402061857</v>
      </c>
      <c r="F43" s="13">
        <f t="shared" si="0"/>
        <v>752.79123711340219</v>
      </c>
      <c r="G43" s="17">
        <f t="shared" si="1"/>
        <v>0</v>
      </c>
      <c r="H43" s="18">
        <f t="shared" si="2"/>
        <v>23.615061108247428</v>
      </c>
      <c r="I43" s="18">
        <f t="shared" si="3"/>
        <v>0</v>
      </c>
      <c r="J43" s="18">
        <f t="shared" si="4"/>
        <v>20.62647989690722</v>
      </c>
      <c r="K43" s="18">
        <f t="shared" si="5"/>
        <v>0</v>
      </c>
      <c r="L43" s="18">
        <f t="shared" si="6"/>
        <v>17.163640206185569</v>
      </c>
      <c r="M43" s="18">
        <f t="shared" si="7"/>
        <v>0</v>
      </c>
      <c r="N43" s="18">
        <f t="shared" si="8"/>
        <v>15.356941237113405</v>
      </c>
      <c r="O43" s="18">
        <f t="shared" si="9"/>
        <v>0</v>
      </c>
      <c r="P43" s="18">
        <f t="shared" si="10"/>
        <v>13.926637886597939</v>
      </c>
      <c r="Q43" s="18">
        <f t="shared" si="11"/>
        <v>0</v>
      </c>
      <c r="R43" s="743"/>
      <c r="S43" s="547"/>
    </row>
    <row r="44" spans="1:19" s="244" customFormat="1" ht="13.5" thickBot="1">
      <c r="A44" s="1340"/>
      <c r="B44" s="548"/>
      <c r="C44" s="551">
        <v>7714902</v>
      </c>
      <c r="D44" s="552" t="s">
        <v>3920</v>
      </c>
      <c r="E44" s="557">
        <v>1567.0721649484535</v>
      </c>
      <c r="F44" s="13">
        <f t="shared" si="0"/>
        <v>861.88969072164946</v>
      </c>
      <c r="G44" s="17">
        <f t="shared" si="1"/>
        <v>0</v>
      </c>
      <c r="H44" s="18">
        <f t="shared" si="2"/>
        <v>27.037479597938145</v>
      </c>
      <c r="I44" s="18">
        <f t="shared" si="3"/>
        <v>0</v>
      </c>
      <c r="J44" s="18">
        <f t="shared" si="4"/>
        <v>23.615777525773197</v>
      </c>
      <c r="K44" s="18">
        <f t="shared" si="5"/>
        <v>0</v>
      </c>
      <c r="L44" s="18">
        <f t="shared" si="6"/>
        <v>19.651084948453608</v>
      </c>
      <c r="M44" s="18">
        <f t="shared" si="7"/>
        <v>0</v>
      </c>
      <c r="N44" s="18">
        <f t="shared" si="8"/>
        <v>17.582549690721649</v>
      </c>
      <c r="O44" s="18">
        <f t="shared" si="9"/>
        <v>0</v>
      </c>
      <c r="P44" s="18">
        <f t="shared" si="10"/>
        <v>15.944959278350515</v>
      </c>
      <c r="Q44" s="18">
        <f t="shared" si="11"/>
        <v>0</v>
      </c>
      <c r="R44" s="743"/>
      <c r="S44" s="547"/>
    </row>
    <row r="45" spans="1:19" s="244" customFormat="1" ht="13.5" thickBot="1">
      <c r="A45" s="1340"/>
      <c r="B45" s="548"/>
      <c r="C45" s="551">
        <v>7714912</v>
      </c>
      <c r="D45" s="552" t="s">
        <v>3927</v>
      </c>
      <c r="E45" s="557">
        <v>1487.7319587628865</v>
      </c>
      <c r="F45" s="13">
        <f t="shared" si="0"/>
        <v>818.25257731958766</v>
      </c>
      <c r="G45" s="17">
        <f t="shared" si="1"/>
        <v>0</v>
      </c>
      <c r="H45" s="18">
        <f t="shared" si="2"/>
        <v>25.668583350515465</v>
      </c>
      <c r="I45" s="18">
        <f t="shared" si="3"/>
        <v>0</v>
      </c>
      <c r="J45" s="18">
        <f t="shared" si="4"/>
        <v>22.420120618556702</v>
      </c>
      <c r="K45" s="18">
        <f t="shared" si="5"/>
        <v>0</v>
      </c>
      <c r="L45" s="18">
        <f t="shared" si="6"/>
        <v>18.656158762886598</v>
      </c>
      <c r="M45" s="18">
        <f t="shared" si="7"/>
        <v>0</v>
      </c>
      <c r="N45" s="18">
        <f t="shared" si="8"/>
        <v>16.692352577319589</v>
      </c>
      <c r="O45" s="18">
        <f t="shared" si="9"/>
        <v>0</v>
      </c>
      <c r="P45" s="18">
        <f t="shared" si="10"/>
        <v>15.13767268041237</v>
      </c>
      <c r="Q45" s="18">
        <f t="shared" si="11"/>
        <v>0</v>
      </c>
      <c r="R45" s="743"/>
      <c r="S45" s="547"/>
    </row>
    <row r="46" spans="1:19" s="244" customFormat="1" ht="13.5" thickBot="1">
      <c r="A46" s="1340"/>
      <c r="B46" s="548"/>
      <c r="C46" s="549">
        <v>7714903</v>
      </c>
      <c r="D46" s="550" t="s">
        <v>3921</v>
      </c>
      <c r="E46" s="557">
        <v>1567.0721649484535</v>
      </c>
      <c r="F46" s="13">
        <f t="shared" si="0"/>
        <v>861.88969072164946</v>
      </c>
      <c r="G46" s="17">
        <f t="shared" si="1"/>
        <v>0</v>
      </c>
      <c r="H46" s="18">
        <f t="shared" si="2"/>
        <v>27.037479597938145</v>
      </c>
      <c r="I46" s="18">
        <f t="shared" si="3"/>
        <v>0</v>
      </c>
      <c r="J46" s="18">
        <f t="shared" si="4"/>
        <v>23.615777525773197</v>
      </c>
      <c r="K46" s="18">
        <f t="shared" si="5"/>
        <v>0</v>
      </c>
      <c r="L46" s="18">
        <f t="shared" si="6"/>
        <v>19.651084948453608</v>
      </c>
      <c r="M46" s="18">
        <f t="shared" si="7"/>
        <v>0</v>
      </c>
      <c r="N46" s="18">
        <f t="shared" si="8"/>
        <v>17.582549690721649</v>
      </c>
      <c r="O46" s="18">
        <f t="shared" si="9"/>
        <v>0</v>
      </c>
      <c r="P46" s="18">
        <f t="shared" si="10"/>
        <v>15.944959278350515</v>
      </c>
      <c r="Q46" s="18">
        <f t="shared" si="11"/>
        <v>0</v>
      </c>
      <c r="R46" s="743"/>
      <c r="S46" s="547"/>
    </row>
    <row r="47" spans="1:19" s="244" customFormat="1" ht="13.5" thickBot="1">
      <c r="A47" s="1340"/>
      <c r="B47" s="548"/>
      <c r="C47" s="551">
        <v>7714913</v>
      </c>
      <c r="D47" s="552" t="s">
        <v>3928</v>
      </c>
      <c r="E47" s="557">
        <v>1487.7319587628865</v>
      </c>
      <c r="F47" s="13">
        <f t="shared" si="0"/>
        <v>818.25257731958766</v>
      </c>
      <c r="G47" s="17">
        <f t="shared" si="1"/>
        <v>0</v>
      </c>
      <c r="H47" s="18">
        <f t="shared" si="2"/>
        <v>25.668583350515465</v>
      </c>
      <c r="I47" s="18">
        <f t="shared" si="3"/>
        <v>0</v>
      </c>
      <c r="J47" s="18">
        <f t="shared" si="4"/>
        <v>22.420120618556702</v>
      </c>
      <c r="K47" s="18">
        <f t="shared" si="5"/>
        <v>0</v>
      </c>
      <c r="L47" s="18">
        <f t="shared" si="6"/>
        <v>18.656158762886598</v>
      </c>
      <c r="M47" s="18">
        <f t="shared" si="7"/>
        <v>0</v>
      </c>
      <c r="N47" s="18">
        <f t="shared" si="8"/>
        <v>16.692352577319589</v>
      </c>
      <c r="O47" s="18">
        <f t="shared" si="9"/>
        <v>0</v>
      </c>
      <c r="P47" s="18">
        <f t="shared" si="10"/>
        <v>15.13767268041237</v>
      </c>
      <c r="Q47" s="18">
        <f t="shared" si="11"/>
        <v>0</v>
      </c>
      <c r="R47" s="743"/>
      <c r="S47" s="547"/>
    </row>
    <row r="48" spans="1:19" s="244" customFormat="1" ht="13.5" thickBot="1">
      <c r="A48" s="1340"/>
      <c r="B48" s="548"/>
      <c r="C48" s="551">
        <v>7714906</v>
      </c>
      <c r="D48" s="552" t="s">
        <v>3924</v>
      </c>
      <c r="E48" s="557">
        <v>1487.7319587628865</v>
      </c>
      <c r="F48" s="13">
        <f t="shared" si="0"/>
        <v>818.25257731958766</v>
      </c>
      <c r="G48" s="17">
        <f t="shared" si="1"/>
        <v>0</v>
      </c>
      <c r="H48" s="18">
        <f t="shared" si="2"/>
        <v>25.668583350515465</v>
      </c>
      <c r="I48" s="18">
        <f t="shared" si="3"/>
        <v>0</v>
      </c>
      <c r="J48" s="18">
        <f t="shared" si="4"/>
        <v>22.420120618556702</v>
      </c>
      <c r="K48" s="18">
        <f t="shared" si="5"/>
        <v>0</v>
      </c>
      <c r="L48" s="18">
        <f t="shared" si="6"/>
        <v>18.656158762886598</v>
      </c>
      <c r="M48" s="18">
        <f t="shared" si="7"/>
        <v>0</v>
      </c>
      <c r="N48" s="18">
        <f t="shared" si="8"/>
        <v>16.692352577319589</v>
      </c>
      <c r="O48" s="18">
        <f t="shared" si="9"/>
        <v>0</v>
      </c>
      <c r="P48" s="18">
        <f t="shared" si="10"/>
        <v>15.13767268041237</v>
      </c>
      <c r="Q48" s="18">
        <f t="shared" si="11"/>
        <v>0</v>
      </c>
      <c r="R48" s="743"/>
      <c r="S48" s="547"/>
    </row>
    <row r="49" spans="1:19" s="244" customFormat="1" ht="13.5" thickBot="1">
      <c r="A49" s="1340"/>
      <c r="B49" s="548"/>
      <c r="C49" s="551">
        <v>7714904</v>
      </c>
      <c r="D49" s="552" t="s">
        <v>3922</v>
      </c>
      <c r="E49" s="557">
        <v>1487.7319587628865</v>
      </c>
      <c r="F49" s="13">
        <f t="shared" si="0"/>
        <v>818.25257731958766</v>
      </c>
      <c r="G49" s="17">
        <f t="shared" si="1"/>
        <v>0</v>
      </c>
      <c r="H49" s="18">
        <f t="shared" si="2"/>
        <v>25.668583350515465</v>
      </c>
      <c r="I49" s="18">
        <f t="shared" si="3"/>
        <v>0</v>
      </c>
      <c r="J49" s="18">
        <f t="shared" si="4"/>
        <v>22.420120618556702</v>
      </c>
      <c r="K49" s="18">
        <f t="shared" si="5"/>
        <v>0</v>
      </c>
      <c r="L49" s="18">
        <f t="shared" si="6"/>
        <v>18.656158762886598</v>
      </c>
      <c r="M49" s="18">
        <f t="shared" si="7"/>
        <v>0</v>
      </c>
      <c r="N49" s="18">
        <f t="shared" si="8"/>
        <v>16.692352577319589</v>
      </c>
      <c r="O49" s="18">
        <f t="shared" si="9"/>
        <v>0</v>
      </c>
      <c r="P49" s="18">
        <f t="shared" si="10"/>
        <v>15.13767268041237</v>
      </c>
      <c r="Q49" s="18">
        <f t="shared" si="11"/>
        <v>0</v>
      </c>
      <c r="R49" s="743"/>
      <c r="S49" s="547"/>
    </row>
    <row r="50" spans="1:19" s="244" customFormat="1" ht="13.5" thickBot="1">
      <c r="A50" s="1340"/>
      <c r="B50" s="548"/>
      <c r="C50" s="551">
        <v>7714918</v>
      </c>
      <c r="D50" s="552" t="s">
        <v>3933</v>
      </c>
      <c r="E50" s="557">
        <v>2578.7319587628867</v>
      </c>
      <c r="F50" s="13">
        <f t="shared" si="0"/>
        <v>1418.3025773195877</v>
      </c>
      <c r="G50" s="17">
        <f t="shared" si="1"/>
        <v>0</v>
      </c>
      <c r="H50" s="18">
        <f t="shared" si="2"/>
        <v>44.492151850515469</v>
      </c>
      <c r="I50" s="18">
        <f t="shared" si="3"/>
        <v>0</v>
      </c>
      <c r="J50" s="18">
        <f t="shared" si="4"/>
        <v>38.861490618556708</v>
      </c>
      <c r="K50" s="18">
        <f t="shared" si="5"/>
        <v>0</v>
      </c>
      <c r="L50" s="18">
        <f t="shared" si="6"/>
        <v>32.337298762886604</v>
      </c>
      <c r="M50" s="18">
        <f t="shared" si="7"/>
        <v>0</v>
      </c>
      <c r="N50" s="18">
        <f t="shared" si="8"/>
        <v>28.933372577319592</v>
      </c>
      <c r="O50" s="18">
        <f t="shared" si="9"/>
        <v>0</v>
      </c>
      <c r="P50" s="18">
        <f t="shared" si="10"/>
        <v>26.238597680412372</v>
      </c>
      <c r="Q50" s="18">
        <f t="shared" si="11"/>
        <v>0</v>
      </c>
      <c r="R50" s="743"/>
      <c r="S50" s="547"/>
    </row>
    <row r="51" spans="1:19" s="244" customFormat="1" ht="13.5" thickBot="1">
      <c r="A51" s="1340"/>
      <c r="B51" s="548"/>
      <c r="C51" s="551">
        <v>7714905</v>
      </c>
      <c r="D51" s="552" t="s">
        <v>3923</v>
      </c>
      <c r="E51" s="557">
        <v>1487.7319587628865</v>
      </c>
      <c r="F51" s="13">
        <f t="shared" si="0"/>
        <v>818.25257731958766</v>
      </c>
      <c r="G51" s="17">
        <f t="shared" si="1"/>
        <v>0</v>
      </c>
      <c r="H51" s="18">
        <f t="shared" si="2"/>
        <v>25.668583350515465</v>
      </c>
      <c r="I51" s="18">
        <f t="shared" si="3"/>
        <v>0</v>
      </c>
      <c r="J51" s="18">
        <f t="shared" si="4"/>
        <v>22.420120618556702</v>
      </c>
      <c r="K51" s="18">
        <f t="shared" si="5"/>
        <v>0</v>
      </c>
      <c r="L51" s="18">
        <f t="shared" si="6"/>
        <v>18.656158762886598</v>
      </c>
      <c r="M51" s="18">
        <f t="shared" si="7"/>
        <v>0</v>
      </c>
      <c r="N51" s="18">
        <f t="shared" si="8"/>
        <v>16.692352577319589</v>
      </c>
      <c r="O51" s="18">
        <f t="shared" si="9"/>
        <v>0</v>
      </c>
      <c r="P51" s="18">
        <f t="shared" si="10"/>
        <v>15.13767268041237</v>
      </c>
      <c r="Q51" s="18">
        <f t="shared" si="11"/>
        <v>0</v>
      </c>
      <c r="R51" s="743"/>
      <c r="S51" s="547"/>
    </row>
    <row r="52" spans="1:19" s="244" customFormat="1" ht="13.5" thickBot="1">
      <c r="A52" s="1340"/>
      <c r="B52" s="548"/>
      <c r="C52" s="551">
        <v>7714919</v>
      </c>
      <c r="D52" s="552" t="s">
        <v>3934</v>
      </c>
      <c r="E52" s="557">
        <v>4959.1030927835054</v>
      </c>
      <c r="F52" s="13">
        <f t="shared" si="0"/>
        <v>2727.5067010309281</v>
      </c>
      <c r="G52" s="17">
        <f t="shared" si="1"/>
        <v>0</v>
      </c>
      <c r="H52" s="18">
        <f t="shared" si="2"/>
        <v>85.561885211340226</v>
      </c>
      <c r="I52" s="18">
        <f t="shared" si="3"/>
        <v>0</v>
      </c>
      <c r="J52" s="18">
        <f t="shared" si="4"/>
        <v>74.733683608247432</v>
      </c>
      <c r="K52" s="18">
        <f t="shared" si="5"/>
        <v>0</v>
      </c>
      <c r="L52" s="18">
        <f t="shared" si="6"/>
        <v>62.187152783505162</v>
      </c>
      <c r="M52" s="18">
        <f t="shared" si="7"/>
        <v>0</v>
      </c>
      <c r="N52" s="18">
        <f t="shared" si="8"/>
        <v>55.641136701030938</v>
      </c>
      <c r="O52" s="18">
        <f t="shared" si="9"/>
        <v>0</v>
      </c>
      <c r="P52" s="18">
        <f t="shared" si="10"/>
        <v>50.458873969072165</v>
      </c>
      <c r="Q52" s="18">
        <f t="shared" si="11"/>
        <v>0</v>
      </c>
      <c r="R52" s="743"/>
      <c r="S52" s="547"/>
    </row>
    <row r="53" spans="1:19" s="244" customFormat="1" ht="13.5" thickBot="1">
      <c r="A53" s="1340"/>
      <c r="B53" s="548"/>
      <c r="C53" s="551">
        <v>7714915</v>
      </c>
      <c r="D53" s="552" t="s">
        <v>3930</v>
      </c>
      <c r="E53" s="557">
        <v>1586.9072164948454</v>
      </c>
      <c r="F53" s="13">
        <f t="shared" si="0"/>
        <v>872.79896907216505</v>
      </c>
      <c r="G53" s="17">
        <f t="shared" si="1"/>
        <v>0</v>
      </c>
      <c r="H53" s="18">
        <f t="shared" si="2"/>
        <v>27.379703659793819</v>
      </c>
      <c r="I53" s="18">
        <f t="shared" si="3"/>
        <v>0</v>
      </c>
      <c r="J53" s="18">
        <f t="shared" si="4"/>
        <v>23.914691752577323</v>
      </c>
      <c r="K53" s="18">
        <f t="shared" si="5"/>
        <v>0</v>
      </c>
      <c r="L53" s="18">
        <f t="shared" si="6"/>
        <v>19.899816494845364</v>
      </c>
      <c r="M53" s="18">
        <f t="shared" si="7"/>
        <v>0</v>
      </c>
      <c r="N53" s="18">
        <f t="shared" si="8"/>
        <v>17.805098969072169</v>
      </c>
      <c r="O53" s="18">
        <f t="shared" si="9"/>
        <v>0</v>
      </c>
      <c r="P53" s="18">
        <f t="shared" si="10"/>
        <v>16.146780927835053</v>
      </c>
      <c r="Q53" s="18">
        <f t="shared" si="11"/>
        <v>0</v>
      </c>
      <c r="R53" s="743"/>
      <c r="S53" s="547"/>
    </row>
    <row r="54" spans="1:19" s="244" customFormat="1" ht="13.5" thickBot="1">
      <c r="A54" s="1340"/>
      <c r="B54" s="548"/>
      <c r="C54" s="551">
        <v>7714916</v>
      </c>
      <c r="D54" s="552" t="s">
        <v>3931</v>
      </c>
      <c r="E54" s="557">
        <v>1586.9072164948454</v>
      </c>
      <c r="F54" s="13">
        <f t="shared" si="0"/>
        <v>872.79896907216505</v>
      </c>
      <c r="G54" s="17">
        <f t="shared" si="1"/>
        <v>0</v>
      </c>
      <c r="H54" s="18">
        <f t="shared" si="2"/>
        <v>27.379703659793819</v>
      </c>
      <c r="I54" s="18">
        <f t="shared" si="3"/>
        <v>0</v>
      </c>
      <c r="J54" s="18">
        <f t="shared" si="4"/>
        <v>23.914691752577323</v>
      </c>
      <c r="K54" s="18">
        <f t="shared" si="5"/>
        <v>0</v>
      </c>
      <c r="L54" s="18">
        <f t="shared" si="6"/>
        <v>19.899816494845364</v>
      </c>
      <c r="M54" s="18">
        <f t="shared" si="7"/>
        <v>0</v>
      </c>
      <c r="N54" s="18">
        <f t="shared" si="8"/>
        <v>17.805098969072169</v>
      </c>
      <c r="O54" s="18">
        <f t="shared" si="9"/>
        <v>0</v>
      </c>
      <c r="P54" s="18">
        <f t="shared" si="10"/>
        <v>16.146780927835053</v>
      </c>
      <c r="Q54" s="18">
        <f t="shared" si="11"/>
        <v>0</v>
      </c>
      <c r="R54" s="743"/>
      <c r="S54" s="547"/>
    </row>
    <row r="55" spans="1:19" s="244" customFormat="1" ht="13.5" thickBot="1">
      <c r="A55" s="1340"/>
      <c r="B55" s="548"/>
      <c r="C55" s="549">
        <v>7714909</v>
      </c>
      <c r="D55" s="550" t="s">
        <v>3925</v>
      </c>
      <c r="E55" s="557">
        <v>1567.0721649484535</v>
      </c>
      <c r="F55" s="13">
        <f t="shared" si="0"/>
        <v>861.88969072164946</v>
      </c>
      <c r="G55" s="17">
        <f t="shared" si="1"/>
        <v>0</v>
      </c>
      <c r="H55" s="18">
        <f t="shared" si="2"/>
        <v>27.037479597938145</v>
      </c>
      <c r="I55" s="18">
        <f t="shared" si="3"/>
        <v>0</v>
      </c>
      <c r="J55" s="18">
        <f t="shared" si="4"/>
        <v>23.615777525773197</v>
      </c>
      <c r="K55" s="18">
        <f t="shared" si="5"/>
        <v>0</v>
      </c>
      <c r="L55" s="18">
        <f t="shared" si="6"/>
        <v>19.651084948453608</v>
      </c>
      <c r="M55" s="18">
        <f t="shared" si="7"/>
        <v>0</v>
      </c>
      <c r="N55" s="18">
        <f t="shared" si="8"/>
        <v>17.582549690721649</v>
      </c>
      <c r="O55" s="18">
        <f t="shared" si="9"/>
        <v>0</v>
      </c>
      <c r="P55" s="18">
        <f t="shared" si="10"/>
        <v>15.944959278350515</v>
      </c>
      <c r="Q55" s="18">
        <f t="shared" si="11"/>
        <v>0</v>
      </c>
      <c r="R55" s="743"/>
      <c r="S55" s="547"/>
    </row>
    <row r="56" spans="1:19" s="244" customFormat="1" ht="13.5" thickBot="1">
      <c r="A56" s="1340"/>
      <c r="B56" s="548"/>
      <c r="C56" s="549" t="s">
        <v>3834</v>
      </c>
      <c r="D56" s="550" t="s">
        <v>3867</v>
      </c>
      <c r="E56" s="557">
        <v>5154.6391752577319</v>
      </c>
      <c r="F56" s="13">
        <f t="shared" si="0"/>
        <v>2835.0515463917527</v>
      </c>
      <c r="G56" s="17">
        <f t="shared" si="1"/>
        <v>0</v>
      </c>
      <c r="H56" s="18">
        <f t="shared" si="2"/>
        <v>88.935567010309285</v>
      </c>
      <c r="I56" s="18">
        <f t="shared" si="3"/>
        <v>0</v>
      </c>
      <c r="J56" s="18">
        <f t="shared" si="4"/>
        <v>77.680412371134025</v>
      </c>
      <c r="K56" s="18">
        <f t="shared" si="5"/>
        <v>0</v>
      </c>
      <c r="L56" s="18">
        <f t="shared" si="6"/>
        <v>64.639175257731964</v>
      </c>
      <c r="M56" s="18">
        <f t="shared" si="7"/>
        <v>0</v>
      </c>
      <c r="N56" s="18">
        <f t="shared" si="8"/>
        <v>57.83505154639176</v>
      </c>
      <c r="O56" s="18">
        <f t="shared" si="9"/>
        <v>0</v>
      </c>
      <c r="P56" s="18">
        <f t="shared" si="10"/>
        <v>52.448453608247419</v>
      </c>
      <c r="Q56" s="18">
        <f t="shared" si="11"/>
        <v>0</v>
      </c>
      <c r="R56" s="743"/>
      <c r="S56" s="547"/>
    </row>
    <row r="57" spans="1:19" s="244" customFormat="1" ht="13.5" thickBot="1">
      <c r="A57" s="1340"/>
      <c r="B57" s="548"/>
      <c r="C57" s="551">
        <v>45204557</v>
      </c>
      <c r="D57" s="552" t="s">
        <v>3987</v>
      </c>
      <c r="E57" s="557">
        <v>12360.824742268042</v>
      </c>
      <c r="F57" s="13">
        <f t="shared" si="0"/>
        <v>6798.4536082474233</v>
      </c>
      <c r="G57" s="17">
        <f t="shared" si="1"/>
        <v>0</v>
      </c>
      <c r="H57" s="18">
        <f t="shared" si="2"/>
        <v>213.26748969072167</v>
      </c>
      <c r="I57" s="18">
        <f t="shared" si="3"/>
        <v>0</v>
      </c>
      <c r="J57" s="18">
        <f t="shared" si="4"/>
        <v>186.27762886597941</v>
      </c>
      <c r="K57" s="18">
        <f t="shared" si="5"/>
        <v>0</v>
      </c>
      <c r="L57" s="18">
        <f t="shared" si="6"/>
        <v>155.00474226804127</v>
      </c>
      <c r="M57" s="18">
        <f t="shared" si="7"/>
        <v>0</v>
      </c>
      <c r="N57" s="18">
        <f t="shared" si="8"/>
        <v>138.68845360824744</v>
      </c>
      <c r="O57" s="18">
        <f t="shared" si="9"/>
        <v>0</v>
      </c>
      <c r="P57" s="18">
        <f t="shared" si="10"/>
        <v>125.77139175257733</v>
      </c>
      <c r="Q57" s="18">
        <f t="shared" si="11"/>
        <v>0</v>
      </c>
      <c r="R57" s="743"/>
      <c r="S57" s="547"/>
    </row>
    <row r="58" spans="1:19" s="244" customFormat="1" ht="13.5" thickBot="1">
      <c r="A58" s="1340"/>
      <c r="B58" s="548"/>
      <c r="C58" s="551">
        <v>45204332</v>
      </c>
      <c r="D58" s="552" t="s">
        <v>3986</v>
      </c>
      <c r="E58" s="557">
        <v>13917.525773195877</v>
      </c>
      <c r="F58" s="13">
        <f t="shared" si="0"/>
        <v>7654.6391752577329</v>
      </c>
      <c r="G58" s="17">
        <f t="shared" si="1"/>
        <v>0</v>
      </c>
      <c r="H58" s="18">
        <f t="shared" si="2"/>
        <v>240.1260309278351</v>
      </c>
      <c r="I58" s="18">
        <f t="shared" si="3"/>
        <v>0</v>
      </c>
      <c r="J58" s="18">
        <f t="shared" si="4"/>
        <v>209.73711340206188</v>
      </c>
      <c r="K58" s="18">
        <f t="shared" si="5"/>
        <v>0</v>
      </c>
      <c r="L58" s="18">
        <f t="shared" si="6"/>
        <v>174.52577319587633</v>
      </c>
      <c r="M58" s="18">
        <f t="shared" si="7"/>
        <v>0</v>
      </c>
      <c r="N58" s="18">
        <f t="shared" si="8"/>
        <v>156.15463917525776</v>
      </c>
      <c r="O58" s="18">
        <f t="shared" si="9"/>
        <v>0</v>
      </c>
      <c r="P58" s="18">
        <f t="shared" si="10"/>
        <v>141.61082474226805</v>
      </c>
      <c r="Q58" s="18">
        <f t="shared" si="11"/>
        <v>0</v>
      </c>
      <c r="R58" s="743"/>
      <c r="S58" s="547"/>
    </row>
    <row r="59" spans="1:19" s="244" customFormat="1" ht="13.5" thickBot="1">
      <c r="A59" s="1340"/>
      <c r="B59" s="548"/>
      <c r="C59" s="549">
        <v>45111142</v>
      </c>
      <c r="D59" s="550" t="s">
        <v>3819</v>
      </c>
      <c r="E59" s="557">
        <v>1025.7731958762886</v>
      </c>
      <c r="F59" s="13">
        <f t="shared" si="0"/>
        <v>564.17525773195882</v>
      </c>
      <c r="G59" s="17">
        <f t="shared" si="1"/>
        <v>0</v>
      </c>
      <c r="H59" s="18">
        <f t="shared" si="2"/>
        <v>17.698177835051549</v>
      </c>
      <c r="I59" s="18">
        <f t="shared" si="3"/>
        <v>0</v>
      </c>
      <c r="J59" s="18">
        <f t="shared" si="4"/>
        <v>15.458402061855672</v>
      </c>
      <c r="K59" s="18">
        <f t="shared" si="5"/>
        <v>0</v>
      </c>
      <c r="L59" s="18">
        <f t="shared" si="6"/>
        <v>12.863195876288662</v>
      </c>
      <c r="M59" s="18">
        <f t="shared" si="7"/>
        <v>0</v>
      </c>
      <c r="N59" s="18">
        <f t="shared" si="8"/>
        <v>11.509175257731961</v>
      </c>
      <c r="O59" s="18">
        <f t="shared" si="9"/>
        <v>0</v>
      </c>
      <c r="P59" s="18">
        <f t="shared" si="10"/>
        <v>10.437242268041238</v>
      </c>
      <c r="Q59" s="18">
        <f t="shared" si="11"/>
        <v>0</v>
      </c>
      <c r="R59" s="743"/>
      <c r="S59" s="547"/>
    </row>
    <row r="60" spans="1:19" s="244" customFormat="1" ht="13.5" thickBot="1">
      <c r="A60" s="1340"/>
      <c r="B60" s="548"/>
      <c r="C60" s="551" t="s">
        <v>3836</v>
      </c>
      <c r="D60" s="552" t="s">
        <v>3885</v>
      </c>
      <c r="E60" s="557">
        <v>1608.2474226804125</v>
      </c>
      <c r="F60" s="13">
        <f t="shared" si="0"/>
        <v>884.53608247422687</v>
      </c>
      <c r="G60" s="17">
        <f t="shared" si="1"/>
        <v>0</v>
      </c>
      <c r="H60" s="18">
        <f t="shared" si="2"/>
        <v>27.7478969072165</v>
      </c>
      <c r="I60" s="18">
        <f t="shared" si="3"/>
        <v>0</v>
      </c>
      <c r="J60" s="18">
        <f t="shared" si="4"/>
        <v>24.236288659793818</v>
      </c>
      <c r="K60" s="18">
        <f t="shared" si="5"/>
        <v>0</v>
      </c>
      <c r="L60" s="18">
        <f t="shared" si="6"/>
        <v>20.167422680412372</v>
      </c>
      <c r="M60" s="18">
        <f t="shared" si="7"/>
        <v>0</v>
      </c>
      <c r="N60" s="18">
        <f t="shared" si="8"/>
        <v>18.044536082474231</v>
      </c>
      <c r="O60" s="18">
        <f t="shared" si="9"/>
        <v>0</v>
      </c>
      <c r="P60" s="18">
        <f t="shared" si="10"/>
        <v>16.363917525773196</v>
      </c>
      <c r="Q60" s="18">
        <f t="shared" si="11"/>
        <v>0</v>
      </c>
      <c r="R60" s="743"/>
      <c r="S60" s="547"/>
    </row>
    <row r="61" spans="1:19" s="244" customFormat="1" ht="13.5" thickBot="1">
      <c r="A61" s="1340"/>
      <c r="B61" s="548"/>
      <c r="C61" s="551">
        <v>7717974</v>
      </c>
      <c r="D61" s="552" t="s">
        <v>3945</v>
      </c>
      <c r="E61" s="557">
        <v>153.49484536082474</v>
      </c>
      <c r="F61" s="13">
        <f t="shared" si="0"/>
        <v>84.422164948453613</v>
      </c>
      <c r="G61" s="17">
        <f t="shared" si="1"/>
        <v>0</v>
      </c>
      <c r="H61" s="18">
        <f t="shared" si="2"/>
        <v>2.6483233144329899</v>
      </c>
      <c r="I61" s="18">
        <f t="shared" si="3"/>
        <v>0</v>
      </c>
      <c r="J61" s="18">
        <f t="shared" si="4"/>
        <v>2.3131673195876292</v>
      </c>
      <c r="K61" s="18">
        <f t="shared" si="5"/>
        <v>0</v>
      </c>
      <c r="L61" s="18">
        <f t="shared" si="6"/>
        <v>1.9248253608247425</v>
      </c>
      <c r="M61" s="18">
        <f t="shared" si="7"/>
        <v>0</v>
      </c>
      <c r="N61" s="18">
        <f t="shared" si="8"/>
        <v>1.7222121649484539</v>
      </c>
      <c r="O61" s="18">
        <f t="shared" si="9"/>
        <v>0</v>
      </c>
      <c r="P61" s="18">
        <f t="shared" si="10"/>
        <v>1.5618100515463917</v>
      </c>
      <c r="Q61" s="18">
        <f t="shared" si="11"/>
        <v>0</v>
      </c>
      <c r="R61" s="743"/>
      <c r="S61" s="547"/>
    </row>
    <row r="62" spans="1:19" s="244" customFormat="1" ht="13.5" thickBot="1">
      <c r="A62" s="1340"/>
      <c r="B62" s="548"/>
      <c r="C62" s="551">
        <v>7717968</v>
      </c>
      <c r="D62" s="552" t="s">
        <v>3940</v>
      </c>
      <c r="E62" s="557">
        <v>141.35051546391753</v>
      </c>
      <c r="F62" s="13">
        <f t="shared" si="0"/>
        <v>77.742783505154648</v>
      </c>
      <c r="G62" s="17">
        <f t="shared" si="1"/>
        <v>0</v>
      </c>
      <c r="H62" s="18">
        <f t="shared" si="2"/>
        <v>2.4387911185567015</v>
      </c>
      <c r="I62" s="18">
        <f t="shared" si="3"/>
        <v>0</v>
      </c>
      <c r="J62" s="18">
        <f t="shared" si="4"/>
        <v>2.1301522680412375</v>
      </c>
      <c r="K62" s="18">
        <f t="shared" si="5"/>
        <v>0</v>
      </c>
      <c r="L62" s="18">
        <f t="shared" si="6"/>
        <v>1.7725354639175261</v>
      </c>
      <c r="M62" s="18">
        <f t="shared" si="7"/>
        <v>0</v>
      </c>
      <c r="N62" s="18">
        <f t="shared" si="8"/>
        <v>1.585952783505155</v>
      </c>
      <c r="O62" s="18">
        <f t="shared" si="9"/>
        <v>0</v>
      </c>
      <c r="P62" s="18">
        <f t="shared" si="10"/>
        <v>1.438241494845361</v>
      </c>
      <c r="Q62" s="18">
        <f t="shared" si="11"/>
        <v>0</v>
      </c>
      <c r="R62" s="743"/>
      <c r="S62" s="547"/>
    </row>
    <row r="63" spans="1:19" s="244" customFormat="1" ht="13.5" thickBot="1">
      <c r="A63" s="1340"/>
      <c r="B63" s="548"/>
      <c r="C63" s="551">
        <v>7717962</v>
      </c>
      <c r="D63" s="552" t="s">
        <v>3935</v>
      </c>
      <c r="E63" s="557">
        <v>139.97938144329896</v>
      </c>
      <c r="F63" s="13">
        <f t="shared" si="0"/>
        <v>76.988659793814435</v>
      </c>
      <c r="G63" s="17">
        <f t="shared" si="1"/>
        <v>0</v>
      </c>
      <c r="H63" s="18">
        <f t="shared" si="2"/>
        <v>2.415134257731959</v>
      </c>
      <c r="I63" s="18">
        <f t="shared" si="3"/>
        <v>0</v>
      </c>
      <c r="J63" s="18">
        <f t="shared" si="4"/>
        <v>2.1094892783505155</v>
      </c>
      <c r="K63" s="18">
        <f t="shared" si="5"/>
        <v>0</v>
      </c>
      <c r="L63" s="18">
        <f t="shared" si="6"/>
        <v>1.7553414432989691</v>
      </c>
      <c r="M63" s="18">
        <f t="shared" si="7"/>
        <v>0</v>
      </c>
      <c r="N63" s="18">
        <f t="shared" si="8"/>
        <v>1.5705686597938147</v>
      </c>
      <c r="O63" s="18">
        <f t="shared" si="9"/>
        <v>0</v>
      </c>
      <c r="P63" s="18">
        <f t="shared" si="10"/>
        <v>1.4242902061855669</v>
      </c>
      <c r="Q63" s="18">
        <f t="shared" si="11"/>
        <v>0</v>
      </c>
      <c r="R63" s="743"/>
      <c r="S63" s="547"/>
    </row>
    <row r="64" spans="1:19" s="244" customFormat="1" ht="13.5" thickBot="1">
      <c r="A64" s="1340"/>
      <c r="B64" s="548"/>
      <c r="C64" s="551">
        <v>7717963</v>
      </c>
      <c r="D64" s="552" t="s">
        <v>3936</v>
      </c>
      <c r="E64" s="557">
        <v>121.81443298969072</v>
      </c>
      <c r="F64" s="13">
        <f t="shared" ref="F64:F95" si="12">E64*(1-45%)</f>
        <v>66.997938144329893</v>
      </c>
      <c r="G64" s="17">
        <f t="shared" ref="G64:G95" si="13">F64*B64</f>
        <v>0</v>
      </c>
      <c r="H64" s="18">
        <f t="shared" ref="H64:H95" si="14">F64*0.03137</f>
        <v>2.1017253195876289</v>
      </c>
      <c r="I64" s="18">
        <f t="shared" ref="I64:I95" si="15">H64*B64</f>
        <v>0</v>
      </c>
      <c r="J64" s="18">
        <f t="shared" ref="J64:J95" si="16">F64*0.0274</f>
        <v>1.8357435051546391</v>
      </c>
      <c r="K64" s="18">
        <f t="shared" ref="K64:K95" si="17">J64*B64</f>
        <v>0</v>
      </c>
      <c r="L64" s="18">
        <f t="shared" ref="L64:L95" si="18">F64*0.0228</f>
        <v>1.5275529896907216</v>
      </c>
      <c r="M64" s="18">
        <f t="shared" ref="M64:M95" si="19">L64*B64</f>
        <v>0</v>
      </c>
      <c r="N64" s="18">
        <f t="shared" ref="N64:N95" si="20">F64*0.0204</f>
        <v>1.36675793814433</v>
      </c>
      <c r="O64" s="18">
        <f t="shared" ref="O64:O95" si="21">N64*B64</f>
        <v>0</v>
      </c>
      <c r="P64" s="18">
        <f t="shared" ref="P64:P95" si="22">F64*0.0185</f>
        <v>1.2394618556701029</v>
      </c>
      <c r="Q64" s="18">
        <f t="shared" ref="Q64:Q95" si="23">P64*B64</f>
        <v>0</v>
      </c>
      <c r="R64" s="743"/>
      <c r="S64" s="547"/>
    </row>
    <row r="65" spans="1:19" s="244" customFormat="1" ht="13.5" thickBot="1">
      <c r="A65" s="1340"/>
      <c r="B65" s="548"/>
      <c r="C65" s="551">
        <v>7717975</v>
      </c>
      <c r="D65" s="552" t="s">
        <v>3946</v>
      </c>
      <c r="E65" s="557">
        <v>133.36082474226805</v>
      </c>
      <c r="F65" s="13">
        <f t="shared" si="12"/>
        <v>73.348453608247439</v>
      </c>
      <c r="G65" s="17">
        <f t="shared" si="13"/>
        <v>0</v>
      </c>
      <c r="H65" s="18">
        <f t="shared" si="14"/>
        <v>2.3009409896907225</v>
      </c>
      <c r="I65" s="18">
        <f t="shared" si="15"/>
        <v>0</v>
      </c>
      <c r="J65" s="18">
        <f t="shared" si="16"/>
        <v>2.0097476288659797</v>
      </c>
      <c r="K65" s="18">
        <f t="shared" si="17"/>
        <v>0</v>
      </c>
      <c r="L65" s="18">
        <f t="shared" si="18"/>
        <v>1.6723447422680418</v>
      </c>
      <c r="M65" s="18">
        <f t="shared" si="19"/>
        <v>0</v>
      </c>
      <c r="N65" s="18">
        <f t="shared" si="20"/>
        <v>1.4963084536082478</v>
      </c>
      <c r="O65" s="18">
        <f t="shared" si="21"/>
        <v>0</v>
      </c>
      <c r="P65" s="18">
        <f t="shared" si="22"/>
        <v>1.3569463917525775</v>
      </c>
      <c r="Q65" s="18">
        <f t="shared" si="23"/>
        <v>0</v>
      </c>
      <c r="R65" s="743"/>
      <c r="S65" s="547"/>
    </row>
    <row r="66" spans="1:19" s="244" customFormat="1" ht="13.5" thickBot="1">
      <c r="A66" s="1340"/>
      <c r="B66" s="548"/>
      <c r="C66" s="551">
        <v>7717969</v>
      </c>
      <c r="D66" s="552" t="s">
        <v>3941</v>
      </c>
      <c r="E66" s="557">
        <v>123</v>
      </c>
      <c r="F66" s="13">
        <f t="shared" si="12"/>
        <v>67.650000000000006</v>
      </c>
      <c r="G66" s="17">
        <f t="shared" si="13"/>
        <v>0</v>
      </c>
      <c r="H66" s="18">
        <f t="shared" si="14"/>
        <v>2.1221805000000002</v>
      </c>
      <c r="I66" s="18">
        <f t="shared" si="15"/>
        <v>0</v>
      </c>
      <c r="J66" s="18">
        <f t="shared" si="16"/>
        <v>1.8536100000000002</v>
      </c>
      <c r="K66" s="18">
        <f t="shared" si="17"/>
        <v>0</v>
      </c>
      <c r="L66" s="18">
        <f t="shared" si="18"/>
        <v>1.5424200000000001</v>
      </c>
      <c r="M66" s="18">
        <f t="shared" si="19"/>
        <v>0</v>
      </c>
      <c r="N66" s="18">
        <f t="shared" si="20"/>
        <v>1.3800600000000003</v>
      </c>
      <c r="O66" s="18">
        <f t="shared" si="21"/>
        <v>0</v>
      </c>
      <c r="P66" s="18">
        <f t="shared" si="22"/>
        <v>1.251525</v>
      </c>
      <c r="Q66" s="18">
        <f t="shared" si="23"/>
        <v>0</v>
      </c>
      <c r="R66" s="743"/>
      <c r="S66" s="547"/>
    </row>
    <row r="67" spans="1:19" s="244" customFormat="1" ht="13.5" thickBot="1">
      <c r="A67" s="1340"/>
      <c r="B67" s="548"/>
      <c r="C67" s="551">
        <v>7717964</v>
      </c>
      <c r="D67" s="552" t="s">
        <v>3937</v>
      </c>
      <c r="E67" s="557">
        <v>112.75257731958763</v>
      </c>
      <c r="F67" s="13">
        <f t="shared" si="12"/>
        <v>62.013917525773202</v>
      </c>
      <c r="G67" s="17">
        <f t="shared" si="13"/>
        <v>0</v>
      </c>
      <c r="H67" s="18">
        <f t="shared" si="14"/>
        <v>1.9453765927835054</v>
      </c>
      <c r="I67" s="18">
        <f t="shared" si="15"/>
        <v>0</v>
      </c>
      <c r="J67" s="18">
        <f t="shared" si="16"/>
        <v>1.6991813402061857</v>
      </c>
      <c r="K67" s="18">
        <f t="shared" si="17"/>
        <v>0</v>
      </c>
      <c r="L67" s="18">
        <f t="shared" si="18"/>
        <v>1.4139173195876291</v>
      </c>
      <c r="M67" s="18">
        <f t="shared" si="19"/>
        <v>0</v>
      </c>
      <c r="N67" s="18">
        <f t="shared" si="20"/>
        <v>1.2650839175257733</v>
      </c>
      <c r="O67" s="18">
        <f t="shared" si="21"/>
        <v>0</v>
      </c>
      <c r="P67" s="18">
        <f t="shared" si="22"/>
        <v>1.1472574742268042</v>
      </c>
      <c r="Q67" s="18">
        <f t="shared" si="23"/>
        <v>0</v>
      </c>
      <c r="R67" s="743"/>
      <c r="S67" s="547"/>
    </row>
    <row r="68" spans="1:19" s="244" customFormat="1" ht="13.5" thickBot="1">
      <c r="A68" s="1340"/>
      <c r="B68" s="548"/>
      <c r="C68" s="551">
        <v>7717970</v>
      </c>
      <c r="D68" s="552" t="s">
        <v>3942</v>
      </c>
      <c r="E68" s="557">
        <v>113.88659793814433</v>
      </c>
      <c r="F68" s="13">
        <f t="shared" si="12"/>
        <v>62.637628865979387</v>
      </c>
      <c r="G68" s="17">
        <f t="shared" si="13"/>
        <v>0</v>
      </c>
      <c r="H68" s="18">
        <f t="shared" si="14"/>
        <v>1.9649424175257735</v>
      </c>
      <c r="I68" s="18">
        <f t="shared" si="15"/>
        <v>0</v>
      </c>
      <c r="J68" s="18">
        <f t="shared" si="16"/>
        <v>1.7162710309278353</v>
      </c>
      <c r="K68" s="18">
        <f t="shared" si="17"/>
        <v>0</v>
      </c>
      <c r="L68" s="18">
        <f t="shared" si="18"/>
        <v>1.42813793814433</v>
      </c>
      <c r="M68" s="18">
        <f t="shared" si="19"/>
        <v>0</v>
      </c>
      <c r="N68" s="18">
        <f t="shared" si="20"/>
        <v>1.2778076288659797</v>
      </c>
      <c r="O68" s="18">
        <f t="shared" si="21"/>
        <v>0</v>
      </c>
      <c r="P68" s="18">
        <f t="shared" si="22"/>
        <v>1.1587961340206185</v>
      </c>
      <c r="Q68" s="18">
        <f t="shared" si="23"/>
        <v>0</v>
      </c>
      <c r="R68" s="743"/>
      <c r="S68" s="547"/>
    </row>
    <row r="69" spans="1:19" s="244" customFormat="1" ht="13.5" thickBot="1">
      <c r="A69" s="1340"/>
      <c r="B69" s="548"/>
      <c r="C69" s="549">
        <v>7717965</v>
      </c>
      <c r="D69" s="550" t="s">
        <v>3938</v>
      </c>
      <c r="E69" s="557">
        <v>110.49484536082475</v>
      </c>
      <c r="F69" s="13">
        <f t="shared" si="12"/>
        <v>60.772164948453621</v>
      </c>
      <c r="G69" s="17">
        <f t="shared" si="13"/>
        <v>0</v>
      </c>
      <c r="H69" s="18">
        <f t="shared" si="14"/>
        <v>1.9064228144329902</v>
      </c>
      <c r="I69" s="18">
        <f t="shared" si="15"/>
        <v>0</v>
      </c>
      <c r="J69" s="18">
        <f t="shared" si="16"/>
        <v>1.6651573195876292</v>
      </c>
      <c r="K69" s="18">
        <f t="shared" si="17"/>
        <v>0</v>
      </c>
      <c r="L69" s="18">
        <f t="shared" si="18"/>
        <v>1.3856053608247427</v>
      </c>
      <c r="M69" s="18">
        <f t="shared" si="19"/>
        <v>0</v>
      </c>
      <c r="N69" s="18">
        <f t="shared" si="20"/>
        <v>1.239752164948454</v>
      </c>
      <c r="O69" s="18">
        <f t="shared" si="21"/>
        <v>0</v>
      </c>
      <c r="P69" s="18">
        <f t="shared" si="22"/>
        <v>1.124285051546392</v>
      </c>
      <c r="Q69" s="18">
        <f t="shared" si="23"/>
        <v>0</v>
      </c>
      <c r="R69" s="743"/>
      <c r="S69" s="547"/>
    </row>
    <row r="70" spans="1:19" s="244" customFormat="1" ht="13.5" thickBot="1">
      <c r="A70" s="1340"/>
      <c r="B70" s="548"/>
      <c r="C70" s="549">
        <v>7717976</v>
      </c>
      <c r="D70" s="550" t="s">
        <v>3947</v>
      </c>
      <c r="E70" s="557">
        <v>123.23711340206187</v>
      </c>
      <c r="F70" s="13">
        <f t="shared" si="12"/>
        <v>67.780412371134034</v>
      </c>
      <c r="G70" s="17">
        <f t="shared" si="13"/>
        <v>0</v>
      </c>
      <c r="H70" s="18">
        <f t="shared" si="14"/>
        <v>2.1262715360824749</v>
      </c>
      <c r="I70" s="18">
        <f t="shared" si="15"/>
        <v>0</v>
      </c>
      <c r="J70" s="18">
        <f t="shared" si="16"/>
        <v>1.8571832989690726</v>
      </c>
      <c r="K70" s="18">
        <f t="shared" si="17"/>
        <v>0</v>
      </c>
      <c r="L70" s="18">
        <f t="shared" si="18"/>
        <v>1.545393402061856</v>
      </c>
      <c r="M70" s="18">
        <f t="shared" si="19"/>
        <v>0</v>
      </c>
      <c r="N70" s="18">
        <f t="shared" si="20"/>
        <v>1.3827204123711343</v>
      </c>
      <c r="O70" s="18">
        <f t="shared" si="21"/>
        <v>0</v>
      </c>
      <c r="P70" s="18">
        <f t="shared" si="22"/>
        <v>1.2539376288659796</v>
      </c>
      <c r="Q70" s="18">
        <f t="shared" si="23"/>
        <v>0</v>
      </c>
      <c r="R70" s="743"/>
      <c r="S70" s="547"/>
    </row>
    <row r="71" spans="1:19" s="244" customFormat="1" ht="13.5" thickBot="1">
      <c r="A71" s="1340"/>
      <c r="B71" s="548"/>
      <c r="C71" s="551">
        <v>7717977</v>
      </c>
      <c r="D71" s="552" t="s">
        <v>3947</v>
      </c>
      <c r="E71" s="557">
        <v>120.85567010309279</v>
      </c>
      <c r="F71" s="13">
        <f t="shared" si="12"/>
        <v>66.470618556701041</v>
      </c>
      <c r="G71" s="17">
        <f t="shared" si="13"/>
        <v>0</v>
      </c>
      <c r="H71" s="18">
        <f t="shared" si="14"/>
        <v>2.0851833041237118</v>
      </c>
      <c r="I71" s="18">
        <f t="shared" si="15"/>
        <v>0</v>
      </c>
      <c r="J71" s="18">
        <f t="shared" si="16"/>
        <v>1.8212949484536085</v>
      </c>
      <c r="K71" s="18">
        <f t="shared" si="17"/>
        <v>0</v>
      </c>
      <c r="L71" s="18">
        <f t="shared" si="18"/>
        <v>1.5155301030927837</v>
      </c>
      <c r="M71" s="18">
        <f t="shared" si="19"/>
        <v>0</v>
      </c>
      <c r="N71" s="18">
        <f t="shared" si="20"/>
        <v>1.3560006185567013</v>
      </c>
      <c r="O71" s="18">
        <f t="shared" si="21"/>
        <v>0</v>
      </c>
      <c r="P71" s="18">
        <f t="shared" si="22"/>
        <v>1.2297064432989693</v>
      </c>
      <c r="Q71" s="18">
        <f t="shared" si="23"/>
        <v>0</v>
      </c>
      <c r="R71" s="743"/>
      <c r="S71" s="547"/>
    </row>
    <row r="72" spans="1:19" s="244" customFormat="1" ht="13.5" thickBot="1">
      <c r="A72" s="1340"/>
      <c r="B72" s="548"/>
      <c r="C72" s="549">
        <v>7717971</v>
      </c>
      <c r="D72" s="550" t="s">
        <v>3943</v>
      </c>
      <c r="E72" s="557">
        <v>111.56701030927836</v>
      </c>
      <c r="F72" s="13">
        <f t="shared" si="12"/>
        <v>61.361855670103104</v>
      </c>
      <c r="G72" s="17">
        <f t="shared" si="13"/>
        <v>0</v>
      </c>
      <c r="H72" s="18">
        <f t="shared" si="14"/>
        <v>1.9249214123711345</v>
      </c>
      <c r="I72" s="18">
        <f t="shared" si="15"/>
        <v>0</v>
      </c>
      <c r="J72" s="18">
        <f t="shared" si="16"/>
        <v>1.6813148453608251</v>
      </c>
      <c r="K72" s="18">
        <f t="shared" si="17"/>
        <v>0</v>
      </c>
      <c r="L72" s="18">
        <f t="shared" si="18"/>
        <v>1.3990503092783508</v>
      </c>
      <c r="M72" s="18">
        <f t="shared" si="19"/>
        <v>0</v>
      </c>
      <c r="N72" s="18">
        <f t="shared" si="20"/>
        <v>1.2517818556701035</v>
      </c>
      <c r="O72" s="18">
        <f t="shared" si="21"/>
        <v>0</v>
      </c>
      <c r="P72" s="18">
        <f t="shared" si="22"/>
        <v>1.1351943298969074</v>
      </c>
      <c r="Q72" s="18">
        <f t="shared" si="23"/>
        <v>0</v>
      </c>
      <c r="R72" s="743"/>
      <c r="S72" s="547"/>
    </row>
    <row r="73" spans="1:19" s="244" customFormat="1" ht="13.5" thickBot="1">
      <c r="A73" s="1340"/>
      <c r="B73" s="548"/>
      <c r="C73" s="551">
        <v>7717966</v>
      </c>
      <c r="D73" s="552" t="s">
        <v>3939</v>
      </c>
      <c r="E73" s="557">
        <v>101.38144329896907</v>
      </c>
      <c r="F73" s="13">
        <f t="shared" si="12"/>
        <v>55.759793814432996</v>
      </c>
      <c r="G73" s="17">
        <f t="shared" si="13"/>
        <v>0</v>
      </c>
      <c r="H73" s="18">
        <f t="shared" si="14"/>
        <v>1.7491847319587632</v>
      </c>
      <c r="I73" s="18">
        <f t="shared" si="15"/>
        <v>0</v>
      </c>
      <c r="J73" s="18">
        <f t="shared" si="16"/>
        <v>1.5278183505154641</v>
      </c>
      <c r="K73" s="18">
        <f t="shared" si="17"/>
        <v>0</v>
      </c>
      <c r="L73" s="18">
        <f t="shared" si="18"/>
        <v>1.2713232989690724</v>
      </c>
      <c r="M73" s="18">
        <f t="shared" si="19"/>
        <v>0</v>
      </c>
      <c r="N73" s="18">
        <f t="shared" si="20"/>
        <v>1.1374997938144331</v>
      </c>
      <c r="O73" s="18">
        <f t="shared" si="21"/>
        <v>0</v>
      </c>
      <c r="P73" s="18">
        <f t="shared" si="22"/>
        <v>1.0315561855670103</v>
      </c>
      <c r="Q73" s="18">
        <f t="shared" si="23"/>
        <v>0</v>
      </c>
      <c r="R73" s="743"/>
      <c r="S73" s="547"/>
    </row>
    <row r="74" spans="1:19" s="244" customFormat="1" ht="13.5" thickBot="1">
      <c r="A74" s="1340"/>
      <c r="B74" s="548"/>
      <c r="C74" s="551">
        <v>7717978</v>
      </c>
      <c r="D74" s="552" t="s">
        <v>3948</v>
      </c>
      <c r="E74" s="557">
        <v>110.79381443298969</v>
      </c>
      <c r="F74" s="13">
        <f t="shared" si="12"/>
        <v>60.936597938144338</v>
      </c>
      <c r="G74" s="17">
        <f t="shared" si="13"/>
        <v>0</v>
      </c>
      <c r="H74" s="18">
        <f t="shared" si="14"/>
        <v>1.911581077319588</v>
      </c>
      <c r="I74" s="18">
        <f t="shared" si="15"/>
        <v>0</v>
      </c>
      <c r="J74" s="18">
        <f t="shared" si="16"/>
        <v>1.669662783505155</v>
      </c>
      <c r="K74" s="18">
        <f t="shared" si="17"/>
        <v>0</v>
      </c>
      <c r="L74" s="18">
        <f t="shared" si="18"/>
        <v>1.389354432989691</v>
      </c>
      <c r="M74" s="18">
        <f t="shared" si="19"/>
        <v>0</v>
      </c>
      <c r="N74" s="18">
        <f t="shared" si="20"/>
        <v>1.2431065979381446</v>
      </c>
      <c r="O74" s="18">
        <f t="shared" si="21"/>
        <v>0</v>
      </c>
      <c r="P74" s="18">
        <f t="shared" si="22"/>
        <v>1.1273270618556701</v>
      </c>
      <c r="Q74" s="18">
        <f t="shared" si="23"/>
        <v>0</v>
      </c>
      <c r="R74" s="743"/>
      <c r="S74" s="547"/>
    </row>
    <row r="75" spans="1:19" s="244" customFormat="1" ht="13.5" thickBot="1">
      <c r="A75" s="1340"/>
      <c r="B75" s="548"/>
      <c r="C75" s="551">
        <v>7717972</v>
      </c>
      <c r="D75" s="552" t="s">
        <v>3944</v>
      </c>
      <c r="E75" s="557">
        <v>102.21649484536083</v>
      </c>
      <c r="F75" s="13">
        <f t="shared" si="12"/>
        <v>56.219072164948457</v>
      </c>
      <c r="G75" s="17">
        <f t="shared" si="13"/>
        <v>0</v>
      </c>
      <c r="H75" s="18">
        <f t="shared" si="14"/>
        <v>1.7635922938144333</v>
      </c>
      <c r="I75" s="18">
        <f t="shared" si="15"/>
        <v>0</v>
      </c>
      <c r="J75" s="18">
        <f t="shared" si="16"/>
        <v>1.5404025773195877</v>
      </c>
      <c r="K75" s="18">
        <f t="shared" si="17"/>
        <v>0</v>
      </c>
      <c r="L75" s="18">
        <f t="shared" si="18"/>
        <v>1.2817948453608248</v>
      </c>
      <c r="M75" s="18">
        <f t="shared" si="19"/>
        <v>0</v>
      </c>
      <c r="N75" s="18">
        <f t="shared" si="20"/>
        <v>1.1468690721649486</v>
      </c>
      <c r="O75" s="18">
        <f t="shared" si="21"/>
        <v>0</v>
      </c>
      <c r="P75" s="18">
        <f t="shared" si="22"/>
        <v>1.0400528350515463</v>
      </c>
      <c r="Q75" s="18">
        <f t="shared" si="23"/>
        <v>0</v>
      </c>
      <c r="R75" s="743"/>
      <c r="S75" s="547"/>
    </row>
    <row r="76" spans="1:19" s="244" customFormat="1" ht="13.5" thickBot="1">
      <c r="A76" s="1340"/>
      <c r="B76" s="548"/>
      <c r="C76" s="549" t="s">
        <v>274</v>
      </c>
      <c r="D76" s="550" t="s">
        <v>3861</v>
      </c>
      <c r="E76" s="557">
        <v>721.64948453608247</v>
      </c>
      <c r="F76" s="13">
        <f t="shared" si="12"/>
        <v>396.90721649484539</v>
      </c>
      <c r="G76" s="17">
        <f t="shared" si="13"/>
        <v>0</v>
      </c>
      <c r="H76" s="18">
        <f t="shared" si="14"/>
        <v>12.4509793814433</v>
      </c>
      <c r="I76" s="18">
        <f t="shared" si="15"/>
        <v>0</v>
      </c>
      <c r="J76" s="18">
        <f t="shared" si="16"/>
        <v>10.875257731958763</v>
      </c>
      <c r="K76" s="18">
        <f t="shared" si="17"/>
        <v>0</v>
      </c>
      <c r="L76" s="18">
        <f t="shared" si="18"/>
        <v>9.0494845360824758</v>
      </c>
      <c r="M76" s="18">
        <f t="shared" si="19"/>
        <v>0</v>
      </c>
      <c r="N76" s="18">
        <f t="shared" si="20"/>
        <v>8.0969072164948468</v>
      </c>
      <c r="O76" s="18">
        <f t="shared" si="21"/>
        <v>0</v>
      </c>
      <c r="P76" s="18">
        <f t="shared" si="22"/>
        <v>7.3427835051546388</v>
      </c>
      <c r="Q76" s="18">
        <f t="shared" si="23"/>
        <v>0</v>
      </c>
      <c r="R76" s="743"/>
      <c r="S76" s="547"/>
    </row>
    <row r="77" spans="1:19" s="244" customFormat="1" ht="13.5" thickBot="1">
      <c r="A77" s="1340"/>
      <c r="B77" s="548"/>
      <c r="C77" s="551" t="s">
        <v>3728</v>
      </c>
      <c r="D77" s="552" t="s">
        <v>3950</v>
      </c>
      <c r="E77" s="557">
        <v>19506.18556701031</v>
      </c>
      <c r="F77" s="13">
        <f t="shared" si="12"/>
        <v>10728.402061855671</v>
      </c>
      <c r="G77" s="17">
        <f t="shared" si="13"/>
        <v>0</v>
      </c>
      <c r="H77" s="18">
        <f t="shared" si="14"/>
        <v>336.54997268041245</v>
      </c>
      <c r="I77" s="18">
        <f t="shared" si="15"/>
        <v>0</v>
      </c>
      <c r="J77" s="18">
        <f t="shared" si="16"/>
        <v>293.95821649484543</v>
      </c>
      <c r="K77" s="18">
        <f t="shared" si="17"/>
        <v>0</v>
      </c>
      <c r="L77" s="18">
        <f t="shared" si="18"/>
        <v>244.60756701030931</v>
      </c>
      <c r="M77" s="18">
        <f t="shared" si="19"/>
        <v>0</v>
      </c>
      <c r="N77" s="18">
        <f t="shared" si="20"/>
        <v>218.85940206185572</v>
      </c>
      <c r="O77" s="18">
        <f t="shared" si="21"/>
        <v>0</v>
      </c>
      <c r="P77" s="18">
        <f t="shared" si="22"/>
        <v>198.4754381443299</v>
      </c>
      <c r="Q77" s="18">
        <f t="shared" si="23"/>
        <v>0</v>
      </c>
      <c r="R77" s="743"/>
      <c r="S77" s="547"/>
    </row>
    <row r="78" spans="1:19" s="244" customFormat="1" ht="13.5" thickBot="1">
      <c r="A78" s="1340"/>
      <c r="B78" s="548"/>
      <c r="C78" s="551" t="s">
        <v>543</v>
      </c>
      <c r="D78" s="552" t="s">
        <v>3955</v>
      </c>
      <c r="E78" s="557">
        <v>12061.855670103094</v>
      </c>
      <c r="F78" s="13">
        <f t="shared" si="12"/>
        <v>6634.0206185567022</v>
      </c>
      <c r="G78" s="17">
        <f t="shared" si="13"/>
        <v>0</v>
      </c>
      <c r="H78" s="18">
        <f t="shared" si="14"/>
        <v>208.10922680412375</v>
      </c>
      <c r="I78" s="18">
        <f t="shared" si="15"/>
        <v>0</v>
      </c>
      <c r="J78" s="18">
        <f t="shared" si="16"/>
        <v>181.77216494845365</v>
      </c>
      <c r="K78" s="18">
        <f t="shared" si="17"/>
        <v>0</v>
      </c>
      <c r="L78" s="18">
        <f t="shared" si="18"/>
        <v>151.25567010309283</v>
      </c>
      <c r="M78" s="18">
        <f t="shared" si="19"/>
        <v>0</v>
      </c>
      <c r="N78" s="18">
        <f t="shared" si="20"/>
        <v>135.33402061855674</v>
      </c>
      <c r="O78" s="18">
        <f t="shared" si="21"/>
        <v>0</v>
      </c>
      <c r="P78" s="18">
        <f t="shared" si="22"/>
        <v>122.72938144329899</v>
      </c>
      <c r="Q78" s="18">
        <f t="shared" si="23"/>
        <v>0</v>
      </c>
      <c r="R78" s="743"/>
      <c r="S78" s="547"/>
    </row>
    <row r="79" spans="1:19" s="244" customFormat="1" ht="13.5" thickBot="1">
      <c r="A79" s="1340"/>
      <c r="B79" s="548"/>
      <c r="C79" s="549">
        <v>45199274</v>
      </c>
      <c r="D79" s="550" t="s">
        <v>3871</v>
      </c>
      <c r="E79" s="557">
        <v>882.47422680412376</v>
      </c>
      <c r="F79" s="13">
        <f t="shared" si="12"/>
        <v>485.36082474226811</v>
      </c>
      <c r="G79" s="17">
        <f t="shared" si="13"/>
        <v>0</v>
      </c>
      <c r="H79" s="18">
        <f t="shared" si="14"/>
        <v>15.225769072164951</v>
      </c>
      <c r="I79" s="18">
        <f t="shared" si="15"/>
        <v>0</v>
      </c>
      <c r="J79" s="18">
        <f t="shared" si="16"/>
        <v>13.298886597938147</v>
      </c>
      <c r="K79" s="18">
        <f t="shared" si="17"/>
        <v>0</v>
      </c>
      <c r="L79" s="18">
        <f t="shared" si="18"/>
        <v>11.066226804123714</v>
      </c>
      <c r="M79" s="18">
        <f t="shared" si="19"/>
        <v>0</v>
      </c>
      <c r="N79" s="18">
        <f t="shared" si="20"/>
        <v>9.9013608247422695</v>
      </c>
      <c r="O79" s="18">
        <f t="shared" si="21"/>
        <v>0</v>
      </c>
      <c r="P79" s="18">
        <f t="shared" si="22"/>
        <v>8.9791752577319599</v>
      </c>
      <c r="Q79" s="18">
        <f t="shared" si="23"/>
        <v>0</v>
      </c>
      <c r="R79" s="743"/>
      <c r="S79" s="547"/>
    </row>
    <row r="80" spans="1:19" s="244" customFormat="1" ht="13.5" thickBot="1">
      <c r="A80" s="1340"/>
      <c r="B80" s="548"/>
      <c r="C80" s="549">
        <v>45201523</v>
      </c>
      <c r="D80" s="550" t="s">
        <v>3877</v>
      </c>
      <c r="E80" s="557">
        <v>1676.7010309278353</v>
      </c>
      <c r="F80" s="13">
        <f t="shared" si="12"/>
        <v>922.18556701030946</v>
      </c>
      <c r="G80" s="17">
        <f t="shared" si="13"/>
        <v>0</v>
      </c>
      <c r="H80" s="18">
        <f t="shared" si="14"/>
        <v>28.928961237113409</v>
      </c>
      <c r="I80" s="18">
        <f t="shared" si="15"/>
        <v>0</v>
      </c>
      <c r="J80" s="18">
        <f t="shared" si="16"/>
        <v>25.26788453608248</v>
      </c>
      <c r="K80" s="18">
        <f t="shared" si="17"/>
        <v>0</v>
      </c>
      <c r="L80" s="18">
        <f t="shared" si="18"/>
        <v>21.025830927835056</v>
      </c>
      <c r="M80" s="18">
        <f t="shared" si="19"/>
        <v>0</v>
      </c>
      <c r="N80" s="18">
        <f t="shared" si="20"/>
        <v>18.812585567010313</v>
      </c>
      <c r="O80" s="18">
        <f t="shared" si="21"/>
        <v>0</v>
      </c>
      <c r="P80" s="18">
        <f t="shared" si="22"/>
        <v>17.060432989690725</v>
      </c>
      <c r="Q80" s="18">
        <f t="shared" si="23"/>
        <v>0</v>
      </c>
      <c r="R80" s="743"/>
      <c r="S80" s="547"/>
    </row>
    <row r="81" spans="1:19" s="244" customFormat="1" ht="13.5" thickBot="1">
      <c r="A81" s="1340"/>
      <c r="B81" s="548"/>
      <c r="C81" s="551">
        <v>45201525</v>
      </c>
      <c r="D81" s="552" t="s">
        <v>3878</v>
      </c>
      <c r="E81" s="557">
        <v>2371.6494845360826</v>
      </c>
      <c r="F81" s="13">
        <f t="shared" si="12"/>
        <v>1304.4072164948454</v>
      </c>
      <c r="G81" s="17">
        <f t="shared" si="13"/>
        <v>0</v>
      </c>
      <c r="H81" s="18">
        <f t="shared" si="14"/>
        <v>40.919254381443302</v>
      </c>
      <c r="I81" s="18">
        <f t="shared" si="15"/>
        <v>0</v>
      </c>
      <c r="J81" s="18">
        <f t="shared" si="16"/>
        <v>35.740757731958766</v>
      </c>
      <c r="K81" s="18">
        <f t="shared" si="17"/>
        <v>0</v>
      </c>
      <c r="L81" s="18">
        <f t="shared" si="18"/>
        <v>29.740484536082477</v>
      </c>
      <c r="M81" s="18">
        <f t="shared" si="19"/>
        <v>0</v>
      </c>
      <c r="N81" s="18">
        <f t="shared" si="20"/>
        <v>26.60990721649485</v>
      </c>
      <c r="O81" s="18">
        <f t="shared" si="21"/>
        <v>0</v>
      </c>
      <c r="P81" s="18">
        <f t="shared" si="22"/>
        <v>24.131533505154639</v>
      </c>
      <c r="Q81" s="18">
        <f t="shared" si="23"/>
        <v>0</v>
      </c>
      <c r="R81" s="743"/>
      <c r="S81" s="547"/>
    </row>
    <row r="82" spans="1:19" s="244" customFormat="1" ht="13.5" thickBot="1">
      <c r="A82" s="1340"/>
      <c r="B82" s="548"/>
      <c r="C82" s="551">
        <v>45201527</v>
      </c>
      <c r="D82" s="552" t="s">
        <v>3879</v>
      </c>
      <c r="E82" s="557">
        <v>2812.8865979381444</v>
      </c>
      <c r="F82" s="13">
        <f t="shared" si="12"/>
        <v>1547.0876288659795</v>
      </c>
      <c r="G82" s="17">
        <f t="shared" si="13"/>
        <v>0</v>
      </c>
      <c r="H82" s="18">
        <f t="shared" si="14"/>
        <v>48.532138917525778</v>
      </c>
      <c r="I82" s="18">
        <f t="shared" si="15"/>
        <v>0</v>
      </c>
      <c r="J82" s="18">
        <f t="shared" si="16"/>
        <v>42.390201030927841</v>
      </c>
      <c r="K82" s="18">
        <f t="shared" si="17"/>
        <v>0</v>
      </c>
      <c r="L82" s="18">
        <f t="shared" si="18"/>
        <v>35.273597938144334</v>
      </c>
      <c r="M82" s="18">
        <f t="shared" si="19"/>
        <v>0</v>
      </c>
      <c r="N82" s="18">
        <f t="shared" si="20"/>
        <v>31.560587628865985</v>
      </c>
      <c r="O82" s="18">
        <f t="shared" si="21"/>
        <v>0</v>
      </c>
      <c r="P82" s="18">
        <f t="shared" si="22"/>
        <v>28.621121134020619</v>
      </c>
      <c r="Q82" s="18">
        <f t="shared" si="23"/>
        <v>0</v>
      </c>
      <c r="R82" s="743"/>
      <c r="S82" s="547"/>
    </row>
    <row r="83" spans="1:19" s="244" customFormat="1" ht="13.5" thickBot="1">
      <c r="A83" s="1340"/>
      <c r="B83" s="548"/>
      <c r="C83" s="551">
        <v>45201529</v>
      </c>
      <c r="D83" s="552" t="s">
        <v>3880</v>
      </c>
      <c r="E83" s="557">
        <v>3298.2474226804125</v>
      </c>
      <c r="F83" s="13">
        <f t="shared" si="12"/>
        <v>1814.036082474227</v>
      </c>
      <c r="G83" s="17">
        <f t="shared" si="13"/>
        <v>0</v>
      </c>
      <c r="H83" s="18">
        <f t="shared" si="14"/>
        <v>56.906311907216505</v>
      </c>
      <c r="I83" s="18">
        <f t="shared" si="15"/>
        <v>0</v>
      </c>
      <c r="J83" s="18">
        <f t="shared" si="16"/>
        <v>49.704588659793821</v>
      </c>
      <c r="K83" s="18">
        <f t="shared" si="17"/>
        <v>0</v>
      </c>
      <c r="L83" s="18">
        <f t="shared" si="18"/>
        <v>41.360022680412378</v>
      </c>
      <c r="M83" s="18">
        <f t="shared" si="19"/>
        <v>0</v>
      </c>
      <c r="N83" s="18">
        <f t="shared" si="20"/>
        <v>37.006336082474235</v>
      </c>
      <c r="O83" s="18">
        <f t="shared" si="21"/>
        <v>0</v>
      </c>
      <c r="P83" s="18">
        <f t="shared" si="22"/>
        <v>33.5596675257732</v>
      </c>
      <c r="Q83" s="18">
        <f t="shared" si="23"/>
        <v>0</v>
      </c>
      <c r="R83" s="743"/>
      <c r="S83" s="547"/>
    </row>
    <row r="84" spans="1:19" s="244" customFormat="1" ht="13.5" thickBot="1">
      <c r="A84" s="1340"/>
      <c r="B84" s="548"/>
      <c r="C84" s="549">
        <v>45198237</v>
      </c>
      <c r="D84" s="550" t="s">
        <v>3870</v>
      </c>
      <c r="E84" s="557">
        <v>1047.9381443298969</v>
      </c>
      <c r="F84" s="13">
        <f t="shared" si="12"/>
        <v>576.36597938144337</v>
      </c>
      <c r="G84" s="17">
        <f t="shared" si="13"/>
        <v>0</v>
      </c>
      <c r="H84" s="18">
        <f t="shared" si="14"/>
        <v>18.080600773195879</v>
      </c>
      <c r="I84" s="18">
        <f t="shared" si="15"/>
        <v>0</v>
      </c>
      <c r="J84" s="18">
        <f t="shared" si="16"/>
        <v>15.792427835051548</v>
      </c>
      <c r="K84" s="18">
        <f t="shared" si="17"/>
        <v>0</v>
      </c>
      <c r="L84" s="18">
        <f t="shared" si="18"/>
        <v>13.141144329896909</v>
      </c>
      <c r="M84" s="18">
        <f t="shared" si="19"/>
        <v>0</v>
      </c>
      <c r="N84" s="18">
        <f t="shared" si="20"/>
        <v>11.757865979381446</v>
      </c>
      <c r="O84" s="18">
        <f t="shared" si="21"/>
        <v>0</v>
      </c>
      <c r="P84" s="18">
        <f t="shared" si="22"/>
        <v>10.662770618556701</v>
      </c>
      <c r="Q84" s="18">
        <f t="shared" si="23"/>
        <v>0</v>
      </c>
      <c r="R84" s="743"/>
      <c r="S84" s="547"/>
    </row>
    <row r="85" spans="1:19" s="244" customFormat="1" ht="13.5" thickBot="1">
      <c r="A85" s="1340"/>
      <c r="B85" s="548"/>
      <c r="C85" s="549">
        <v>45201515</v>
      </c>
      <c r="D85" s="550" t="s">
        <v>3873</v>
      </c>
      <c r="E85" s="557">
        <v>1985.5670103092784</v>
      </c>
      <c r="F85" s="13">
        <f t="shared" si="12"/>
        <v>1092.0618556701031</v>
      </c>
      <c r="G85" s="17">
        <f t="shared" si="13"/>
        <v>0</v>
      </c>
      <c r="H85" s="18">
        <f t="shared" si="14"/>
        <v>34.25798041237114</v>
      </c>
      <c r="I85" s="18">
        <f t="shared" si="15"/>
        <v>0</v>
      </c>
      <c r="J85" s="18">
        <f t="shared" si="16"/>
        <v>29.922494845360827</v>
      </c>
      <c r="K85" s="18">
        <f t="shared" si="17"/>
        <v>0</v>
      </c>
      <c r="L85" s="18">
        <f t="shared" si="18"/>
        <v>24.899010309278353</v>
      </c>
      <c r="M85" s="18">
        <f t="shared" si="19"/>
        <v>0</v>
      </c>
      <c r="N85" s="18">
        <f t="shared" si="20"/>
        <v>22.278061855670106</v>
      </c>
      <c r="O85" s="18">
        <f t="shared" si="21"/>
        <v>0</v>
      </c>
      <c r="P85" s="18">
        <f t="shared" si="22"/>
        <v>20.203144329896908</v>
      </c>
      <c r="Q85" s="18">
        <f t="shared" si="23"/>
        <v>0</v>
      </c>
      <c r="R85" s="743"/>
      <c r="S85" s="547"/>
    </row>
    <row r="86" spans="1:19" s="244" customFormat="1" ht="13.5" thickBot="1">
      <c r="A86" s="1340"/>
      <c r="B86" s="548"/>
      <c r="C86" s="551">
        <v>45201517</v>
      </c>
      <c r="D86" s="552" t="s">
        <v>3874</v>
      </c>
      <c r="E86" s="557">
        <v>2823.9175257731958</v>
      </c>
      <c r="F86" s="13">
        <f t="shared" si="12"/>
        <v>1553.1546391752579</v>
      </c>
      <c r="G86" s="17">
        <f t="shared" si="13"/>
        <v>0</v>
      </c>
      <c r="H86" s="18">
        <f t="shared" si="14"/>
        <v>48.722461030927846</v>
      </c>
      <c r="I86" s="18">
        <f t="shared" si="15"/>
        <v>0</v>
      </c>
      <c r="J86" s="18">
        <f t="shared" si="16"/>
        <v>42.556437113402069</v>
      </c>
      <c r="K86" s="18">
        <f t="shared" si="17"/>
        <v>0</v>
      </c>
      <c r="L86" s="18">
        <f t="shared" si="18"/>
        <v>35.411925773195883</v>
      </c>
      <c r="M86" s="18">
        <f t="shared" si="19"/>
        <v>0</v>
      </c>
      <c r="N86" s="18">
        <f t="shared" si="20"/>
        <v>31.684354639175265</v>
      </c>
      <c r="O86" s="18">
        <f t="shared" si="21"/>
        <v>0</v>
      </c>
      <c r="P86" s="18">
        <f t="shared" si="22"/>
        <v>28.73336082474227</v>
      </c>
      <c r="Q86" s="18">
        <f t="shared" si="23"/>
        <v>0</v>
      </c>
      <c r="R86" s="743"/>
      <c r="S86" s="547"/>
    </row>
    <row r="87" spans="1:19" s="244" customFormat="1" ht="13.5" thickBot="1">
      <c r="A87" s="1340"/>
      <c r="B87" s="548"/>
      <c r="C87" s="551">
        <v>45201519</v>
      </c>
      <c r="D87" s="552" t="s">
        <v>3875</v>
      </c>
      <c r="E87" s="557">
        <v>3342.3711340206187</v>
      </c>
      <c r="F87" s="13">
        <f t="shared" si="12"/>
        <v>1838.3041237113405</v>
      </c>
      <c r="G87" s="17">
        <f t="shared" si="13"/>
        <v>0</v>
      </c>
      <c r="H87" s="18">
        <f t="shared" si="14"/>
        <v>57.667600360824757</v>
      </c>
      <c r="I87" s="18">
        <f t="shared" si="15"/>
        <v>0</v>
      </c>
      <c r="J87" s="18">
        <f t="shared" si="16"/>
        <v>50.369532989690732</v>
      </c>
      <c r="K87" s="18">
        <f t="shared" si="17"/>
        <v>0</v>
      </c>
      <c r="L87" s="18">
        <f t="shared" si="18"/>
        <v>41.913334020618564</v>
      </c>
      <c r="M87" s="18">
        <f t="shared" si="19"/>
        <v>0</v>
      </c>
      <c r="N87" s="18">
        <f t="shared" si="20"/>
        <v>37.501404123711346</v>
      </c>
      <c r="O87" s="18">
        <f t="shared" si="21"/>
        <v>0</v>
      </c>
      <c r="P87" s="18">
        <f t="shared" si="22"/>
        <v>34.008626288659798</v>
      </c>
      <c r="Q87" s="18">
        <f t="shared" si="23"/>
        <v>0</v>
      </c>
      <c r="R87" s="743"/>
      <c r="S87" s="547"/>
    </row>
    <row r="88" spans="1:19" s="244" customFormat="1" ht="13.5" thickBot="1">
      <c r="A88" s="1340"/>
      <c r="B88" s="548"/>
      <c r="C88" s="549">
        <v>45201521</v>
      </c>
      <c r="D88" s="550" t="s">
        <v>3876</v>
      </c>
      <c r="E88" s="557">
        <v>3915.9793814432992</v>
      </c>
      <c r="F88" s="13">
        <f t="shared" si="12"/>
        <v>2153.7886597938145</v>
      </c>
      <c r="G88" s="17">
        <f t="shared" si="13"/>
        <v>0</v>
      </c>
      <c r="H88" s="18">
        <f t="shared" si="14"/>
        <v>67.564350257731959</v>
      </c>
      <c r="I88" s="18">
        <f t="shared" si="15"/>
        <v>0</v>
      </c>
      <c r="J88" s="18">
        <f t="shared" si="16"/>
        <v>59.013809278350521</v>
      </c>
      <c r="K88" s="18">
        <f t="shared" si="17"/>
        <v>0</v>
      </c>
      <c r="L88" s="18">
        <f t="shared" si="18"/>
        <v>49.106381443298972</v>
      </c>
      <c r="M88" s="18">
        <f t="shared" si="19"/>
        <v>0</v>
      </c>
      <c r="N88" s="18">
        <f t="shared" si="20"/>
        <v>43.937288659793822</v>
      </c>
      <c r="O88" s="18">
        <f t="shared" si="21"/>
        <v>0</v>
      </c>
      <c r="P88" s="18">
        <f t="shared" si="22"/>
        <v>39.845090206185567</v>
      </c>
      <c r="Q88" s="18">
        <f t="shared" si="23"/>
        <v>0</v>
      </c>
      <c r="R88" s="743"/>
      <c r="S88" s="547"/>
    </row>
    <row r="89" spans="1:19" s="244" customFormat="1" ht="13.5" thickBot="1">
      <c r="A89" s="1340"/>
      <c r="B89" s="548"/>
      <c r="C89" s="551">
        <v>45111136</v>
      </c>
      <c r="D89" s="552" t="s">
        <v>3818</v>
      </c>
      <c r="E89" s="557">
        <v>1134.020618556701</v>
      </c>
      <c r="F89" s="13">
        <f t="shared" si="12"/>
        <v>623.71134020618558</v>
      </c>
      <c r="G89" s="17">
        <f t="shared" si="13"/>
        <v>0</v>
      </c>
      <c r="H89" s="18">
        <f t="shared" si="14"/>
        <v>19.565824742268042</v>
      </c>
      <c r="I89" s="18">
        <f t="shared" si="15"/>
        <v>0</v>
      </c>
      <c r="J89" s="18">
        <f t="shared" si="16"/>
        <v>17.089690721649486</v>
      </c>
      <c r="K89" s="18">
        <f t="shared" si="17"/>
        <v>0</v>
      </c>
      <c r="L89" s="18">
        <f t="shared" si="18"/>
        <v>14.220618556701032</v>
      </c>
      <c r="M89" s="18">
        <f t="shared" si="19"/>
        <v>0</v>
      </c>
      <c r="N89" s="18">
        <f t="shared" si="20"/>
        <v>12.723711340206187</v>
      </c>
      <c r="O89" s="18">
        <f t="shared" si="21"/>
        <v>0</v>
      </c>
      <c r="P89" s="18">
        <f t="shared" si="22"/>
        <v>11.538659793814432</v>
      </c>
      <c r="Q89" s="18">
        <f t="shared" si="23"/>
        <v>0</v>
      </c>
      <c r="R89" s="743"/>
      <c r="S89" s="547"/>
    </row>
    <row r="90" spans="1:19" s="244" customFormat="1" ht="13.5" thickBot="1">
      <c r="A90" s="1340"/>
      <c r="B90" s="548"/>
      <c r="C90" s="549">
        <v>45201479</v>
      </c>
      <c r="D90" s="550" t="s">
        <v>3981</v>
      </c>
      <c r="E90" s="557">
        <v>1876.2886597938145</v>
      </c>
      <c r="F90" s="13">
        <f t="shared" si="12"/>
        <v>1031.9587628865982</v>
      </c>
      <c r="G90" s="17">
        <f t="shared" si="13"/>
        <v>0</v>
      </c>
      <c r="H90" s="18">
        <f t="shared" si="14"/>
        <v>32.372546391752586</v>
      </c>
      <c r="I90" s="18">
        <f t="shared" si="15"/>
        <v>0</v>
      </c>
      <c r="J90" s="18">
        <f t="shared" si="16"/>
        <v>28.275670103092789</v>
      </c>
      <c r="K90" s="18">
        <f t="shared" si="17"/>
        <v>0</v>
      </c>
      <c r="L90" s="18">
        <f t="shared" si="18"/>
        <v>23.528659793814438</v>
      </c>
      <c r="M90" s="18">
        <f t="shared" si="19"/>
        <v>0</v>
      </c>
      <c r="N90" s="18">
        <f t="shared" si="20"/>
        <v>21.051958762886603</v>
      </c>
      <c r="O90" s="18">
        <f t="shared" si="21"/>
        <v>0</v>
      </c>
      <c r="P90" s="18">
        <f t="shared" si="22"/>
        <v>19.091237113402066</v>
      </c>
      <c r="Q90" s="18">
        <f t="shared" si="23"/>
        <v>0</v>
      </c>
      <c r="R90" s="743"/>
      <c r="S90" s="547"/>
    </row>
    <row r="91" spans="1:19" s="244" customFormat="1" ht="13.5" thickBot="1">
      <c r="A91" s="1340"/>
      <c r="B91" s="548"/>
      <c r="C91" s="551">
        <v>45201481</v>
      </c>
      <c r="D91" s="552" t="s">
        <v>3982</v>
      </c>
      <c r="E91" s="557">
        <v>3556.7010309278353</v>
      </c>
      <c r="F91" s="13">
        <f t="shared" si="12"/>
        <v>1956.1855670103096</v>
      </c>
      <c r="G91" s="17">
        <f t="shared" si="13"/>
        <v>0</v>
      </c>
      <c r="H91" s="18">
        <f t="shared" si="14"/>
        <v>61.365541237113412</v>
      </c>
      <c r="I91" s="18">
        <f t="shared" si="15"/>
        <v>0</v>
      </c>
      <c r="J91" s="18">
        <f t="shared" si="16"/>
        <v>53.599484536082485</v>
      </c>
      <c r="K91" s="18">
        <f t="shared" si="17"/>
        <v>0</v>
      </c>
      <c r="L91" s="18">
        <f t="shared" si="18"/>
        <v>44.601030927835062</v>
      </c>
      <c r="M91" s="18">
        <f t="shared" si="19"/>
        <v>0</v>
      </c>
      <c r="N91" s="18">
        <f t="shared" si="20"/>
        <v>39.906185567010318</v>
      </c>
      <c r="O91" s="18">
        <f t="shared" si="21"/>
        <v>0</v>
      </c>
      <c r="P91" s="18">
        <f t="shared" si="22"/>
        <v>36.189432989690722</v>
      </c>
      <c r="Q91" s="18">
        <f t="shared" si="23"/>
        <v>0</v>
      </c>
      <c r="R91" s="743"/>
      <c r="S91" s="547"/>
    </row>
    <row r="92" spans="1:19" s="244" customFormat="1" ht="13.5" thickBot="1">
      <c r="A92" s="1340"/>
      <c r="B92" s="548"/>
      <c r="C92" s="551">
        <v>45201483</v>
      </c>
      <c r="D92" s="552" t="s">
        <v>3983</v>
      </c>
      <c r="E92" s="557">
        <v>5051.5463917525776</v>
      </c>
      <c r="F92" s="13">
        <f t="shared" si="12"/>
        <v>2778.3505154639179</v>
      </c>
      <c r="G92" s="17">
        <f t="shared" si="13"/>
        <v>0</v>
      </c>
      <c r="H92" s="18">
        <f t="shared" si="14"/>
        <v>87.156855670103113</v>
      </c>
      <c r="I92" s="18">
        <f t="shared" si="15"/>
        <v>0</v>
      </c>
      <c r="J92" s="18">
        <f t="shared" si="16"/>
        <v>76.126804123711352</v>
      </c>
      <c r="K92" s="18">
        <f t="shared" si="17"/>
        <v>0</v>
      </c>
      <c r="L92" s="18">
        <f t="shared" si="18"/>
        <v>63.346391752577333</v>
      </c>
      <c r="M92" s="18">
        <f t="shared" si="19"/>
        <v>0</v>
      </c>
      <c r="N92" s="18">
        <f t="shared" si="20"/>
        <v>56.678350515463926</v>
      </c>
      <c r="O92" s="18">
        <f t="shared" si="21"/>
        <v>0</v>
      </c>
      <c r="P92" s="18">
        <f t="shared" si="22"/>
        <v>51.399484536082475</v>
      </c>
      <c r="Q92" s="18">
        <f t="shared" si="23"/>
        <v>0</v>
      </c>
      <c r="R92" s="743"/>
      <c r="S92" s="547"/>
    </row>
    <row r="93" spans="1:19" s="244" customFormat="1" ht="13.5" thickBot="1">
      <c r="A93" s="1340"/>
      <c r="B93" s="548"/>
      <c r="C93" s="551">
        <v>45201485</v>
      </c>
      <c r="D93" s="552" t="s">
        <v>3984</v>
      </c>
      <c r="E93" s="557">
        <v>5979.3814432989693</v>
      </c>
      <c r="F93" s="13">
        <f t="shared" si="12"/>
        <v>3288.6597938144332</v>
      </c>
      <c r="G93" s="17">
        <f t="shared" si="13"/>
        <v>0</v>
      </c>
      <c r="H93" s="18">
        <f t="shared" si="14"/>
        <v>103.16525773195877</v>
      </c>
      <c r="I93" s="18">
        <f t="shared" si="15"/>
        <v>0</v>
      </c>
      <c r="J93" s="18">
        <f t="shared" si="16"/>
        <v>90.109278350515467</v>
      </c>
      <c r="K93" s="18">
        <f t="shared" si="17"/>
        <v>0</v>
      </c>
      <c r="L93" s="18">
        <f t="shared" si="18"/>
        <v>74.981443298969083</v>
      </c>
      <c r="M93" s="18">
        <f t="shared" si="19"/>
        <v>0</v>
      </c>
      <c r="N93" s="18">
        <f t="shared" si="20"/>
        <v>67.088659793814443</v>
      </c>
      <c r="O93" s="18">
        <f t="shared" si="21"/>
        <v>0</v>
      </c>
      <c r="P93" s="18">
        <f t="shared" si="22"/>
        <v>60.840206185567013</v>
      </c>
      <c r="Q93" s="18">
        <f t="shared" si="23"/>
        <v>0</v>
      </c>
      <c r="R93" s="743"/>
      <c r="S93" s="547"/>
    </row>
    <row r="94" spans="1:19" s="244" customFormat="1" ht="13.5" thickBot="1">
      <c r="A94" s="1340"/>
      <c r="B94" s="548"/>
      <c r="C94" s="549">
        <v>45201487</v>
      </c>
      <c r="D94" s="550" t="s">
        <v>3985</v>
      </c>
      <c r="E94" s="557">
        <v>7010.3092783505153</v>
      </c>
      <c r="F94" s="13">
        <f t="shared" si="12"/>
        <v>3855.6701030927838</v>
      </c>
      <c r="G94" s="17">
        <f t="shared" si="13"/>
        <v>0</v>
      </c>
      <c r="H94" s="18">
        <f t="shared" si="14"/>
        <v>120.95237113402064</v>
      </c>
      <c r="I94" s="18">
        <f t="shared" si="15"/>
        <v>0</v>
      </c>
      <c r="J94" s="18">
        <f t="shared" si="16"/>
        <v>105.64536082474228</v>
      </c>
      <c r="K94" s="18">
        <f t="shared" si="17"/>
        <v>0</v>
      </c>
      <c r="L94" s="18">
        <f t="shared" si="18"/>
        <v>87.909278350515478</v>
      </c>
      <c r="M94" s="18">
        <f t="shared" si="19"/>
        <v>0</v>
      </c>
      <c r="N94" s="18">
        <f t="shared" si="20"/>
        <v>78.655670103092802</v>
      </c>
      <c r="O94" s="18">
        <f t="shared" si="21"/>
        <v>0</v>
      </c>
      <c r="P94" s="18">
        <f t="shared" si="22"/>
        <v>71.329896907216494</v>
      </c>
      <c r="Q94" s="18">
        <f t="shared" si="23"/>
        <v>0</v>
      </c>
      <c r="R94" s="743"/>
      <c r="S94" s="547"/>
    </row>
    <row r="95" spans="1:19" s="244" customFormat="1" ht="13.5" thickBot="1">
      <c r="A95" s="1340"/>
      <c r="B95" s="548"/>
      <c r="C95" s="551">
        <v>45206712</v>
      </c>
      <c r="D95" s="552" t="s">
        <v>3784</v>
      </c>
      <c r="E95" s="557">
        <v>2577.319587628866</v>
      </c>
      <c r="F95" s="13">
        <f t="shared" si="12"/>
        <v>1417.5257731958764</v>
      </c>
      <c r="G95" s="17">
        <f t="shared" si="13"/>
        <v>0</v>
      </c>
      <c r="H95" s="18">
        <f t="shared" si="14"/>
        <v>44.467783505154642</v>
      </c>
      <c r="I95" s="18">
        <f t="shared" si="15"/>
        <v>0</v>
      </c>
      <c r="J95" s="18">
        <f t="shared" si="16"/>
        <v>38.840206185567013</v>
      </c>
      <c r="K95" s="18">
        <f t="shared" si="17"/>
        <v>0</v>
      </c>
      <c r="L95" s="18">
        <f t="shared" si="18"/>
        <v>32.319587628865982</v>
      </c>
      <c r="M95" s="18">
        <f t="shared" si="19"/>
        <v>0</v>
      </c>
      <c r="N95" s="18">
        <f t="shared" si="20"/>
        <v>28.91752577319588</v>
      </c>
      <c r="O95" s="18">
        <f t="shared" si="21"/>
        <v>0</v>
      </c>
      <c r="P95" s="18">
        <f t="shared" si="22"/>
        <v>26.22422680412371</v>
      </c>
      <c r="Q95" s="18">
        <f t="shared" si="23"/>
        <v>0</v>
      </c>
      <c r="R95" s="743"/>
      <c r="S95" s="547"/>
    </row>
    <row r="96" spans="1:19" s="244" customFormat="1" ht="13.5" thickBot="1">
      <c r="A96" s="1340"/>
      <c r="B96" s="548"/>
      <c r="C96" s="551">
        <v>45206719</v>
      </c>
      <c r="D96" s="552" t="s">
        <v>3820</v>
      </c>
      <c r="E96" s="557">
        <v>3092.7835051546394</v>
      </c>
      <c r="F96" s="13">
        <f t="shared" ref="F96:F105" si="24">E96*(1-45%)</f>
        <v>1701.0309278350519</v>
      </c>
      <c r="G96" s="17">
        <f t="shared" ref="G96:G105" si="25">F96*B96</f>
        <v>0</v>
      </c>
      <c r="H96" s="18">
        <f t="shared" ref="H96:H127" si="26">F96*0.03137</f>
        <v>53.361340206185581</v>
      </c>
      <c r="I96" s="18">
        <f t="shared" ref="I96:I127" si="27">H96*B96</f>
        <v>0</v>
      </c>
      <c r="J96" s="18">
        <f t="shared" ref="J96:J127" si="28">F96*0.0274</f>
        <v>46.608247422680421</v>
      </c>
      <c r="K96" s="18">
        <f t="shared" ref="K96:K127" si="29">J96*B96</f>
        <v>0</v>
      </c>
      <c r="L96" s="18">
        <f t="shared" ref="L96:L127" si="30">F96*0.0228</f>
        <v>38.783505154639187</v>
      </c>
      <c r="M96" s="18">
        <f t="shared" ref="M96:M127" si="31">L96*B96</f>
        <v>0</v>
      </c>
      <c r="N96" s="18">
        <f t="shared" ref="N96:N127" si="32">F96*0.0204</f>
        <v>34.701030927835063</v>
      </c>
      <c r="O96" s="18">
        <f t="shared" ref="O96:O127" si="33">N96*B96</f>
        <v>0</v>
      </c>
      <c r="P96" s="18">
        <f t="shared" ref="P96:P127" si="34">F96*0.0185</f>
        <v>31.469072164948457</v>
      </c>
      <c r="Q96" s="18">
        <f t="shared" ref="Q96:Q127" si="35">P96*B96</f>
        <v>0</v>
      </c>
      <c r="R96" s="743"/>
      <c r="S96" s="547"/>
    </row>
    <row r="97" spans="1:19" s="244" customFormat="1" ht="13.5" thickBot="1">
      <c r="A97" s="1340"/>
      <c r="B97" s="548"/>
      <c r="C97" s="551">
        <v>45112781</v>
      </c>
      <c r="D97" s="552" t="s">
        <v>3979</v>
      </c>
      <c r="E97" s="557">
        <v>5560.8247422680415</v>
      </c>
      <c r="F97" s="13">
        <f t="shared" si="24"/>
        <v>3058.4536082474233</v>
      </c>
      <c r="G97" s="17">
        <f t="shared" si="25"/>
        <v>0</v>
      </c>
      <c r="H97" s="18">
        <f t="shared" si="26"/>
        <v>95.943689690721669</v>
      </c>
      <c r="I97" s="18">
        <f t="shared" si="27"/>
        <v>0</v>
      </c>
      <c r="J97" s="18">
        <f t="shared" si="28"/>
        <v>83.801628865979396</v>
      </c>
      <c r="K97" s="18">
        <f t="shared" si="29"/>
        <v>0</v>
      </c>
      <c r="L97" s="18">
        <f t="shared" si="30"/>
        <v>69.73274226804125</v>
      </c>
      <c r="M97" s="18">
        <f t="shared" si="31"/>
        <v>0</v>
      </c>
      <c r="N97" s="18">
        <f t="shared" si="32"/>
        <v>62.392453608247436</v>
      </c>
      <c r="O97" s="18">
        <f t="shared" si="33"/>
        <v>0</v>
      </c>
      <c r="P97" s="18">
        <f t="shared" si="34"/>
        <v>56.581391752577325</v>
      </c>
      <c r="Q97" s="18">
        <f t="shared" si="35"/>
        <v>0</v>
      </c>
      <c r="R97" s="743"/>
      <c r="S97" s="547"/>
    </row>
    <row r="98" spans="1:19" s="244" customFormat="1" ht="13.5" thickBot="1">
      <c r="A98" s="1340"/>
      <c r="B98" s="548"/>
      <c r="C98" s="710">
        <v>100000006366</v>
      </c>
      <c r="D98" s="550" t="s">
        <v>778</v>
      </c>
      <c r="E98" s="557">
        <v>721.64948453608247</v>
      </c>
      <c r="F98" s="13">
        <f t="shared" si="24"/>
        <v>396.90721649484539</v>
      </c>
      <c r="G98" s="17">
        <f t="shared" si="25"/>
        <v>0</v>
      </c>
      <c r="H98" s="18">
        <f t="shared" si="26"/>
        <v>12.4509793814433</v>
      </c>
      <c r="I98" s="18">
        <f t="shared" si="27"/>
        <v>0</v>
      </c>
      <c r="J98" s="18">
        <f t="shared" si="28"/>
        <v>10.875257731958763</v>
      </c>
      <c r="K98" s="18">
        <f t="shared" si="29"/>
        <v>0</v>
      </c>
      <c r="L98" s="18">
        <f t="shared" si="30"/>
        <v>9.0494845360824758</v>
      </c>
      <c r="M98" s="18">
        <f t="shared" si="31"/>
        <v>0</v>
      </c>
      <c r="N98" s="18">
        <f t="shared" si="32"/>
        <v>8.0969072164948468</v>
      </c>
      <c r="O98" s="18">
        <f t="shared" si="33"/>
        <v>0</v>
      </c>
      <c r="P98" s="18">
        <f t="shared" si="34"/>
        <v>7.3427835051546388</v>
      </c>
      <c r="Q98" s="18">
        <f t="shared" si="35"/>
        <v>0</v>
      </c>
      <c r="R98" s="743"/>
      <c r="S98" s="547"/>
    </row>
    <row r="99" spans="1:19" s="244" customFormat="1" ht="13.5" thickBot="1">
      <c r="A99" s="1340"/>
      <c r="B99" s="548"/>
      <c r="C99" s="551">
        <v>45206722</v>
      </c>
      <c r="D99" s="552" t="s">
        <v>3882</v>
      </c>
      <c r="E99" s="557">
        <v>4329.8969072164946</v>
      </c>
      <c r="F99" s="13">
        <f t="shared" si="24"/>
        <v>2381.4432989690722</v>
      </c>
      <c r="G99" s="17">
        <f t="shared" si="25"/>
        <v>0</v>
      </c>
      <c r="H99" s="18">
        <f t="shared" si="26"/>
        <v>74.705876288659795</v>
      </c>
      <c r="I99" s="18">
        <f t="shared" si="27"/>
        <v>0</v>
      </c>
      <c r="J99" s="18">
        <f t="shared" si="28"/>
        <v>65.251546391752584</v>
      </c>
      <c r="K99" s="18">
        <f t="shared" si="29"/>
        <v>0</v>
      </c>
      <c r="L99" s="18">
        <f t="shared" si="30"/>
        <v>54.296907216494851</v>
      </c>
      <c r="M99" s="18">
        <f t="shared" si="31"/>
        <v>0</v>
      </c>
      <c r="N99" s="18">
        <f t="shared" si="32"/>
        <v>48.581443298969077</v>
      </c>
      <c r="O99" s="18">
        <f t="shared" si="33"/>
        <v>0</v>
      </c>
      <c r="P99" s="18">
        <f t="shared" si="34"/>
        <v>44.056701030927833</v>
      </c>
      <c r="Q99" s="18">
        <f t="shared" si="35"/>
        <v>0</v>
      </c>
      <c r="R99" s="743"/>
      <c r="S99" s="547"/>
    </row>
    <row r="100" spans="1:19" s="244" customFormat="1" ht="13.5" thickBot="1">
      <c r="A100" s="1340"/>
      <c r="B100" s="548"/>
      <c r="C100" s="549">
        <v>45206725</v>
      </c>
      <c r="D100" s="550" t="s">
        <v>3883</v>
      </c>
      <c r="E100" s="557">
        <v>6185.5670103092789</v>
      </c>
      <c r="F100" s="13">
        <f t="shared" si="24"/>
        <v>3402.0618556701038</v>
      </c>
      <c r="G100" s="17">
        <f t="shared" si="25"/>
        <v>0</v>
      </c>
      <c r="H100" s="18">
        <f t="shared" si="26"/>
        <v>106.72268041237116</v>
      </c>
      <c r="I100" s="18">
        <f t="shared" si="27"/>
        <v>0</v>
      </c>
      <c r="J100" s="18">
        <f t="shared" si="28"/>
        <v>93.216494845360842</v>
      </c>
      <c r="K100" s="18">
        <f t="shared" si="29"/>
        <v>0</v>
      </c>
      <c r="L100" s="18">
        <f t="shared" si="30"/>
        <v>77.567010309278373</v>
      </c>
      <c r="M100" s="18">
        <f t="shared" si="31"/>
        <v>0</v>
      </c>
      <c r="N100" s="18">
        <f t="shared" si="32"/>
        <v>69.402061855670127</v>
      </c>
      <c r="O100" s="18">
        <f t="shared" si="33"/>
        <v>0</v>
      </c>
      <c r="P100" s="18">
        <f t="shared" si="34"/>
        <v>62.938144329896915</v>
      </c>
      <c r="Q100" s="18">
        <f t="shared" si="35"/>
        <v>0</v>
      </c>
      <c r="R100" s="743"/>
      <c r="S100" s="547"/>
    </row>
    <row r="101" spans="1:19" s="244" customFormat="1" ht="13.5" thickBot="1">
      <c r="A101" s="1340"/>
      <c r="B101" s="548"/>
      <c r="C101" s="551" t="s">
        <v>3830</v>
      </c>
      <c r="D101" s="552" t="s">
        <v>3846</v>
      </c>
      <c r="E101" s="557">
        <v>5365.9793814432987</v>
      </c>
      <c r="F101" s="13">
        <f t="shared" si="24"/>
        <v>2951.2886597938145</v>
      </c>
      <c r="G101" s="17">
        <f t="shared" si="25"/>
        <v>0</v>
      </c>
      <c r="H101" s="18">
        <f t="shared" si="26"/>
        <v>92.581925257731967</v>
      </c>
      <c r="I101" s="18">
        <f t="shared" si="27"/>
        <v>0</v>
      </c>
      <c r="J101" s="18">
        <f t="shared" si="28"/>
        <v>80.865309278350523</v>
      </c>
      <c r="K101" s="18">
        <f t="shared" si="29"/>
        <v>0</v>
      </c>
      <c r="L101" s="18">
        <f t="shared" si="30"/>
        <v>67.289381443298979</v>
      </c>
      <c r="M101" s="18">
        <f t="shared" si="31"/>
        <v>0</v>
      </c>
      <c r="N101" s="18">
        <f t="shared" si="32"/>
        <v>60.20628865979382</v>
      </c>
      <c r="O101" s="18">
        <f t="shared" si="33"/>
        <v>0</v>
      </c>
      <c r="P101" s="18">
        <f t="shared" si="34"/>
        <v>54.598840206185564</v>
      </c>
      <c r="Q101" s="18">
        <f t="shared" si="35"/>
        <v>0</v>
      </c>
      <c r="R101" s="743"/>
      <c r="S101" s="547"/>
    </row>
    <row r="102" spans="1:19" s="244" customFormat="1" ht="13.5" thickBot="1">
      <c r="A102" s="1340"/>
      <c r="B102" s="548"/>
      <c r="C102" s="551">
        <v>7718800</v>
      </c>
      <c r="D102" s="552" t="s">
        <v>3949</v>
      </c>
      <c r="E102" s="557">
        <v>21423.298969072162</v>
      </c>
      <c r="F102" s="13">
        <f t="shared" si="24"/>
        <v>11782.81443298969</v>
      </c>
      <c r="G102" s="17">
        <f t="shared" si="25"/>
        <v>0</v>
      </c>
      <c r="H102" s="18">
        <f t="shared" si="26"/>
        <v>369.62688876288661</v>
      </c>
      <c r="I102" s="18">
        <f t="shared" si="27"/>
        <v>0</v>
      </c>
      <c r="J102" s="18">
        <f t="shared" si="28"/>
        <v>322.84911546391749</v>
      </c>
      <c r="K102" s="18">
        <f t="shared" si="29"/>
        <v>0</v>
      </c>
      <c r="L102" s="18">
        <f t="shared" si="30"/>
        <v>268.64816907216493</v>
      </c>
      <c r="M102" s="18">
        <f t="shared" si="31"/>
        <v>0</v>
      </c>
      <c r="N102" s="18">
        <f t="shared" si="32"/>
        <v>240.36941443298969</v>
      </c>
      <c r="O102" s="18">
        <f t="shared" si="33"/>
        <v>0</v>
      </c>
      <c r="P102" s="18">
        <f t="shared" si="34"/>
        <v>217.98206701030924</v>
      </c>
      <c r="Q102" s="18">
        <f t="shared" si="35"/>
        <v>0</v>
      </c>
      <c r="R102" s="743"/>
      <c r="S102" s="547"/>
    </row>
    <row r="103" spans="1:19" s="244" customFormat="1" ht="13.5" thickBot="1">
      <c r="A103" s="1340"/>
      <c r="B103" s="548"/>
      <c r="C103" s="551">
        <v>7723000</v>
      </c>
      <c r="D103" s="552" t="s">
        <v>782</v>
      </c>
      <c r="E103" s="557">
        <v>47026.350515463913</v>
      </c>
      <c r="F103" s="13">
        <f t="shared" si="24"/>
        <v>25864.492783505153</v>
      </c>
      <c r="G103" s="17">
        <f t="shared" si="25"/>
        <v>0</v>
      </c>
      <c r="H103" s="18">
        <f t="shared" si="26"/>
        <v>811.36913861855669</v>
      </c>
      <c r="I103" s="18">
        <f t="shared" si="27"/>
        <v>0</v>
      </c>
      <c r="J103" s="18">
        <f t="shared" si="28"/>
        <v>708.68710226804126</v>
      </c>
      <c r="K103" s="18">
        <f t="shared" si="29"/>
        <v>0</v>
      </c>
      <c r="L103" s="18">
        <f t="shared" si="30"/>
        <v>589.71043546391752</v>
      </c>
      <c r="M103" s="18">
        <f t="shared" si="31"/>
        <v>0</v>
      </c>
      <c r="N103" s="18">
        <f t="shared" si="32"/>
        <v>527.63565278350518</v>
      </c>
      <c r="O103" s="18">
        <f t="shared" si="33"/>
        <v>0</v>
      </c>
      <c r="P103" s="18">
        <f t="shared" si="34"/>
        <v>478.49311649484531</v>
      </c>
      <c r="Q103" s="18">
        <f t="shared" si="35"/>
        <v>0</v>
      </c>
      <c r="R103" s="743"/>
      <c r="S103" s="547"/>
    </row>
    <row r="104" spans="1:19" s="244" customFormat="1" ht="13.5" thickBot="1">
      <c r="A104" s="1340"/>
      <c r="B104" s="548"/>
      <c r="C104" s="551">
        <v>45150140</v>
      </c>
      <c r="D104" s="552" t="s">
        <v>3980</v>
      </c>
      <c r="E104" s="557">
        <v>1237.1134020618556</v>
      </c>
      <c r="F104" s="13">
        <f t="shared" si="24"/>
        <v>680.41237113402065</v>
      </c>
      <c r="G104" s="17">
        <f t="shared" si="25"/>
        <v>0</v>
      </c>
      <c r="H104" s="18">
        <f t="shared" si="26"/>
        <v>21.344536082474228</v>
      </c>
      <c r="I104" s="18">
        <f t="shared" si="27"/>
        <v>0</v>
      </c>
      <c r="J104" s="18">
        <f t="shared" si="28"/>
        <v>18.643298969072166</v>
      </c>
      <c r="K104" s="18">
        <f t="shared" si="29"/>
        <v>0</v>
      </c>
      <c r="L104" s="18">
        <f t="shared" si="30"/>
        <v>15.513402061855672</v>
      </c>
      <c r="M104" s="18">
        <f t="shared" si="31"/>
        <v>0</v>
      </c>
      <c r="N104" s="18">
        <f t="shared" si="32"/>
        <v>13.880412371134023</v>
      </c>
      <c r="O104" s="18">
        <f t="shared" si="33"/>
        <v>0</v>
      </c>
      <c r="P104" s="18">
        <f t="shared" si="34"/>
        <v>12.587628865979381</v>
      </c>
      <c r="Q104" s="18">
        <f t="shared" si="35"/>
        <v>0</v>
      </c>
      <c r="R104" s="743"/>
      <c r="S104" s="547"/>
    </row>
    <row r="105" spans="1:19" s="244" customFormat="1" ht="13.5" thickBot="1">
      <c r="A105" s="1340"/>
      <c r="B105" s="548"/>
      <c r="C105" s="551" t="s">
        <v>575</v>
      </c>
      <c r="D105" s="552" t="s">
        <v>3962</v>
      </c>
      <c r="E105" s="557">
        <v>10927.835051546392</v>
      </c>
      <c r="F105" s="13">
        <f t="shared" si="24"/>
        <v>6010.3092783505163</v>
      </c>
      <c r="G105" s="17">
        <f t="shared" si="25"/>
        <v>0</v>
      </c>
      <c r="H105" s="18">
        <f t="shared" si="26"/>
        <v>188.54340206185572</v>
      </c>
      <c r="I105" s="18">
        <f t="shared" si="27"/>
        <v>0</v>
      </c>
      <c r="J105" s="18">
        <f t="shared" si="28"/>
        <v>164.68247422680415</v>
      </c>
      <c r="K105" s="18">
        <f t="shared" si="29"/>
        <v>0</v>
      </c>
      <c r="L105" s="18">
        <f t="shared" si="30"/>
        <v>137.03505154639177</v>
      </c>
      <c r="M105" s="18">
        <f t="shared" si="31"/>
        <v>0</v>
      </c>
      <c r="N105" s="18">
        <f t="shared" si="32"/>
        <v>122.61030927835054</v>
      </c>
      <c r="O105" s="18">
        <f t="shared" si="33"/>
        <v>0</v>
      </c>
      <c r="P105" s="18">
        <f t="shared" si="34"/>
        <v>111.19072164948454</v>
      </c>
      <c r="Q105" s="18">
        <f t="shared" si="35"/>
        <v>0</v>
      </c>
      <c r="R105" s="743"/>
      <c r="S105" s="547"/>
    </row>
    <row r="106" spans="1:19" s="244" customFormat="1" ht="13.5" thickBot="1">
      <c r="A106" s="1340"/>
      <c r="B106" s="548"/>
      <c r="C106" s="551" t="s">
        <v>64</v>
      </c>
      <c r="D106" s="552" t="s">
        <v>3855</v>
      </c>
      <c r="E106" s="557">
        <v>1376.9072164948452</v>
      </c>
      <c r="F106" s="13">
        <v>741.40000000000009</v>
      </c>
      <c r="G106" s="17">
        <v>0</v>
      </c>
      <c r="H106" s="18">
        <f t="shared" si="26"/>
        <v>23.257718000000004</v>
      </c>
      <c r="I106" s="18">
        <f t="shared" si="27"/>
        <v>0</v>
      </c>
      <c r="J106" s="18">
        <f t="shared" si="28"/>
        <v>20.314360000000004</v>
      </c>
      <c r="K106" s="18">
        <f t="shared" si="29"/>
        <v>0</v>
      </c>
      <c r="L106" s="18">
        <f t="shared" si="30"/>
        <v>16.903920000000003</v>
      </c>
      <c r="M106" s="18">
        <f t="shared" si="31"/>
        <v>0</v>
      </c>
      <c r="N106" s="18">
        <f t="shared" si="32"/>
        <v>15.124560000000002</v>
      </c>
      <c r="O106" s="18">
        <f t="shared" si="33"/>
        <v>0</v>
      </c>
      <c r="P106" s="18">
        <f t="shared" si="34"/>
        <v>13.715900000000001</v>
      </c>
      <c r="Q106" s="18">
        <f t="shared" si="35"/>
        <v>0</v>
      </c>
      <c r="R106" s="743"/>
      <c r="S106" s="547"/>
    </row>
    <row r="107" spans="1:19" s="244" customFormat="1" ht="13.5" thickBot="1">
      <c r="A107" s="1340"/>
      <c r="B107" s="548"/>
      <c r="C107" s="551" t="s">
        <v>620</v>
      </c>
      <c r="D107" s="552" t="s">
        <v>3858</v>
      </c>
      <c r="E107" s="557">
        <v>2180.103092783505</v>
      </c>
      <c r="F107" s="13">
        <f t="shared" ref="F107:F138" si="36">E107*(1-45%)</f>
        <v>1199.0567010309278</v>
      </c>
      <c r="G107" s="17">
        <f t="shared" ref="G107:G138" si="37">F107*B107</f>
        <v>0</v>
      </c>
      <c r="H107" s="18">
        <f t="shared" si="26"/>
        <v>37.614408711340211</v>
      </c>
      <c r="I107" s="18">
        <f t="shared" si="27"/>
        <v>0</v>
      </c>
      <c r="J107" s="18">
        <f t="shared" si="28"/>
        <v>32.854153608247422</v>
      </c>
      <c r="K107" s="18">
        <f t="shared" si="29"/>
        <v>0</v>
      </c>
      <c r="L107" s="18">
        <f t="shared" si="30"/>
        <v>27.338492783505156</v>
      </c>
      <c r="M107" s="18">
        <f t="shared" si="31"/>
        <v>0</v>
      </c>
      <c r="N107" s="18">
        <f t="shared" si="32"/>
        <v>24.460756701030927</v>
      </c>
      <c r="O107" s="18">
        <f t="shared" si="33"/>
        <v>0</v>
      </c>
      <c r="P107" s="18">
        <f t="shared" si="34"/>
        <v>22.182548969072162</v>
      </c>
      <c r="Q107" s="18">
        <f t="shared" si="35"/>
        <v>0</v>
      </c>
      <c r="R107" s="743"/>
      <c r="S107" s="547"/>
    </row>
    <row r="108" spans="1:19" s="244" customFormat="1" ht="13.5" thickBot="1">
      <c r="A108" s="1340"/>
      <c r="B108" s="548"/>
      <c r="C108" s="551" t="s">
        <v>576</v>
      </c>
      <c r="D108" s="552" t="s">
        <v>3859</v>
      </c>
      <c r="E108" s="557">
        <v>2404.1237113402062</v>
      </c>
      <c r="F108" s="13">
        <f t="shared" si="36"/>
        <v>1322.2680412371135</v>
      </c>
      <c r="G108" s="17">
        <f t="shared" si="37"/>
        <v>0</v>
      </c>
      <c r="H108" s="18">
        <f t="shared" si="26"/>
        <v>41.479548453608253</v>
      </c>
      <c r="I108" s="18">
        <f t="shared" si="27"/>
        <v>0</v>
      </c>
      <c r="J108" s="18">
        <f t="shared" si="28"/>
        <v>36.230144329896909</v>
      </c>
      <c r="K108" s="18">
        <f t="shared" si="29"/>
        <v>0</v>
      </c>
      <c r="L108" s="18">
        <f t="shared" si="30"/>
        <v>30.14771134020619</v>
      </c>
      <c r="M108" s="18">
        <f t="shared" si="31"/>
        <v>0</v>
      </c>
      <c r="N108" s="18">
        <f t="shared" si="32"/>
        <v>26.974268041237117</v>
      </c>
      <c r="O108" s="18">
        <f t="shared" si="33"/>
        <v>0</v>
      </c>
      <c r="P108" s="18">
        <f t="shared" si="34"/>
        <v>24.461958762886599</v>
      </c>
      <c r="Q108" s="18">
        <f t="shared" si="35"/>
        <v>0</v>
      </c>
      <c r="R108" s="743"/>
      <c r="S108" s="547"/>
    </row>
    <row r="109" spans="1:19" s="244" customFormat="1" ht="13.5" thickBot="1">
      <c r="A109" s="1340"/>
      <c r="B109" s="548"/>
      <c r="C109" s="551" t="s">
        <v>267</v>
      </c>
      <c r="D109" s="552" t="s">
        <v>3850</v>
      </c>
      <c r="E109" s="557">
        <v>257.73195876288662</v>
      </c>
      <c r="F109" s="13">
        <f t="shared" si="36"/>
        <v>141.75257731958766</v>
      </c>
      <c r="G109" s="17">
        <f t="shared" si="37"/>
        <v>0</v>
      </c>
      <c r="H109" s="18">
        <f t="shared" si="26"/>
        <v>4.4467783505154648</v>
      </c>
      <c r="I109" s="18">
        <f t="shared" si="27"/>
        <v>0</v>
      </c>
      <c r="J109" s="18">
        <f t="shared" si="28"/>
        <v>3.8840206185567019</v>
      </c>
      <c r="K109" s="18">
        <f t="shared" si="29"/>
        <v>0</v>
      </c>
      <c r="L109" s="18">
        <f t="shared" si="30"/>
        <v>3.2319587628865989</v>
      </c>
      <c r="M109" s="18">
        <f t="shared" si="31"/>
        <v>0</v>
      </c>
      <c r="N109" s="18">
        <f t="shared" si="32"/>
        <v>2.8917525773195885</v>
      </c>
      <c r="O109" s="18">
        <f t="shared" si="33"/>
        <v>0</v>
      </c>
      <c r="P109" s="18">
        <f t="shared" si="34"/>
        <v>2.6224226804123716</v>
      </c>
      <c r="Q109" s="18">
        <f t="shared" si="35"/>
        <v>0</v>
      </c>
      <c r="R109" s="743"/>
      <c r="S109" s="547"/>
    </row>
    <row r="110" spans="1:19" s="244" customFormat="1" ht="13.5" thickBot="1">
      <c r="A110" s="1340"/>
      <c r="B110" s="548"/>
      <c r="C110" s="551" t="s">
        <v>618</v>
      </c>
      <c r="D110" s="552" t="s">
        <v>3856</v>
      </c>
      <c r="E110" s="557">
        <v>1830.9278350515465</v>
      </c>
      <c r="F110" s="13">
        <f t="shared" si="36"/>
        <v>1007.0103092783506</v>
      </c>
      <c r="G110" s="17">
        <f t="shared" si="37"/>
        <v>0</v>
      </c>
      <c r="H110" s="18">
        <f t="shared" si="26"/>
        <v>31.58991340206186</v>
      </c>
      <c r="I110" s="18">
        <f t="shared" si="27"/>
        <v>0</v>
      </c>
      <c r="J110" s="18">
        <f t="shared" si="28"/>
        <v>27.592082474226807</v>
      </c>
      <c r="K110" s="18">
        <f t="shared" si="29"/>
        <v>0</v>
      </c>
      <c r="L110" s="18">
        <f t="shared" si="30"/>
        <v>22.959835051546396</v>
      </c>
      <c r="M110" s="18">
        <f t="shared" si="31"/>
        <v>0</v>
      </c>
      <c r="N110" s="18">
        <f t="shared" si="32"/>
        <v>20.543010309278355</v>
      </c>
      <c r="O110" s="18">
        <f t="shared" si="33"/>
        <v>0</v>
      </c>
      <c r="P110" s="18">
        <f t="shared" si="34"/>
        <v>18.629690721649485</v>
      </c>
      <c r="Q110" s="18">
        <f t="shared" si="35"/>
        <v>0</v>
      </c>
      <c r="R110" s="743"/>
      <c r="S110" s="547"/>
    </row>
    <row r="111" spans="1:19" s="244" customFormat="1" ht="13.5" thickBot="1">
      <c r="A111" s="1340"/>
      <c r="B111" s="548"/>
      <c r="C111" s="549" t="s">
        <v>3908</v>
      </c>
      <c r="D111" s="550" t="s">
        <v>3988</v>
      </c>
      <c r="E111" s="557">
        <v>31435.051546391755</v>
      </c>
      <c r="F111" s="13">
        <f t="shared" si="36"/>
        <v>17289.278350515466</v>
      </c>
      <c r="G111" s="17">
        <f t="shared" si="37"/>
        <v>0</v>
      </c>
      <c r="H111" s="18">
        <f t="shared" si="26"/>
        <v>542.36466185567019</v>
      </c>
      <c r="I111" s="18">
        <f t="shared" si="27"/>
        <v>0</v>
      </c>
      <c r="J111" s="18">
        <f t="shared" si="28"/>
        <v>473.72622680412377</v>
      </c>
      <c r="K111" s="18">
        <f t="shared" si="29"/>
        <v>0</v>
      </c>
      <c r="L111" s="18">
        <f t="shared" si="30"/>
        <v>394.19554639175266</v>
      </c>
      <c r="M111" s="18">
        <f t="shared" si="31"/>
        <v>0</v>
      </c>
      <c r="N111" s="18">
        <f t="shared" si="32"/>
        <v>352.70127835051551</v>
      </c>
      <c r="O111" s="18">
        <f t="shared" si="33"/>
        <v>0</v>
      </c>
      <c r="P111" s="18">
        <f t="shared" si="34"/>
        <v>319.8516494845361</v>
      </c>
      <c r="Q111" s="18">
        <f t="shared" si="35"/>
        <v>0</v>
      </c>
      <c r="R111" s="743"/>
      <c r="S111" s="547"/>
    </row>
    <row r="112" spans="1:19" s="244" customFormat="1" ht="13.5" thickBot="1">
      <c r="A112" s="1340"/>
      <c r="B112" s="548"/>
      <c r="C112" s="549" t="s">
        <v>3835</v>
      </c>
      <c r="D112" s="550" t="s">
        <v>3884</v>
      </c>
      <c r="E112" s="557">
        <v>9278.350515463917</v>
      </c>
      <c r="F112" s="13">
        <f t="shared" si="36"/>
        <v>5103.0927835051543</v>
      </c>
      <c r="G112" s="17">
        <f t="shared" si="37"/>
        <v>0</v>
      </c>
      <c r="H112" s="18">
        <f t="shared" si="26"/>
        <v>160.08402061855671</v>
      </c>
      <c r="I112" s="18">
        <f t="shared" si="27"/>
        <v>0</v>
      </c>
      <c r="J112" s="18">
        <f t="shared" si="28"/>
        <v>139.82474226804123</v>
      </c>
      <c r="K112" s="18">
        <f t="shared" si="29"/>
        <v>0</v>
      </c>
      <c r="L112" s="18">
        <f t="shared" si="30"/>
        <v>116.35051546391752</v>
      </c>
      <c r="M112" s="18">
        <f t="shared" si="31"/>
        <v>0</v>
      </c>
      <c r="N112" s="18">
        <f t="shared" si="32"/>
        <v>104.10309278350516</v>
      </c>
      <c r="O112" s="18">
        <f t="shared" si="33"/>
        <v>0</v>
      </c>
      <c r="P112" s="18">
        <f t="shared" si="34"/>
        <v>94.407216494845343</v>
      </c>
      <c r="Q112" s="18">
        <f t="shared" si="35"/>
        <v>0</v>
      </c>
      <c r="R112" s="743"/>
      <c r="S112" s="547"/>
    </row>
    <row r="113" spans="1:19" s="244" customFormat="1" ht="13.5" thickBot="1">
      <c r="A113" s="1340"/>
      <c r="B113" s="548"/>
      <c r="C113" s="549" t="s">
        <v>3909</v>
      </c>
      <c r="D113" s="550" t="s">
        <v>3989</v>
      </c>
      <c r="E113" s="557">
        <v>7113.4020618556706</v>
      </c>
      <c r="F113" s="13">
        <f t="shared" si="36"/>
        <v>3912.3711340206191</v>
      </c>
      <c r="G113" s="17">
        <f t="shared" si="37"/>
        <v>0</v>
      </c>
      <c r="H113" s="18">
        <f t="shared" si="26"/>
        <v>122.73108247422682</v>
      </c>
      <c r="I113" s="18">
        <f t="shared" si="27"/>
        <v>0</v>
      </c>
      <c r="J113" s="18">
        <f t="shared" si="28"/>
        <v>107.19896907216497</v>
      </c>
      <c r="K113" s="18">
        <f t="shared" si="29"/>
        <v>0</v>
      </c>
      <c r="L113" s="18">
        <f t="shared" si="30"/>
        <v>89.202061855670124</v>
      </c>
      <c r="M113" s="18">
        <f t="shared" si="31"/>
        <v>0</v>
      </c>
      <c r="N113" s="18">
        <f t="shared" si="32"/>
        <v>79.812371134020637</v>
      </c>
      <c r="O113" s="18">
        <f t="shared" si="33"/>
        <v>0</v>
      </c>
      <c r="P113" s="18">
        <f t="shared" si="34"/>
        <v>72.378865979381445</v>
      </c>
      <c r="Q113" s="18">
        <f t="shared" si="35"/>
        <v>0</v>
      </c>
      <c r="R113" s="743"/>
      <c r="S113" s="547"/>
    </row>
    <row r="114" spans="1:19" s="244" customFormat="1" ht="13.5" thickBot="1">
      <c r="A114" s="1340"/>
      <c r="B114" s="548"/>
      <c r="C114" s="549" t="s">
        <v>3832</v>
      </c>
      <c r="D114" s="550" t="s">
        <v>3865</v>
      </c>
      <c r="E114" s="557">
        <v>1608.2474226804125</v>
      </c>
      <c r="F114" s="13">
        <f t="shared" si="36"/>
        <v>884.53608247422687</v>
      </c>
      <c r="G114" s="17">
        <f t="shared" si="37"/>
        <v>0</v>
      </c>
      <c r="H114" s="18">
        <f t="shared" si="26"/>
        <v>27.7478969072165</v>
      </c>
      <c r="I114" s="18">
        <f t="shared" si="27"/>
        <v>0</v>
      </c>
      <c r="J114" s="18">
        <f t="shared" si="28"/>
        <v>24.236288659793818</v>
      </c>
      <c r="K114" s="18">
        <f t="shared" si="29"/>
        <v>0</v>
      </c>
      <c r="L114" s="18">
        <f t="shared" si="30"/>
        <v>20.167422680412372</v>
      </c>
      <c r="M114" s="18">
        <f t="shared" si="31"/>
        <v>0</v>
      </c>
      <c r="N114" s="18">
        <f t="shared" si="32"/>
        <v>18.044536082474231</v>
      </c>
      <c r="O114" s="18">
        <f t="shared" si="33"/>
        <v>0</v>
      </c>
      <c r="P114" s="18">
        <f t="shared" si="34"/>
        <v>16.363917525773196</v>
      </c>
      <c r="Q114" s="18">
        <f t="shared" si="35"/>
        <v>0</v>
      </c>
      <c r="R114" s="743"/>
      <c r="S114" s="547"/>
    </row>
    <row r="115" spans="1:19" s="244" customFormat="1" ht="13.5" thickBot="1">
      <c r="A115" s="1340"/>
      <c r="B115" s="548"/>
      <c r="C115" s="549" t="s">
        <v>577</v>
      </c>
      <c r="D115" s="550" t="s">
        <v>3960</v>
      </c>
      <c r="E115" s="557">
        <v>18556.701030927834</v>
      </c>
      <c r="F115" s="13">
        <f t="shared" si="36"/>
        <v>10206.185567010309</v>
      </c>
      <c r="G115" s="17">
        <f t="shared" si="37"/>
        <v>0</v>
      </c>
      <c r="H115" s="18">
        <f t="shared" si="26"/>
        <v>320.16804123711341</v>
      </c>
      <c r="I115" s="18">
        <f t="shared" si="27"/>
        <v>0</v>
      </c>
      <c r="J115" s="18">
        <f t="shared" si="28"/>
        <v>279.64948453608247</v>
      </c>
      <c r="K115" s="18">
        <f t="shared" si="29"/>
        <v>0</v>
      </c>
      <c r="L115" s="18">
        <f t="shared" si="30"/>
        <v>232.70103092783503</v>
      </c>
      <c r="M115" s="18">
        <f t="shared" si="31"/>
        <v>0</v>
      </c>
      <c r="N115" s="18">
        <f t="shared" si="32"/>
        <v>208.20618556701032</v>
      </c>
      <c r="O115" s="18">
        <f t="shared" si="33"/>
        <v>0</v>
      </c>
      <c r="P115" s="18">
        <f t="shared" si="34"/>
        <v>188.81443298969069</v>
      </c>
      <c r="Q115" s="18">
        <f t="shared" si="35"/>
        <v>0</v>
      </c>
      <c r="R115" s="743"/>
      <c r="S115" s="547"/>
    </row>
    <row r="116" spans="1:19" s="244" customFormat="1" ht="13.5" thickBot="1">
      <c r="A116" s="1340"/>
      <c r="B116" s="548"/>
      <c r="C116" s="551" t="s">
        <v>3746</v>
      </c>
      <c r="D116" s="552" t="s">
        <v>3971</v>
      </c>
      <c r="E116" s="557">
        <v>1154.6391752577319</v>
      </c>
      <c r="F116" s="13">
        <f t="shared" si="36"/>
        <v>635.05154639175259</v>
      </c>
      <c r="G116" s="17">
        <f t="shared" si="37"/>
        <v>0</v>
      </c>
      <c r="H116" s="18">
        <f t="shared" si="26"/>
        <v>19.921567010309282</v>
      </c>
      <c r="I116" s="18">
        <f t="shared" si="27"/>
        <v>0</v>
      </c>
      <c r="J116" s="18">
        <f t="shared" si="28"/>
        <v>17.400412371134021</v>
      </c>
      <c r="K116" s="18">
        <f t="shared" si="29"/>
        <v>0</v>
      </c>
      <c r="L116" s="18">
        <f t="shared" si="30"/>
        <v>14.47917525773196</v>
      </c>
      <c r="M116" s="18">
        <f t="shared" si="31"/>
        <v>0</v>
      </c>
      <c r="N116" s="18">
        <f t="shared" si="32"/>
        <v>12.955051546391754</v>
      </c>
      <c r="O116" s="18">
        <f t="shared" si="33"/>
        <v>0</v>
      </c>
      <c r="P116" s="18">
        <f t="shared" si="34"/>
        <v>11.748453608247422</v>
      </c>
      <c r="Q116" s="18">
        <f t="shared" si="35"/>
        <v>0</v>
      </c>
      <c r="R116" s="743"/>
      <c r="S116" s="547"/>
    </row>
    <row r="117" spans="1:19" s="244" customFormat="1" ht="13.5" thickBot="1">
      <c r="A117" s="1340"/>
      <c r="B117" s="548"/>
      <c r="C117" s="551" t="s">
        <v>3742</v>
      </c>
      <c r="D117" s="552" t="s">
        <v>3967</v>
      </c>
      <c r="E117" s="557">
        <v>917.93814432989689</v>
      </c>
      <c r="F117" s="13">
        <f t="shared" si="36"/>
        <v>504.86597938144331</v>
      </c>
      <c r="G117" s="17">
        <f t="shared" si="37"/>
        <v>0</v>
      </c>
      <c r="H117" s="18">
        <f t="shared" si="26"/>
        <v>15.837645773195877</v>
      </c>
      <c r="I117" s="18">
        <f t="shared" si="27"/>
        <v>0</v>
      </c>
      <c r="J117" s="18">
        <f t="shared" si="28"/>
        <v>13.833327835051547</v>
      </c>
      <c r="K117" s="18">
        <f t="shared" si="29"/>
        <v>0</v>
      </c>
      <c r="L117" s="18">
        <f t="shared" si="30"/>
        <v>11.510944329896908</v>
      </c>
      <c r="M117" s="18">
        <f t="shared" si="31"/>
        <v>0</v>
      </c>
      <c r="N117" s="18">
        <f t="shared" si="32"/>
        <v>10.299265979381444</v>
      </c>
      <c r="O117" s="18">
        <f t="shared" si="33"/>
        <v>0</v>
      </c>
      <c r="P117" s="18">
        <f t="shared" si="34"/>
        <v>9.3400206185567001</v>
      </c>
      <c r="Q117" s="18">
        <f t="shared" si="35"/>
        <v>0</v>
      </c>
      <c r="R117" s="743"/>
      <c r="S117" s="547"/>
    </row>
    <row r="118" spans="1:19" s="244" customFormat="1" ht="13.5" thickBot="1">
      <c r="A118" s="1340"/>
      <c r="B118" s="548"/>
      <c r="C118" s="551" t="s">
        <v>3737</v>
      </c>
      <c r="D118" s="552" t="s">
        <v>3963</v>
      </c>
      <c r="E118" s="557">
        <v>21598.969072164949</v>
      </c>
      <c r="F118" s="13">
        <f t="shared" si="36"/>
        <v>11879.432989690724</v>
      </c>
      <c r="G118" s="17">
        <f t="shared" si="37"/>
        <v>0</v>
      </c>
      <c r="H118" s="18">
        <f t="shared" si="26"/>
        <v>372.65781288659804</v>
      </c>
      <c r="I118" s="18">
        <f t="shared" si="27"/>
        <v>0</v>
      </c>
      <c r="J118" s="18">
        <f t="shared" si="28"/>
        <v>325.49646391752583</v>
      </c>
      <c r="K118" s="18">
        <f t="shared" si="29"/>
        <v>0</v>
      </c>
      <c r="L118" s="18">
        <f t="shared" si="30"/>
        <v>270.8510721649485</v>
      </c>
      <c r="M118" s="18">
        <f t="shared" si="31"/>
        <v>0</v>
      </c>
      <c r="N118" s="18">
        <f t="shared" si="32"/>
        <v>242.34043298969078</v>
      </c>
      <c r="O118" s="18">
        <f t="shared" si="33"/>
        <v>0</v>
      </c>
      <c r="P118" s="18">
        <f t="shared" si="34"/>
        <v>219.76951030927839</v>
      </c>
      <c r="Q118" s="18">
        <f t="shared" si="35"/>
        <v>0</v>
      </c>
      <c r="R118" s="743"/>
      <c r="S118" s="547"/>
    </row>
    <row r="119" spans="1:19" s="244" customFormat="1" ht="13.5" thickBot="1">
      <c r="A119" s="1340"/>
      <c r="B119" s="548"/>
      <c r="C119" s="549" t="s">
        <v>544</v>
      </c>
      <c r="D119" s="550" t="s">
        <v>3854</v>
      </c>
      <c r="E119" s="557">
        <v>3671.7525773195875</v>
      </c>
      <c r="F119" s="13">
        <f t="shared" si="36"/>
        <v>2019.4639175257732</v>
      </c>
      <c r="G119" s="17">
        <f t="shared" si="37"/>
        <v>0</v>
      </c>
      <c r="H119" s="18">
        <f t="shared" si="26"/>
        <v>63.350583092783509</v>
      </c>
      <c r="I119" s="18">
        <f t="shared" si="27"/>
        <v>0</v>
      </c>
      <c r="J119" s="18">
        <f t="shared" si="28"/>
        <v>55.333311340206187</v>
      </c>
      <c r="K119" s="18">
        <f t="shared" si="29"/>
        <v>0</v>
      </c>
      <c r="L119" s="18">
        <f t="shared" si="30"/>
        <v>46.043777319587633</v>
      </c>
      <c r="M119" s="18">
        <f t="shared" si="31"/>
        <v>0</v>
      </c>
      <c r="N119" s="18">
        <f t="shared" si="32"/>
        <v>41.197063917525774</v>
      </c>
      <c r="O119" s="18">
        <f t="shared" si="33"/>
        <v>0</v>
      </c>
      <c r="P119" s="18">
        <f t="shared" si="34"/>
        <v>37.3600824742268</v>
      </c>
      <c r="Q119" s="18">
        <f t="shared" si="35"/>
        <v>0</v>
      </c>
      <c r="R119" s="743"/>
      <c r="S119" s="547"/>
    </row>
    <row r="120" spans="1:19" s="244" customFormat="1" ht="13.5" thickBot="1">
      <c r="A120" s="1340"/>
      <c r="B120" s="548"/>
      <c r="C120" s="551" t="s">
        <v>589</v>
      </c>
      <c r="D120" s="552" t="s">
        <v>3863</v>
      </c>
      <c r="E120" s="557">
        <v>5670.1030927835054</v>
      </c>
      <c r="F120" s="13">
        <f t="shared" si="36"/>
        <v>3118.5567010309283</v>
      </c>
      <c r="G120" s="17">
        <f t="shared" si="37"/>
        <v>0</v>
      </c>
      <c r="H120" s="18">
        <f t="shared" si="26"/>
        <v>97.82912371134023</v>
      </c>
      <c r="I120" s="18">
        <f t="shared" si="27"/>
        <v>0</v>
      </c>
      <c r="J120" s="18">
        <f t="shared" si="28"/>
        <v>85.448453608247434</v>
      </c>
      <c r="K120" s="18">
        <f t="shared" si="29"/>
        <v>0</v>
      </c>
      <c r="L120" s="18">
        <f t="shared" si="30"/>
        <v>71.103092783505161</v>
      </c>
      <c r="M120" s="18">
        <f t="shared" si="31"/>
        <v>0</v>
      </c>
      <c r="N120" s="18">
        <f t="shared" si="32"/>
        <v>63.61855670103094</v>
      </c>
      <c r="O120" s="18">
        <f t="shared" si="33"/>
        <v>0</v>
      </c>
      <c r="P120" s="18">
        <f t="shared" si="34"/>
        <v>57.693298969072167</v>
      </c>
      <c r="Q120" s="18">
        <f t="shared" si="35"/>
        <v>0</v>
      </c>
      <c r="R120" s="743"/>
      <c r="S120" s="547"/>
    </row>
    <row r="121" spans="1:19" s="244" customFormat="1" ht="13.5" thickBot="1">
      <c r="A121" s="1340"/>
      <c r="B121" s="548"/>
      <c r="C121" s="551" t="s">
        <v>621</v>
      </c>
      <c r="D121" s="552" t="s">
        <v>3864</v>
      </c>
      <c r="E121" s="557">
        <v>4561.855670103093</v>
      </c>
      <c r="F121" s="13">
        <f t="shared" si="36"/>
        <v>2509.0206185567013</v>
      </c>
      <c r="G121" s="17">
        <f t="shared" si="37"/>
        <v>0</v>
      </c>
      <c r="H121" s="18">
        <f t="shared" si="26"/>
        <v>78.707976804123717</v>
      </c>
      <c r="I121" s="18">
        <f t="shared" si="27"/>
        <v>0</v>
      </c>
      <c r="J121" s="18">
        <f t="shared" si="28"/>
        <v>68.747164948453616</v>
      </c>
      <c r="K121" s="18">
        <f t="shared" si="29"/>
        <v>0</v>
      </c>
      <c r="L121" s="18">
        <f t="shared" si="30"/>
        <v>57.205670103092793</v>
      </c>
      <c r="M121" s="18">
        <f t="shared" si="31"/>
        <v>0</v>
      </c>
      <c r="N121" s="18">
        <f t="shared" si="32"/>
        <v>51.184020618556708</v>
      </c>
      <c r="O121" s="18">
        <f t="shared" si="33"/>
        <v>0</v>
      </c>
      <c r="P121" s="18">
        <f t="shared" si="34"/>
        <v>46.416881443298969</v>
      </c>
      <c r="Q121" s="18">
        <f t="shared" si="35"/>
        <v>0</v>
      </c>
      <c r="R121" s="743"/>
      <c r="S121" s="547"/>
    </row>
    <row r="122" spans="1:19" s="244" customFormat="1" ht="13.5" thickBot="1">
      <c r="A122" s="1340"/>
      <c r="B122" s="548"/>
      <c r="C122" s="549" t="s">
        <v>3833</v>
      </c>
      <c r="D122" s="550" t="s">
        <v>3866</v>
      </c>
      <c r="E122" s="557">
        <v>600</v>
      </c>
      <c r="F122" s="13">
        <f t="shared" si="36"/>
        <v>330</v>
      </c>
      <c r="G122" s="17">
        <f t="shared" si="37"/>
        <v>0</v>
      </c>
      <c r="H122" s="18">
        <f t="shared" si="26"/>
        <v>10.3521</v>
      </c>
      <c r="I122" s="18">
        <f t="shared" si="27"/>
        <v>0</v>
      </c>
      <c r="J122" s="18">
        <f t="shared" si="28"/>
        <v>9.0419999999999998</v>
      </c>
      <c r="K122" s="18">
        <f t="shared" si="29"/>
        <v>0</v>
      </c>
      <c r="L122" s="18">
        <f t="shared" si="30"/>
        <v>7.524</v>
      </c>
      <c r="M122" s="18">
        <f t="shared" si="31"/>
        <v>0</v>
      </c>
      <c r="N122" s="18">
        <f t="shared" si="32"/>
        <v>6.7320000000000002</v>
      </c>
      <c r="O122" s="18">
        <f t="shared" si="33"/>
        <v>0</v>
      </c>
      <c r="P122" s="18">
        <f t="shared" si="34"/>
        <v>6.1049999999999995</v>
      </c>
      <c r="Q122" s="18">
        <f t="shared" si="35"/>
        <v>0</v>
      </c>
      <c r="R122" s="743"/>
      <c r="S122" s="547"/>
    </row>
    <row r="123" spans="1:19" s="244" customFormat="1" ht="13.5" thickBot="1">
      <c r="A123" s="1340"/>
      <c r="B123" s="548"/>
      <c r="C123" s="551" t="s">
        <v>56</v>
      </c>
      <c r="D123" s="552" t="s">
        <v>3848</v>
      </c>
      <c r="E123" s="557">
        <v>458.76288659793818</v>
      </c>
      <c r="F123" s="13">
        <f t="shared" si="36"/>
        <v>252.31958762886603</v>
      </c>
      <c r="G123" s="17">
        <f t="shared" si="37"/>
        <v>0</v>
      </c>
      <c r="H123" s="18">
        <f t="shared" si="26"/>
        <v>7.9152654639175282</v>
      </c>
      <c r="I123" s="18">
        <f t="shared" si="27"/>
        <v>0</v>
      </c>
      <c r="J123" s="18">
        <f t="shared" si="28"/>
        <v>6.9135567010309291</v>
      </c>
      <c r="K123" s="18">
        <f t="shared" si="29"/>
        <v>0</v>
      </c>
      <c r="L123" s="18">
        <f t="shared" si="30"/>
        <v>5.7528865979381454</v>
      </c>
      <c r="M123" s="18">
        <f t="shared" si="31"/>
        <v>0</v>
      </c>
      <c r="N123" s="18">
        <f t="shared" si="32"/>
        <v>5.1473195876288678</v>
      </c>
      <c r="O123" s="18">
        <f t="shared" si="33"/>
        <v>0</v>
      </c>
      <c r="P123" s="18">
        <f t="shared" si="34"/>
        <v>4.6679123711340216</v>
      </c>
      <c r="Q123" s="18">
        <f t="shared" si="35"/>
        <v>0</v>
      </c>
      <c r="R123" s="743"/>
      <c r="S123" s="547"/>
    </row>
    <row r="124" spans="1:19" s="244" customFormat="1" ht="13.5" thickBot="1">
      <c r="A124" s="1340"/>
      <c r="B124" s="548"/>
      <c r="C124" s="551" t="s">
        <v>578</v>
      </c>
      <c r="D124" s="552" t="s">
        <v>3958</v>
      </c>
      <c r="E124" s="557">
        <v>1469.0721649484537</v>
      </c>
      <c r="F124" s="13">
        <f t="shared" si="36"/>
        <v>807.98969072164959</v>
      </c>
      <c r="G124" s="17">
        <f t="shared" si="37"/>
        <v>0</v>
      </c>
      <c r="H124" s="18">
        <f t="shared" si="26"/>
        <v>25.346636597938151</v>
      </c>
      <c r="I124" s="18">
        <f t="shared" si="27"/>
        <v>0</v>
      </c>
      <c r="J124" s="18">
        <f t="shared" si="28"/>
        <v>22.138917525773198</v>
      </c>
      <c r="K124" s="18">
        <f t="shared" si="29"/>
        <v>0</v>
      </c>
      <c r="L124" s="18">
        <f t="shared" si="30"/>
        <v>18.422164948453613</v>
      </c>
      <c r="M124" s="18">
        <f t="shared" si="31"/>
        <v>0</v>
      </c>
      <c r="N124" s="18">
        <f t="shared" si="32"/>
        <v>16.482989690721652</v>
      </c>
      <c r="O124" s="18">
        <f t="shared" si="33"/>
        <v>0</v>
      </c>
      <c r="P124" s="18">
        <f t="shared" si="34"/>
        <v>14.947809278350517</v>
      </c>
      <c r="Q124" s="18">
        <f t="shared" si="35"/>
        <v>0</v>
      </c>
      <c r="R124" s="743"/>
      <c r="S124" s="547"/>
    </row>
    <row r="125" spans="1:19" s="244" customFormat="1" ht="13.5" thickBot="1">
      <c r="A125" s="1340"/>
      <c r="B125" s="548"/>
      <c r="C125" s="551" t="s">
        <v>546</v>
      </c>
      <c r="D125" s="552" t="s">
        <v>3862</v>
      </c>
      <c r="E125" s="557">
        <v>618.5567010309278</v>
      </c>
      <c r="F125" s="13">
        <f t="shared" si="36"/>
        <v>340.20618556701032</v>
      </c>
      <c r="G125" s="17">
        <f t="shared" si="37"/>
        <v>0</v>
      </c>
      <c r="H125" s="18">
        <f t="shared" si="26"/>
        <v>10.672268041237114</v>
      </c>
      <c r="I125" s="18">
        <f t="shared" si="27"/>
        <v>0</v>
      </c>
      <c r="J125" s="18">
        <f t="shared" si="28"/>
        <v>9.3216494845360831</v>
      </c>
      <c r="K125" s="18">
        <f t="shared" si="29"/>
        <v>0</v>
      </c>
      <c r="L125" s="18">
        <f t="shared" si="30"/>
        <v>7.7567010309278359</v>
      </c>
      <c r="M125" s="18">
        <f t="shared" si="31"/>
        <v>0</v>
      </c>
      <c r="N125" s="18">
        <f t="shared" si="32"/>
        <v>6.9402061855670114</v>
      </c>
      <c r="O125" s="18">
        <f t="shared" si="33"/>
        <v>0</v>
      </c>
      <c r="P125" s="18">
        <f t="shared" si="34"/>
        <v>6.2938144329896906</v>
      </c>
      <c r="Q125" s="18">
        <f t="shared" si="35"/>
        <v>0</v>
      </c>
      <c r="R125" s="743"/>
      <c r="S125" s="547"/>
    </row>
    <row r="126" spans="1:19" s="244" customFormat="1" ht="13.5" thickBot="1">
      <c r="A126" s="1340"/>
      <c r="B126" s="548"/>
      <c r="C126" s="549" t="s">
        <v>3755</v>
      </c>
      <c r="D126" s="550" t="s">
        <v>3868</v>
      </c>
      <c r="E126" s="557">
        <v>505.15463917525773</v>
      </c>
      <c r="F126" s="13">
        <f t="shared" si="36"/>
        <v>277.83505154639175</v>
      </c>
      <c r="G126" s="17">
        <f t="shared" si="37"/>
        <v>0</v>
      </c>
      <c r="H126" s="18">
        <f t="shared" si="26"/>
        <v>8.7156855670103095</v>
      </c>
      <c r="I126" s="18">
        <f t="shared" si="27"/>
        <v>0</v>
      </c>
      <c r="J126" s="18">
        <f t="shared" si="28"/>
        <v>7.6126804123711347</v>
      </c>
      <c r="K126" s="18">
        <f t="shared" si="29"/>
        <v>0</v>
      </c>
      <c r="L126" s="18">
        <f t="shared" si="30"/>
        <v>6.334639175257732</v>
      </c>
      <c r="M126" s="18">
        <f t="shared" si="31"/>
        <v>0</v>
      </c>
      <c r="N126" s="18">
        <f t="shared" si="32"/>
        <v>5.6678350515463922</v>
      </c>
      <c r="O126" s="18">
        <f t="shared" si="33"/>
        <v>0</v>
      </c>
      <c r="P126" s="18">
        <f t="shared" si="34"/>
        <v>5.1399484536082474</v>
      </c>
      <c r="Q126" s="18">
        <f t="shared" si="35"/>
        <v>0</v>
      </c>
      <c r="R126" s="743"/>
      <c r="S126" s="547"/>
    </row>
    <row r="127" spans="1:19" s="244" customFormat="1" ht="13.5" thickBot="1">
      <c r="A127" s="1340"/>
      <c r="B127" s="548"/>
      <c r="C127" s="549" t="s">
        <v>3756</v>
      </c>
      <c r="D127" s="550" t="s">
        <v>3869</v>
      </c>
      <c r="E127" s="557">
        <v>793.81443298969077</v>
      </c>
      <c r="F127" s="13">
        <f t="shared" si="36"/>
        <v>436.59793814432999</v>
      </c>
      <c r="G127" s="17">
        <f t="shared" si="37"/>
        <v>0</v>
      </c>
      <c r="H127" s="18">
        <f t="shared" si="26"/>
        <v>13.696077319587632</v>
      </c>
      <c r="I127" s="18">
        <f t="shared" si="27"/>
        <v>0</v>
      </c>
      <c r="J127" s="18">
        <f t="shared" si="28"/>
        <v>11.962783505154642</v>
      </c>
      <c r="K127" s="18">
        <f t="shared" si="29"/>
        <v>0</v>
      </c>
      <c r="L127" s="18">
        <f t="shared" si="30"/>
        <v>9.9544329896907247</v>
      </c>
      <c r="M127" s="18">
        <f t="shared" si="31"/>
        <v>0</v>
      </c>
      <c r="N127" s="18">
        <f t="shared" si="32"/>
        <v>8.9065979381443316</v>
      </c>
      <c r="O127" s="18">
        <f t="shared" si="33"/>
        <v>0</v>
      </c>
      <c r="P127" s="18">
        <f t="shared" si="34"/>
        <v>8.0770618556701042</v>
      </c>
      <c r="Q127" s="18">
        <f t="shared" si="35"/>
        <v>0</v>
      </c>
      <c r="R127" s="743"/>
      <c r="S127" s="547"/>
    </row>
    <row r="128" spans="1:19" s="244" customFormat="1" ht="13.5" thickBot="1">
      <c r="A128" s="1340"/>
      <c r="B128" s="548"/>
      <c r="C128" s="549" t="s">
        <v>3745</v>
      </c>
      <c r="D128" s="550" t="s">
        <v>3970</v>
      </c>
      <c r="E128" s="557">
        <v>4322.6804123711345</v>
      </c>
      <c r="F128" s="13">
        <f t="shared" si="36"/>
        <v>2377.4742268041241</v>
      </c>
      <c r="G128" s="17">
        <f t="shared" si="37"/>
        <v>0</v>
      </c>
      <c r="H128" s="18">
        <f t="shared" ref="H128:H159" si="38">F128*0.03137</f>
        <v>74.581366494845383</v>
      </c>
      <c r="I128" s="18">
        <f t="shared" ref="I128:I159" si="39">H128*B128</f>
        <v>0</v>
      </c>
      <c r="J128" s="18">
        <f t="shared" ref="J128:J141" si="40">F128*0.0274</f>
        <v>65.142793814433006</v>
      </c>
      <c r="K128" s="18">
        <f t="shared" ref="K128:K159" si="41">J128*B128</f>
        <v>0</v>
      </c>
      <c r="L128" s="18">
        <f t="shared" ref="L128:L142" si="42">F128*0.0228</f>
        <v>54.206412371134029</v>
      </c>
      <c r="M128" s="18">
        <f t="shared" ref="M128:M159" si="43">L128*B128</f>
        <v>0</v>
      </c>
      <c r="N128" s="18">
        <f t="shared" ref="N128:N159" si="44">F128*0.0204</f>
        <v>48.500474226804137</v>
      </c>
      <c r="O128" s="18">
        <f t="shared" ref="O128:O159" si="45">N128*B128</f>
        <v>0</v>
      </c>
      <c r="P128" s="18">
        <f t="shared" ref="P128:P159" si="46">F128*0.0185</f>
        <v>43.983273195876293</v>
      </c>
      <c r="Q128" s="18">
        <f t="shared" ref="Q128:Q159" si="47">P128*B128</f>
        <v>0</v>
      </c>
      <c r="R128" s="743"/>
      <c r="S128" s="547"/>
    </row>
    <row r="129" spans="1:19" s="244" customFormat="1" ht="13.5" thickBot="1">
      <c r="A129" s="1341"/>
      <c r="B129" s="548"/>
      <c r="C129" s="551" t="s">
        <v>3903</v>
      </c>
      <c r="D129" s="552" t="s">
        <v>3974</v>
      </c>
      <c r="E129" s="557">
        <v>3460.8247422680415</v>
      </c>
      <c r="F129" s="13">
        <f t="shared" si="36"/>
        <v>1903.4536082474231</v>
      </c>
      <c r="G129" s="17">
        <f t="shared" si="37"/>
        <v>0</v>
      </c>
      <c r="H129" s="18">
        <f t="shared" si="38"/>
        <v>59.711339690721665</v>
      </c>
      <c r="I129" s="18">
        <f t="shared" si="39"/>
        <v>0</v>
      </c>
      <c r="J129" s="18">
        <f t="shared" si="40"/>
        <v>52.15462886597939</v>
      </c>
      <c r="K129" s="18">
        <f t="shared" si="41"/>
        <v>0</v>
      </c>
      <c r="L129" s="18">
        <f t="shared" si="42"/>
        <v>43.398742268041246</v>
      </c>
      <c r="M129" s="18">
        <f t="shared" si="43"/>
        <v>0</v>
      </c>
      <c r="N129" s="18">
        <f t="shared" si="44"/>
        <v>38.830453608247431</v>
      </c>
      <c r="O129" s="18">
        <f t="shared" si="45"/>
        <v>0</v>
      </c>
      <c r="P129" s="18">
        <f t="shared" si="46"/>
        <v>35.213891752577325</v>
      </c>
      <c r="Q129" s="18">
        <f t="shared" si="47"/>
        <v>0</v>
      </c>
      <c r="R129" s="743"/>
      <c r="S129" s="547"/>
    </row>
    <row r="130" spans="1:19" s="244" customFormat="1" ht="13.5" thickBot="1">
      <c r="A130" s="1341"/>
      <c r="B130" s="548"/>
      <c r="C130" s="551" t="s">
        <v>69</v>
      </c>
      <c r="D130" s="552" t="s">
        <v>3839</v>
      </c>
      <c r="E130" s="557">
        <v>96.907216494845358</v>
      </c>
      <c r="F130" s="13">
        <f t="shared" si="36"/>
        <v>53.298969072164951</v>
      </c>
      <c r="G130" s="17">
        <f t="shared" si="37"/>
        <v>0</v>
      </c>
      <c r="H130" s="18">
        <f t="shared" si="38"/>
        <v>1.6719886597938147</v>
      </c>
      <c r="I130" s="18">
        <f t="shared" si="39"/>
        <v>0</v>
      </c>
      <c r="J130" s="18">
        <f t="shared" si="40"/>
        <v>1.4603917525773198</v>
      </c>
      <c r="K130" s="18">
        <f t="shared" si="41"/>
        <v>0</v>
      </c>
      <c r="L130" s="18">
        <f t="shared" si="42"/>
        <v>1.215216494845361</v>
      </c>
      <c r="M130" s="18">
        <f t="shared" si="43"/>
        <v>0</v>
      </c>
      <c r="N130" s="18">
        <f t="shared" si="44"/>
        <v>1.0872989690721651</v>
      </c>
      <c r="O130" s="18">
        <f t="shared" si="45"/>
        <v>0</v>
      </c>
      <c r="P130" s="18">
        <f t="shared" si="46"/>
        <v>0.98603092783505153</v>
      </c>
      <c r="Q130" s="18">
        <f t="shared" si="47"/>
        <v>0</v>
      </c>
      <c r="R130" s="743"/>
      <c r="S130" s="547"/>
    </row>
    <row r="131" spans="1:19" s="244" customFormat="1" ht="13.5" thickBot="1">
      <c r="A131" s="1341"/>
      <c r="B131" s="548"/>
      <c r="C131" s="549" t="s">
        <v>547</v>
      </c>
      <c r="D131" s="550" t="s">
        <v>3844</v>
      </c>
      <c r="E131" s="557">
        <v>711.40206185567001</v>
      </c>
      <c r="F131" s="13">
        <f t="shared" si="36"/>
        <v>391.27113402061855</v>
      </c>
      <c r="G131" s="17">
        <f t="shared" si="37"/>
        <v>0</v>
      </c>
      <c r="H131" s="18">
        <f t="shared" si="38"/>
        <v>12.274175474226805</v>
      </c>
      <c r="I131" s="18">
        <f t="shared" si="39"/>
        <v>0</v>
      </c>
      <c r="J131" s="18">
        <f t="shared" si="40"/>
        <v>10.720829072164948</v>
      </c>
      <c r="K131" s="18">
        <f t="shared" si="41"/>
        <v>0</v>
      </c>
      <c r="L131" s="18">
        <f t="shared" si="42"/>
        <v>8.920981855670103</v>
      </c>
      <c r="M131" s="18">
        <f t="shared" si="43"/>
        <v>0</v>
      </c>
      <c r="N131" s="18">
        <f t="shared" si="44"/>
        <v>7.9819311340206189</v>
      </c>
      <c r="O131" s="18">
        <f t="shared" si="45"/>
        <v>0</v>
      </c>
      <c r="P131" s="18">
        <f t="shared" si="46"/>
        <v>7.2385159793814431</v>
      </c>
      <c r="Q131" s="18">
        <f t="shared" si="47"/>
        <v>0</v>
      </c>
      <c r="R131" s="743"/>
      <c r="S131" s="547"/>
    </row>
    <row r="132" spans="1:19" s="244" customFormat="1" ht="13.5" thickBot="1">
      <c r="A132" s="1341"/>
      <c r="B132" s="548"/>
      <c r="C132" s="551" t="s">
        <v>3741</v>
      </c>
      <c r="D132" s="552" t="s">
        <v>3852</v>
      </c>
      <c r="E132" s="557">
        <v>3915.4639175257735</v>
      </c>
      <c r="F132" s="13">
        <f t="shared" si="36"/>
        <v>2153.5051546391755</v>
      </c>
      <c r="G132" s="17">
        <f t="shared" si="37"/>
        <v>0</v>
      </c>
      <c r="H132" s="18">
        <f t="shared" si="38"/>
        <v>67.555456701030934</v>
      </c>
      <c r="I132" s="18">
        <f t="shared" si="39"/>
        <v>0</v>
      </c>
      <c r="J132" s="18">
        <f t="shared" si="40"/>
        <v>59.006041237113415</v>
      </c>
      <c r="K132" s="18">
        <f t="shared" si="41"/>
        <v>0</v>
      </c>
      <c r="L132" s="18">
        <f t="shared" si="42"/>
        <v>49.099917525773208</v>
      </c>
      <c r="M132" s="18">
        <f t="shared" si="43"/>
        <v>0</v>
      </c>
      <c r="N132" s="18">
        <f t="shared" si="44"/>
        <v>43.931505154639183</v>
      </c>
      <c r="O132" s="18">
        <f t="shared" si="45"/>
        <v>0</v>
      </c>
      <c r="P132" s="18">
        <f t="shared" si="46"/>
        <v>39.839845360824746</v>
      </c>
      <c r="Q132" s="18">
        <f t="shared" si="47"/>
        <v>0</v>
      </c>
      <c r="R132" s="743"/>
      <c r="S132" s="547"/>
    </row>
    <row r="133" spans="1:19" s="244" customFormat="1" ht="13.5" thickBot="1">
      <c r="A133" s="1341"/>
      <c r="B133" s="548"/>
      <c r="C133" s="549" t="s">
        <v>3730</v>
      </c>
      <c r="D133" s="550" t="s">
        <v>3952</v>
      </c>
      <c r="E133" s="557">
        <v>46224.742268041242</v>
      </c>
      <c r="F133" s="13">
        <f t="shared" si="36"/>
        <v>25423.608247422686</v>
      </c>
      <c r="G133" s="17">
        <f t="shared" si="37"/>
        <v>0</v>
      </c>
      <c r="H133" s="18">
        <f t="shared" si="38"/>
        <v>797.53859072164971</v>
      </c>
      <c r="I133" s="18">
        <f t="shared" si="39"/>
        <v>0</v>
      </c>
      <c r="J133" s="18">
        <f t="shared" si="40"/>
        <v>696.60686597938161</v>
      </c>
      <c r="K133" s="18">
        <f t="shared" si="41"/>
        <v>0</v>
      </c>
      <c r="L133" s="18">
        <f t="shared" si="42"/>
        <v>579.65826804123731</v>
      </c>
      <c r="M133" s="18">
        <f t="shared" si="43"/>
        <v>0</v>
      </c>
      <c r="N133" s="18">
        <f t="shared" si="44"/>
        <v>518.64160824742282</v>
      </c>
      <c r="O133" s="18">
        <f t="shared" si="45"/>
        <v>0</v>
      </c>
      <c r="P133" s="18">
        <f t="shared" si="46"/>
        <v>470.33675257731966</v>
      </c>
      <c r="Q133" s="18">
        <f t="shared" si="47"/>
        <v>0</v>
      </c>
      <c r="R133" s="743"/>
      <c r="S133" s="547"/>
    </row>
    <row r="134" spans="1:19" s="244" customFormat="1" ht="13.5" thickBot="1">
      <c r="A134" s="1341"/>
      <c r="B134" s="548"/>
      <c r="C134" s="551" t="s">
        <v>3904</v>
      </c>
      <c r="D134" s="552" t="s">
        <v>3975</v>
      </c>
      <c r="E134" s="557">
        <v>5773.1958762886597</v>
      </c>
      <c r="F134" s="13">
        <f t="shared" si="36"/>
        <v>3175.2577319587631</v>
      </c>
      <c r="G134" s="17">
        <f t="shared" si="37"/>
        <v>0</v>
      </c>
      <c r="H134" s="18">
        <f t="shared" si="38"/>
        <v>99.607835051546402</v>
      </c>
      <c r="I134" s="18">
        <f t="shared" si="39"/>
        <v>0</v>
      </c>
      <c r="J134" s="18">
        <f t="shared" si="40"/>
        <v>87.002061855670107</v>
      </c>
      <c r="K134" s="18">
        <f t="shared" si="41"/>
        <v>0</v>
      </c>
      <c r="L134" s="18">
        <f t="shared" si="42"/>
        <v>72.395876288659807</v>
      </c>
      <c r="M134" s="18">
        <f t="shared" si="43"/>
        <v>0</v>
      </c>
      <c r="N134" s="18">
        <f t="shared" si="44"/>
        <v>64.775257731958774</v>
      </c>
      <c r="O134" s="18">
        <f t="shared" si="45"/>
        <v>0</v>
      </c>
      <c r="P134" s="18">
        <f t="shared" si="46"/>
        <v>58.742268041237111</v>
      </c>
      <c r="Q134" s="18">
        <f t="shared" si="47"/>
        <v>0</v>
      </c>
      <c r="R134" s="743"/>
      <c r="S134" s="547"/>
    </row>
    <row r="135" spans="1:19" s="244" customFormat="1" ht="13.5" thickBot="1">
      <c r="A135" s="1341"/>
      <c r="B135" s="548"/>
      <c r="C135" s="551" t="s">
        <v>3905</v>
      </c>
      <c r="D135" s="552" t="s">
        <v>3976</v>
      </c>
      <c r="E135" s="557">
        <v>4041.2371134020618</v>
      </c>
      <c r="F135" s="13">
        <f t="shared" si="36"/>
        <v>2222.680412371134</v>
      </c>
      <c r="G135" s="17">
        <f t="shared" si="37"/>
        <v>0</v>
      </c>
      <c r="H135" s="18">
        <f t="shared" si="38"/>
        <v>69.725484536082476</v>
      </c>
      <c r="I135" s="18">
        <f t="shared" si="39"/>
        <v>0</v>
      </c>
      <c r="J135" s="18">
        <f t="shared" si="40"/>
        <v>60.901443298969077</v>
      </c>
      <c r="K135" s="18">
        <f t="shared" si="41"/>
        <v>0</v>
      </c>
      <c r="L135" s="18">
        <f t="shared" si="42"/>
        <v>50.677113402061856</v>
      </c>
      <c r="M135" s="18">
        <f t="shared" si="43"/>
        <v>0</v>
      </c>
      <c r="N135" s="18">
        <f t="shared" si="44"/>
        <v>45.342680412371138</v>
      </c>
      <c r="O135" s="18">
        <f t="shared" si="45"/>
        <v>0</v>
      </c>
      <c r="P135" s="18">
        <f t="shared" si="46"/>
        <v>41.119587628865979</v>
      </c>
      <c r="Q135" s="18">
        <f t="shared" si="47"/>
        <v>0</v>
      </c>
      <c r="R135" s="743"/>
      <c r="S135" s="547"/>
    </row>
    <row r="136" spans="1:19" s="244" customFormat="1" ht="13.5" thickBot="1">
      <c r="A136" s="1341"/>
      <c r="B136" s="548"/>
      <c r="C136" s="551" t="s">
        <v>619</v>
      </c>
      <c r="D136" s="552" t="s">
        <v>3857</v>
      </c>
      <c r="E136" s="557">
        <v>6655.0515463917527</v>
      </c>
      <c r="F136" s="13">
        <f t="shared" si="36"/>
        <v>3660.2783505154644</v>
      </c>
      <c r="G136" s="17">
        <f t="shared" si="37"/>
        <v>0</v>
      </c>
      <c r="H136" s="18">
        <f t="shared" si="38"/>
        <v>114.82293185567012</v>
      </c>
      <c r="I136" s="18">
        <f t="shared" si="39"/>
        <v>0</v>
      </c>
      <c r="J136" s="18">
        <f t="shared" si="40"/>
        <v>100.29162680412372</v>
      </c>
      <c r="K136" s="18">
        <f t="shared" si="41"/>
        <v>0</v>
      </c>
      <c r="L136" s="18">
        <f t="shared" si="42"/>
        <v>83.454346391752594</v>
      </c>
      <c r="M136" s="18">
        <f t="shared" si="43"/>
        <v>0</v>
      </c>
      <c r="N136" s="18">
        <f t="shared" si="44"/>
        <v>74.669678350515483</v>
      </c>
      <c r="O136" s="18">
        <f t="shared" si="45"/>
        <v>0</v>
      </c>
      <c r="P136" s="18">
        <f t="shared" si="46"/>
        <v>67.715149484536084</v>
      </c>
      <c r="Q136" s="18">
        <f t="shared" si="47"/>
        <v>0</v>
      </c>
      <c r="R136" s="743"/>
      <c r="S136" s="547"/>
    </row>
    <row r="137" spans="1:19" s="244" customFormat="1" ht="13.5" thickBot="1">
      <c r="A137" s="1341"/>
      <c r="B137" s="548"/>
      <c r="C137" s="551" t="s">
        <v>3831</v>
      </c>
      <c r="D137" s="552" t="s">
        <v>3860</v>
      </c>
      <c r="E137" s="557">
        <v>11051.546391752578</v>
      </c>
      <c r="F137" s="13">
        <f t="shared" si="36"/>
        <v>6078.3505154639179</v>
      </c>
      <c r="G137" s="17">
        <f t="shared" si="37"/>
        <v>0</v>
      </c>
      <c r="H137" s="18">
        <f t="shared" si="38"/>
        <v>190.67785567010313</v>
      </c>
      <c r="I137" s="18">
        <f t="shared" si="39"/>
        <v>0</v>
      </c>
      <c r="J137" s="18">
        <f t="shared" si="40"/>
        <v>166.54680412371135</v>
      </c>
      <c r="K137" s="18">
        <f t="shared" si="41"/>
        <v>0</v>
      </c>
      <c r="L137" s="18">
        <f t="shared" si="42"/>
        <v>138.58639175257733</v>
      </c>
      <c r="M137" s="18">
        <f t="shared" si="43"/>
        <v>0</v>
      </c>
      <c r="N137" s="18">
        <f t="shared" si="44"/>
        <v>123.99835051546394</v>
      </c>
      <c r="O137" s="18">
        <f t="shared" si="45"/>
        <v>0</v>
      </c>
      <c r="P137" s="18">
        <f t="shared" si="46"/>
        <v>112.44948453608248</v>
      </c>
      <c r="Q137" s="18">
        <f t="shared" si="47"/>
        <v>0</v>
      </c>
      <c r="R137" s="743"/>
      <c r="S137" s="547"/>
    </row>
    <row r="138" spans="1:19" s="244" customFormat="1" ht="13.5" thickBot="1">
      <c r="A138" s="1341"/>
      <c r="B138" s="548"/>
      <c r="C138" s="551" t="s">
        <v>158</v>
      </c>
      <c r="D138" s="552" t="s">
        <v>3845</v>
      </c>
      <c r="E138" s="557">
        <v>1147.4226804123712</v>
      </c>
      <c r="F138" s="13">
        <f t="shared" si="36"/>
        <v>631.08247422680415</v>
      </c>
      <c r="G138" s="17">
        <f t="shared" si="37"/>
        <v>0</v>
      </c>
      <c r="H138" s="18">
        <f t="shared" si="38"/>
        <v>19.797057216494849</v>
      </c>
      <c r="I138" s="18">
        <f t="shared" si="39"/>
        <v>0</v>
      </c>
      <c r="J138" s="18">
        <f t="shared" si="40"/>
        <v>17.291659793814436</v>
      </c>
      <c r="K138" s="18">
        <f t="shared" si="41"/>
        <v>0</v>
      </c>
      <c r="L138" s="18">
        <f t="shared" si="42"/>
        <v>14.388680412371135</v>
      </c>
      <c r="M138" s="18">
        <f t="shared" si="43"/>
        <v>0</v>
      </c>
      <c r="N138" s="18">
        <f t="shared" si="44"/>
        <v>12.874082474226805</v>
      </c>
      <c r="O138" s="18">
        <f t="shared" si="45"/>
        <v>0</v>
      </c>
      <c r="P138" s="18">
        <f t="shared" si="46"/>
        <v>11.675025773195877</v>
      </c>
      <c r="Q138" s="18">
        <f t="shared" si="47"/>
        <v>0</v>
      </c>
      <c r="R138" s="743"/>
      <c r="S138" s="547"/>
    </row>
    <row r="139" spans="1:19" s="244" customFormat="1" ht="13.5" thickBot="1">
      <c r="A139" s="1341"/>
      <c r="B139" s="548"/>
      <c r="C139" s="551" t="s">
        <v>3740</v>
      </c>
      <c r="D139" s="552" t="s">
        <v>3851</v>
      </c>
      <c r="E139" s="557">
        <v>861.11340206185571</v>
      </c>
      <c r="F139" s="13">
        <f t="shared" ref="F139:F166" si="48">E139*(1-45%)</f>
        <v>473.61237113402069</v>
      </c>
      <c r="G139" s="17">
        <f t="shared" ref="G139:G166" si="49">F139*B139</f>
        <v>0</v>
      </c>
      <c r="H139" s="18">
        <f t="shared" si="38"/>
        <v>14.85722008247423</v>
      </c>
      <c r="I139" s="18">
        <f t="shared" si="39"/>
        <v>0</v>
      </c>
      <c r="J139" s="18">
        <f t="shared" si="40"/>
        <v>12.976978969072167</v>
      </c>
      <c r="K139" s="18">
        <f t="shared" si="41"/>
        <v>0</v>
      </c>
      <c r="L139" s="18">
        <f t="shared" si="42"/>
        <v>10.798362061855672</v>
      </c>
      <c r="M139" s="18">
        <f t="shared" si="43"/>
        <v>0</v>
      </c>
      <c r="N139" s="18">
        <f t="shared" si="44"/>
        <v>9.6616923711340235</v>
      </c>
      <c r="O139" s="18">
        <f t="shared" si="45"/>
        <v>0</v>
      </c>
      <c r="P139" s="18">
        <f t="shared" si="46"/>
        <v>8.7618288659793819</v>
      </c>
      <c r="Q139" s="18">
        <f t="shared" si="47"/>
        <v>0</v>
      </c>
      <c r="R139" s="743"/>
      <c r="S139" s="547"/>
    </row>
    <row r="140" spans="1:19" s="244" customFormat="1" ht="13.5" thickBot="1">
      <c r="A140" s="1341"/>
      <c r="B140" s="548"/>
      <c r="C140" s="551">
        <v>10200011</v>
      </c>
      <c r="D140" s="552" t="s">
        <v>3911</v>
      </c>
      <c r="E140" s="557">
        <v>17319.587628865978</v>
      </c>
      <c r="F140" s="13">
        <f t="shared" si="48"/>
        <v>9525.7731958762888</v>
      </c>
      <c r="G140" s="17">
        <f t="shared" si="49"/>
        <v>0</v>
      </c>
      <c r="H140" s="18">
        <f t="shared" si="38"/>
        <v>298.82350515463918</v>
      </c>
      <c r="I140" s="18">
        <f t="shared" si="39"/>
        <v>0</v>
      </c>
      <c r="J140" s="18">
        <f t="shared" si="40"/>
        <v>261.00618556701033</v>
      </c>
      <c r="K140" s="18">
        <f t="shared" si="41"/>
        <v>0</v>
      </c>
      <c r="L140" s="18">
        <f t="shared" si="42"/>
        <v>217.18762886597941</v>
      </c>
      <c r="M140" s="18">
        <f t="shared" si="43"/>
        <v>0</v>
      </c>
      <c r="N140" s="18">
        <f t="shared" si="44"/>
        <v>194.32577319587631</v>
      </c>
      <c r="O140" s="18">
        <f t="shared" si="45"/>
        <v>0</v>
      </c>
      <c r="P140" s="18">
        <f t="shared" si="46"/>
        <v>176.22680412371133</v>
      </c>
      <c r="Q140" s="18">
        <f t="shared" si="47"/>
        <v>0</v>
      </c>
      <c r="R140" s="743"/>
      <c r="S140" s="547"/>
    </row>
    <row r="141" spans="1:19" s="244" customFormat="1" ht="13.5" thickBot="1">
      <c r="A141" s="1341"/>
      <c r="B141" s="548"/>
      <c r="C141" s="551">
        <v>10507000</v>
      </c>
      <c r="D141" s="552" t="s">
        <v>3915</v>
      </c>
      <c r="E141" s="557">
        <v>13402.061855670103</v>
      </c>
      <c r="F141" s="13">
        <f t="shared" si="48"/>
        <v>7371.1340206185569</v>
      </c>
      <c r="G141" s="17">
        <f t="shared" si="49"/>
        <v>0</v>
      </c>
      <c r="H141" s="18">
        <f t="shared" si="38"/>
        <v>231.23247422680416</v>
      </c>
      <c r="I141" s="18">
        <f t="shared" si="39"/>
        <v>0</v>
      </c>
      <c r="J141" s="18">
        <f t="shared" si="40"/>
        <v>201.96907216494847</v>
      </c>
      <c r="K141" s="18">
        <f t="shared" si="41"/>
        <v>0</v>
      </c>
      <c r="L141" s="18">
        <f t="shared" si="42"/>
        <v>168.06185567010311</v>
      </c>
      <c r="M141" s="18">
        <f t="shared" si="43"/>
        <v>0</v>
      </c>
      <c r="N141" s="18">
        <f t="shared" si="44"/>
        <v>150.37113402061857</v>
      </c>
      <c r="O141" s="18">
        <f t="shared" si="45"/>
        <v>0</v>
      </c>
      <c r="P141" s="18">
        <f t="shared" si="46"/>
        <v>136.36597938144328</v>
      </c>
      <c r="Q141" s="18">
        <f t="shared" si="47"/>
        <v>0</v>
      </c>
      <c r="R141" s="743"/>
      <c r="S141" s="547"/>
    </row>
    <row r="142" spans="1:19" s="244" customFormat="1" ht="13.5" thickBot="1">
      <c r="A142" s="1341"/>
      <c r="B142" s="548"/>
      <c r="C142" s="551">
        <v>10407000</v>
      </c>
      <c r="D142" s="552" t="s">
        <v>3914</v>
      </c>
      <c r="E142" s="557">
        <v>5721.649484536083</v>
      </c>
      <c r="F142" s="13">
        <f t="shared" si="48"/>
        <v>3146.9072164948461</v>
      </c>
      <c r="G142" s="17">
        <f t="shared" si="49"/>
        <v>0</v>
      </c>
      <c r="H142" s="18">
        <f t="shared" si="38"/>
        <v>98.718479381443331</v>
      </c>
      <c r="I142" s="18">
        <f t="shared" si="39"/>
        <v>0</v>
      </c>
      <c r="J142" s="18">
        <f>F142*0.02564</f>
        <v>80.68670103092785</v>
      </c>
      <c r="K142" s="18">
        <f t="shared" si="41"/>
        <v>0</v>
      </c>
      <c r="L142" s="18">
        <f t="shared" si="42"/>
        <v>71.749484536082491</v>
      </c>
      <c r="M142" s="18">
        <f t="shared" si="43"/>
        <v>0</v>
      </c>
      <c r="N142" s="18">
        <f t="shared" si="44"/>
        <v>64.196907216494864</v>
      </c>
      <c r="O142" s="18">
        <f t="shared" si="45"/>
        <v>0</v>
      </c>
      <c r="P142" s="18">
        <f t="shared" si="46"/>
        <v>58.21778350515465</v>
      </c>
      <c r="Q142" s="18">
        <f t="shared" si="47"/>
        <v>0</v>
      </c>
      <c r="R142" s="743"/>
      <c r="S142" s="547"/>
    </row>
    <row r="143" spans="1:19" s="244" customFormat="1" ht="13.5" thickBot="1">
      <c r="A143" s="1341"/>
      <c r="B143" s="548"/>
      <c r="C143" s="551">
        <v>10307000</v>
      </c>
      <c r="D143" s="552" t="s">
        <v>3913</v>
      </c>
      <c r="E143" s="557">
        <v>14020.618556701031</v>
      </c>
      <c r="F143" s="13">
        <f t="shared" si="48"/>
        <v>7711.3402061855677</v>
      </c>
      <c r="G143" s="17">
        <f t="shared" si="49"/>
        <v>0</v>
      </c>
      <c r="H143" s="18">
        <f t="shared" si="38"/>
        <v>241.90474226804128</v>
      </c>
      <c r="I143" s="18">
        <f t="shared" si="39"/>
        <v>0</v>
      </c>
      <c r="J143" s="18">
        <f>F143*0.02564</f>
        <v>197.71876288659794</v>
      </c>
      <c r="K143" s="18">
        <f t="shared" si="41"/>
        <v>0</v>
      </c>
      <c r="L143" s="18">
        <f>F143*0.0256</f>
        <v>197.41030927835055</v>
      </c>
      <c r="M143" s="18">
        <f t="shared" si="43"/>
        <v>0</v>
      </c>
      <c r="N143" s="18">
        <f t="shared" si="44"/>
        <v>157.3113402061856</v>
      </c>
      <c r="O143" s="18">
        <f t="shared" si="45"/>
        <v>0</v>
      </c>
      <c r="P143" s="18">
        <f t="shared" si="46"/>
        <v>142.65979381443299</v>
      </c>
      <c r="Q143" s="18">
        <f t="shared" si="47"/>
        <v>0</v>
      </c>
      <c r="R143" s="743"/>
      <c r="S143" s="547"/>
    </row>
    <row r="144" spans="1:19" s="244" customFormat="1" ht="13.5" thickBot="1">
      <c r="A144" s="1341"/>
      <c r="B144" s="548"/>
      <c r="C144" s="551">
        <v>4704000</v>
      </c>
      <c r="D144" s="552" t="s">
        <v>3918</v>
      </c>
      <c r="E144" s="557">
        <v>6597.9381443298971</v>
      </c>
      <c r="F144" s="13">
        <f t="shared" si="48"/>
        <v>3628.8659793814436</v>
      </c>
      <c r="G144" s="17">
        <f t="shared" si="49"/>
        <v>0</v>
      </c>
      <c r="H144" s="18">
        <f t="shared" si="38"/>
        <v>113.83752577319589</v>
      </c>
      <c r="I144" s="18">
        <f t="shared" si="39"/>
        <v>0</v>
      </c>
      <c r="J144" s="18">
        <f t="shared" ref="J144:J166" si="50">F144*0.0274</f>
        <v>99.430927835051563</v>
      </c>
      <c r="K144" s="18">
        <f t="shared" si="41"/>
        <v>0</v>
      </c>
      <c r="L144" s="18">
        <f t="shared" ref="L144:L166" si="51">F144*0.0228</f>
        <v>82.738144329896912</v>
      </c>
      <c r="M144" s="18">
        <f t="shared" si="43"/>
        <v>0</v>
      </c>
      <c r="N144" s="18">
        <f t="shared" si="44"/>
        <v>74.02886597938145</v>
      </c>
      <c r="O144" s="18">
        <f t="shared" si="45"/>
        <v>0</v>
      </c>
      <c r="P144" s="18">
        <f t="shared" si="46"/>
        <v>67.134020618556704</v>
      </c>
      <c r="Q144" s="18">
        <f t="shared" si="47"/>
        <v>0</v>
      </c>
      <c r="R144" s="743"/>
      <c r="S144" s="547"/>
    </row>
    <row r="145" spans="1:19" s="244" customFormat="1" ht="13.5" thickBot="1">
      <c r="A145" s="1341"/>
      <c r="B145" s="548"/>
      <c r="C145" s="551">
        <v>12207000</v>
      </c>
      <c r="D145" s="552" t="s">
        <v>3917</v>
      </c>
      <c r="E145" s="557">
        <v>44329.896907216498</v>
      </c>
      <c r="F145" s="13">
        <f t="shared" si="48"/>
        <v>24381.443298969076</v>
      </c>
      <c r="G145" s="17">
        <f t="shared" si="49"/>
        <v>0</v>
      </c>
      <c r="H145" s="18">
        <f t="shared" si="38"/>
        <v>764.84587628865995</v>
      </c>
      <c r="I145" s="18">
        <f t="shared" si="39"/>
        <v>0</v>
      </c>
      <c r="J145" s="18">
        <f t="shared" si="50"/>
        <v>668.05154639175271</v>
      </c>
      <c r="K145" s="18">
        <f t="shared" si="41"/>
        <v>0</v>
      </c>
      <c r="L145" s="18">
        <f t="shared" si="51"/>
        <v>555.89690721649492</v>
      </c>
      <c r="M145" s="18">
        <f t="shared" si="43"/>
        <v>0</v>
      </c>
      <c r="N145" s="18">
        <f t="shared" si="44"/>
        <v>497.3814432989692</v>
      </c>
      <c r="O145" s="18">
        <f t="shared" si="45"/>
        <v>0</v>
      </c>
      <c r="P145" s="18">
        <f t="shared" si="46"/>
        <v>451.05670103092785</v>
      </c>
      <c r="Q145" s="18">
        <f t="shared" si="47"/>
        <v>0</v>
      </c>
      <c r="R145" s="743"/>
      <c r="S145" s="547"/>
    </row>
    <row r="146" spans="1:19" s="244" customFormat="1" ht="13.5" thickBot="1">
      <c r="A146" s="1341"/>
      <c r="B146" s="548"/>
      <c r="C146" s="549">
        <v>10207010</v>
      </c>
      <c r="D146" s="550" t="s">
        <v>3912</v>
      </c>
      <c r="E146" s="557">
        <v>22164.948453608249</v>
      </c>
      <c r="F146" s="13">
        <f t="shared" si="48"/>
        <v>12190.721649484538</v>
      </c>
      <c r="G146" s="17">
        <f t="shared" si="49"/>
        <v>0</v>
      </c>
      <c r="H146" s="18">
        <f t="shared" si="38"/>
        <v>382.42293814432998</v>
      </c>
      <c r="I146" s="18">
        <f t="shared" si="39"/>
        <v>0</v>
      </c>
      <c r="J146" s="18">
        <f t="shared" si="50"/>
        <v>334.02577319587635</v>
      </c>
      <c r="K146" s="18">
        <f t="shared" si="41"/>
        <v>0</v>
      </c>
      <c r="L146" s="18">
        <f t="shared" si="51"/>
        <v>277.94845360824746</v>
      </c>
      <c r="M146" s="18">
        <f t="shared" si="43"/>
        <v>0</v>
      </c>
      <c r="N146" s="18">
        <f t="shared" si="44"/>
        <v>248.6907216494846</v>
      </c>
      <c r="O146" s="18">
        <f t="shared" si="45"/>
        <v>0</v>
      </c>
      <c r="P146" s="18">
        <f t="shared" si="46"/>
        <v>225.52835051546393</v>
      </c>
      <c r="Q146" s="18">
        <f t="shared" si="47"/>
        <v>0</v>
      </c>
      <c r="R146" s="743"/>
      <c r="S146" s="547"/>
    </row>
    <row r="147" spans="1:19" s="244" customFormat="1" ht="13.5" thickBot="1">
      <c r="A147" s="1341"/>
      <c r="B147" s="548"/>
      <c r="C147" s="549">
        <v>12200018</v>
      </c>
      <c r="D147" s="550" t="s">
        <v>3916</v>
      </c>
      <c r="E147" s="557">
        <v>5773.1958762886597</v>
      </c>
      <c r="F147" s="13">
        <f t="shared" si="48"/>
        <v>3175.2577319587631</v>
      </c>
      <c r="G147" s="17">
        <f t="shared" si="49"/>
        <v>0</v>
      </c>
      <c r="H147" s="18">
        <f t="shared" si="38"/>
        <v>99.607835051546402</v>
      </c>
      <c r="I147" s="18">
        <f t="shared" si="39"/>
        <v>0</v>
      </c>
      <c r="J147" s="18">
        <f t="shared" si="50"/>
        <v>87.002061855670107</v>
      </c>
      <c r="K147" s="18">
        <f t="shared" si="41"/>
        <v>0</v>
      </c>
      <c r="L147" s="18">
        <f t="shared" si="51"/>
        <v>72.395876288659807</v>
      </c>
      <c r="M147" s="18">
        <f t="shared" si="43"/>
        <v>0</v>
      </c>
      <c r="N147" s="18">
        <f t="shared" si="44"/>
        <v>64.775257731958774</v>
      </c>
      <c r="O147" s="18">
        <f t="shared" si="45"/>
        <v>0</v>
      </c>
      <c r="P147" s="18">
        <f t="shared" si="46"/>
        <v>58.742268041237111</v>
      </c>
      <c r="Q147" s="18">
        <f t="shared" si="47"/>
        <v>0</v>
      </c>
      <c r="R147" s="743"/>
      <c r="S147" s="547"/>
    </row>
    <row r="148" spans="1:19" s="244" customFormat="1" ht="13.5" thickBot="1">
      <c r="A148" s="1341"/>
      <c r="B148" s="548"/>
      <c r="C148" s="549" t="s">
        <v>3731</v>
      </c>
      <c r="D148" s="550" t="s">
        <v>3953</v>
      </c>
      <c r="E148" s="557">
        <v>3840.2061855670104</v>
      </c>
      <c r="F148" s="13">
        <f t="shared" si="48"/>
        <v>2112.113402061856</v>
      </c>
      <c r="G148" s="17">
        <f t="shared" si="49"/>
        <v>0</v>
      </c>
      <c r="H148" s="18">
        <f t="shared" si="38"/>
        <v>66.256997422680428</v>
      </c>
      <c r="I148" s="18">
        <f t="shared" si="39"/>
        <v>0</v>
      </c>
      <c r="J148" s="18">
        <f t="shared" si="50"/>
        <v>57.871907216494854</v>
      </c>
      <c r="K148" s="18">
        <f t="shared" si="41"/>
        <v>0</v>
      </c>
      <c r="L148" s="18">
        <f t="shared" si="51"/>
        <v>48.156185567010318</v>
      </c>
      <c r="M148" s="18">
        <f t="shared" si="43"/>
        <v>0</v>
      </c>
      <c r="N148" s="18">
        <f t="shared" si="44"/>
        <v>43.087113402061867</v>
      </c>
      <c r="O148" s="18">
        <f t="shared" si="45"/>
        <v>0</v>
      </c>
      <c r="P148" s="18">
        <f t="shared" si="46"/>
        <v>39.074097938144334</v>
      </c>
      <c r="Q148" s="18">
        <f t="shared" si="47"/>
        <v>0</v>
      </c>
      <c r="R148" s="743"/>
      <c r="S148" s="547"/>
    </row>
    <row r="149" spans="1:19" s="244" customFormat="1" ht="13.5" thickBot="1">
      <c r="A149" s="1341"/>
      <c r="B149" s="548"/>
      <c r="C149" s="551" t="s">
        <v>3736</v>
      </c>
      <c r="D149" s="552" t="s">
        <v>3961</v>
      </c>
      <c r="E149" s="557">
        <v>9072.1649484536083</v>
      </c>
      <c r="F149" s="13">
        <f t="shared" si="48"/>
        <v>4989.6907216494847</v>
      </c>
      <c r="G149" s="17">
        <f t="shared" si="49"/>
        <v>0</v>
      </c>
      <c r="H149" s="18">
        <f t="shared" si="38"/>
        <v>156.52659793814433</v>
      </c>
      <c r="I149" s="18">
        <f t="shared" si="39"/>
        <v>0</v>
      </c>
      <c r="J149" s="18">
        <f t="shared" si="50"/>
        <v>136.71752577319589</v>
      </c>
      <c r="K149" s="18">
        <f t="shared" si="41"/>
        <v>0</v>
      </c>
      <c r="L149" s="18">
        <f t="shared" si="51"/>
        <v>113.76494845360826</v>
      </c>
      <c r="M149" s="18">
        <f t="shared" si="43"/>
        <v>0</v>
      </c>
      <c r="N149" s="18">
        <f t="shared" si="44"/>
        <v>101.78969072164949</v>
      </c>
      <c r="O149" s="18">
        <f t="shared" si="45"/>
        <v>0</v>
      </c>
      <c r="P149" s="18">
        <f t="shared" si="46"/>
        <v>92.309278350515456</v>
      </c>
      <c r="Q149" s="18">
        <f t="shared" si="47"/>
        <v>0</v>
      </c>
      <c r="R149" s="743"/>
      <c r="S149" s="547"/>
    </row>
    <row r="150" spans="1:19" s="244" customFormat="1" ht="13.5" thickBot="1">
      <c r="A150" s="1341"/>
      <c r="B150" s="548"/>
      <c r="C150" s="551" t="s">
        <v>803</v>
      </c>
      <c r="D150" s="552" t="s">
        <v>3966</v>
      </c>
      <c r="E150" s="557">
        <v>5201.0309278350514</v>
      </c>
      <c r="F150" s="13">
        <f t="shared" si="48"/>
        <v>2860.5670103092784</v>
      </c>
      <c r="G150" s="17">
        <f t="shared" si="49"/>
        <v>0</v>
      </c>
      <c r="H150" s="18">
        <f t="shared" si="38"/>
        <v>89.735987113402075</v>
      </c>
      <c r="I150" s="18">
        <f t="shared" si="39"/>
        <v>0</v>
      </c>
      <c r="J150" s="18">
        <f t="shared" si="50"/>
        <v>78.379536082474232</v>
      </c>
      <c r="K150" s="18">
        <f t="shared" si="41"/>
        <v>0</v>
      </c>
      <c r="L150" s="18">
        <f t="shared" si="51"/>
        <v>65.220927835051555</v>
      </c>
      <c r="M150" s="18">
        <f t="shared" si="43"/>
        <v>0</v>
      </c>
      <c r="N150" s="18">
        <f t="shared" si="44"/>
        <v>58.355567010309287</v>
      </c>
      <c r="O150" s="18">
        <f t="shared" si="45"/>
        <v>0</v>
      </c>
      <c r="P150" s="18">
        <f t="shared" si="46"/>
        <v>52.920489690721645</v>
      </c>
      <c r="Q150" s="18">
        <f t="shared" si="47"/>
        <v>0</v>
      </c>
      <c r="R150" s="743"/>
      <c r="S150" s="547"/>
    </row>
    <row r="151" spans="1:19" s="244" customFormat="1" ht="13.5" thickBot="1">
      <c r="A151" s="1341"/>
      <c r="B151" s="548"/>
      <c r="C151" s="551" t="s">
        <v>3729</v>
      </c>
      <c r="D151" s="552" t="s">
        <v>3951</v>
      </c>
      <c r="E151" s="557">
        <v>28685.567010309278</v>
      </c>
      <c r="F151" s="13">
        <f t="shared" si="48"/>
        <v>15777.061855670105</v>
      </c>
      <c r="G151" s="17">
        <f t="shared" si="49"/>
        <v>0</v>
      </c>
      <c r="H151" s="18">
        <f t="shared" si="38"/>
        <v>494.92643041237119</v>
      </c>
      <c r="I151" s="18">
        <f t="shared" si="39"/>
        <v>0</v>
      </c>
      <c r="J151" s="18">
        <f t="shared" si="50"/>
        <v>432.29149484536089</v>
      </c>
      <c r="K151" s="18">
        <f t="shared" si="41"/>
        <v>0</v>
      </c>
      <c r="L151" s="18">
        <f t="shared" si="51"/>
        <v>359.71701030927841</v>
      </c>
      <c r="M151" s="18">
        <f t="shared" si="43"/>
        <v>0</v>
      </c>
      <c r="N151" s="18">
        <f t="shared" si="44"/>
        <v>321.85206185567017</v>
      </c>
      <c r="O151" s="18">
        <f t="shared" si="45"/>
        <v>0</v>
      </c>
      <c r="P151" s="18">
        <f t="shared" si="46"/>
        <v>291.87564432989694</v>
      </c>
      <c r="Q151" s="18">
        <f t="shared" si="47"/>
        <v>0</v>
      </c>
      <c r="R151" s="743"/>
      <c r="S151" s="547"/>
    </row>
    <row r="152" spans="1:19" s="244" customFormat="1" ht="13.5" thickBot="1">
      <c r="A152" s="1341"/>
      <c r="B152" s="548"/>
      <c r="C152" s="551" t="s">
        <v>55</v>
      </c>
      <c r="D152" s="552" t="s">
        <v>3847</v>
      </c>
      <c r="E152" s="557">
        <v>2038.5876288659795</v>
      </c>
      <c r="F152" s="13">
        <f t="shared" si="48"/>
        <v>1121.2231958762889</v>
      </c>
      <c r="G152" s="17">
        <f t="shared" si="49"/>
        <v>0</v>
      </c>
      <c r="H152" s="18">
        <f t="shared" si="38"/>
        <v>35.172771654639185</v>
      </c>
      <c r="I152" s="18">
        <f t="shared" si="39"/>
        <v>0</v>
      </c>
      <c r="J152" s="18">
        <f t="shared" si="50"/>
        <v>30.721515567010314</v>
      </c>
      <c r="K152" s="18">
        <f t="shared" si="41"/>
        <v>0</v>
      </c>
      <c r="L152" s="18">
        <f t="shared" si="51"/>
        <v>25.563888865979386</v>
      </c>
      <c r="M152" s="18">
        <f t="shared" si="43"/>
        <v>0</v>
      </c>
      <c r="N152" s="18">
        <f t="shared" si="44"/>
        <v>22.872953195876295</v>
      </c>
      <c r="O152" s="18">
        <f t="shared" si="45"/>
        <v>0</v>
      </c>
      <c r="P152" s="18">
        <f t="shared" si="46"/>
        <v>20.742629123711342</v>
      </c>
      <c r="Q152" s="18">
        <f t="shared" si="47"/>
        <v>0</v>
      </c>
      <c r="R152" s="743"/>
      <c r="S152" s="547"/>
    </row>
    <row r="153" spans="1:19" s="244" customFormat="1" ht="13.5" thickBot="1">
      <c r="A153" s="1341"/>
      <c r="B153" s="548"/>
      <c r="C153" s="551" t="s">
        <v>3733</v>
      </c>
      <c r="D153" s="552" t="s">
        <v>3954</v>
      </c>
      <c r="E153" s="557">
        <v>16716.494845360827</v>
      </c>
      <c r="F153" s="13">
        <f t="shared" si="48"/>
        <v>9194.0721649484549</v>
      </c>
      <c r="G153" s="17">
        <f t="shared" si="49"/>
        <v>0</v>
      </c>
      <c r="H153" s="18">
        <f t="shared" si="38"/>
        <v>288.41804381443308</v>
      </c>
      <c r="I153" s="18">
        <f t="shared" si="39"/>
        <v>0</v>
      </c>
      <c r="J153" s="18">
        <f t="shared" si="50"/>
        <v>251.91757731958768</v>
      </c>
      <c r="K153" s="18">
        <f t="shared" si="41"/>
        <v>0</v>
      </c>
      <c r="L153" s="18">
        <f t="shared" si="51"/>
        <v>209.62484536082479</v>
      </c>
      <c r="M153" s="18">
        <f t="shared" si="43"/>
        <v>0</v>
      </c>
      <c r="N153" s="18">
        <f t="shared" si="44"/>
        <v>187.5590721649485</v>
      </c>
      <c r="O153" s="18">
        <f t="shared" si="45"/>
        <v>0</v>
      </c>
      <c r="P153" s="18">
        <f t="shared" si="46"/>
        <v>170.09033505154642</v>
      </c>
      <c r="Q153" s="18">
        <f t="shared" si="47"/>
        <v>0</v>
      </c>
      <c r="R153" s="743"/>
      <c r="S153" s="547"/>
    </row>
    <row r="154" spans="1:19" s="244" customFormat="1" ht="13.5" thickBot="1">
      <c r="A154" s="1341"/>
      <c r="B154" s="548"/>
      <c r="C154" s="551" t="s">
        <v>555</v>
      </c>
      <c r="D154" s="552" t="s">
        <v>3959</v>
      </c>
      <c r="E154" s="557">
        <v>16692.917525773195</v>
      </c>
      <c r="F154" s="13">
        <f t="shared" si="48"/>
        <v>9181.1046391752589</v>
      </c>
      <c r="G154" s="17">
        <f t="shared" si="49"/>
        <v>0</v>
      </c>
      <c r="H154" s="18">
        <f t="shared" si="38"/>
        <v>288.01125253092789</v>
      </c>
      <c r="I154" s="18">
        <f t="shared" si="39"/>
        <v>0</v>
      </c>
      <c r="J154" s="18">
        <f t="shared" si="50"/>
        <v>251.5622671134021</v>
      </c>
      <c r="K154" s="18">
        <f t="shared" si="41"/>
        <v>0</v>
      </c>
      <c r="L154" s="18">
        <f t="shared" si="51"/>
        <v>209.32918577319592</v>
      </c>
      <c r="M154" s="18">
        <f t="shared" si="43"/>
        <v>0</v>
      </c>
      <c r="N154" s="18">
        <f t="shared" si="44"/>
        <v>187.29453463917528</v>
      </c>
      <c r="O154" s="18">
        <f t="shared" si="45"/>
        <v>0</v>
      </c>
      <c r="P154" s="18">
        <f t="shared" si="46"/>
        <v>169.85043582474228</v>
      </c>
      <c r="Q154" s="18">
        <f t="shared" si="47"/>
        <v>0</v>
      </c>
      <c r="R154" s="743"/>
      <c r="S154" s="547"/>
    </row>
    <row r="155" spans="1:19" s="244" customFormat="1" ht="13.5" thickBot="1">
      <c r="A155" s="1341"/>
      <c r="B155" s="548"/>
      <c r="C155" s="551" t="s">
        <v>3711</v>
      </c>
      <c r="D155" s="552" t="s">
        <v>3647</v>
      </c>
      <c r="E155" s="557">
        <v>796.90721649484533</v>
      </c>
      <c r="F155" s="13">
        <f t="shared" si="48"/>
        <v>438.29896907216499</v>
      </c>
      <c r="G155" s="17">
        <f t="shared" si="49"/>
        <v>0</v>
      </c>
      <c r="H155" s="18">
        <f t="shared" si="38"/>
        <v>13.749438659793817</v>
      </c>
      <c r="I155" s="18">
        <f t="shared" si="39"/>
        <v>0</v>
      </c>
      <c r="J155" s="18">
        <f t="shared" si="50"/>
        <v>12.00939175257732</v>
      </c>
      <c r="K155" s="18">
        <f t="shared" si="41"/>
        <v>0</v>
      </c>
      <c r="L155" s="18">
        <f t="shared" si="51"/>
        <v>9.9932164948453615</v>
      </c>
      <c r="M155" s="18">
        <f t="shared" si="43"/>
        <v>0</v>
      </c>
      <c r="N155" s="18">
        <f t="shared" si="44"/>
        <v>8.9412989690721663</v>
      </c>
      <c r="O155" s="18">
        <f t="shared" si="45"/>
        <v>0</v>
      </c>
      <c r="P155" s="18">
        <f t="shared" si="46"/>
        <v>8.1085309278350515</v>
      </c>
      <c r="Q155" s="18">
        <f t="shared" si="47"/>
        <v>0</v>
      </c>
      <c r="R155" s="743"/>
      <c r="S155" s="547"/>
    </row>
    <row r="156" spans="1:19" s="244" customFormat="1" ht="13.5" thickBot="1">
      <c r="A156" s="1341"/>
      <c r="B156" s="548"/>
      <c r="C156" s="551" t="s">
        <v>556</v>
      </c>
      <c r="D156" s="552" t="s">
        <v>3956</v>
      </c>
      <c r="E156" s="557">
        <v>16329.896907216495</v>
      </c>
      <c r="F156" s="13">
        <f t="shared" si="48"/>
        <v>8981.4432989690722</v>
      </c>
      <c r="G156" s="17">
        <f t="shared" si="49"/>
        <v>0</v>
      </c>
      <c r="H156" s="18">
        <f t="shared" si="38"/>
        <v>281.74787628865982</v>
      </c>
      <c r="I156" s="18">
        <f t="shared" si="39"/>
        <v>0</v>
      </c>
      <c r="J156" s="18">
        <f t="shared" si="50"/>
        <v>246.09154639175259</v>
      </c>
      <c r="K156" s="18">
        <f t="shared" si="41"/>
        <v>0</v>
      </c>
      <c r="L156" s="18">
        <f t="shared" si="51"/>
        <v>204.77690721649486</v>
      </c>
      <c r="M156" s="18">
        <f t="shared" si="43"/>
        <v>0</v>
      </c>
      <c r="N156" s="18">
        <f t="shared" si="44"/>
        <v>183.22144329896909</v>
      </c>
      <c r="O156" s="18">
        <f t="shared" si="45"/>
        <v>0</v>
      </c>
      <c r="P156" s="18">
        <f t="shared" si="46"/>
        <v>166.15670103092782</v>
      </c>
      <c r="Q156" s="18">
        <f t="shared" si="47"/>
        <v>0</v>
      </c>
      <c r="R156" s="743"/>
      <c r="S156" s="547"/>
    </row>
    <row r="157" spans="1:19" s="244" customFormat="1" ht="13.5" thickBot="1">
      <c r="A157" s="1341"/>
      <c r="B157" s="548"/>
      <c r="C157" s="551" t="s">
        <v>3744</v>
      </c>
      <c r="D157" s="552" t="s">
        <v>3969</v>
      </c>
      <c r="E157" s="557">
        <v>5097.9381443298971</v>
      </c>
      <c r="F157" s="13">
        <f t="shared" si="48"/>
        <v>2803.8659793814436</v>
      </c>
      <c r="G157" s="17">
        <f t="shared" si="49"/>
        <v>0</v>
      </c>
      <c r="H157" s="18">
        <f t="shared" si="38"/>
        <v>87.957275773195889</v>
      </c>
      <c r="I157" s="18">
        <f t="shared" si="39"/>
        <v>0</v>
      </c>
      <c r="J157" s="18">
        <f t="shared" si="50"/>
        <v>76.825927835051559</v>
      </c>
      <c r="K157" s="18">
        <f t="shared" si="41"/>
        <v>0</v>
      </c>
      <c r="L157" s="18">
        <f t="shared" si="51"/>
        <v>63.928144329896917</v>
      </c>
      <c r="M157" s="18">
        <f t="shared" si="43"/>
        <v>0</v>
      </c>
      <c r="N157" s="18">
        <f t="shared" si="44"/>
        <v>57.198865979381452</v>
      </c>
      <c r="O157" s="18">
        <f t="shared" si="45"/>
        <v>0</v>
      </c>
      <c r="P157" s="18">
        <f t="shared" si="46"/>
        <v>51.871520618556701</v>
      </c>
      <c r="Q157" s="18">
        <f t="shared" si="47"/>
        <v>0</v>
      </c>
      <c r="R157" s="743"/>
      <c r="S157" s="547"/>
    </row>
    <row r="158" spans="1:19" s="244" customFormat="1" ht="13.5" thickBot="1">
      <c r="A158" s="1341"/>
      <c r="B158" s="548"/>
      <c r="C158" s="551" t="s">
        <v>3739</v>
      </c>
      <c r="D158" s="552" t="s">
        <v>3964</v>
      </c>
      <c r="E158" s="557">
        <v>29716.494845360827</v>
      </c>
      <c r="F158" s="13">
        <f t="shared" si="48"/>
        <v>16344.072164948457</v>
      </c>
      <c r="G158" s="17">
        <f t="shared" si="49"/>
        <v>0</v>
      </c>
      <c r="H158" s="18">
        <f t="shared" si="38"/>
        <v>512.71354381443314</v>
      </c>
      <c r="I158" s="18">
        <f t="shared" si="39"/>
        <v>0</v>
      </c>
      <c r="J158" s="18">
        <f t="shared" si="50"/>
        <v>447.8275773195877</v>
      </c>
      <c r="K158" s="18">
        <f t="shared" si="41"/>
        <v>0</v>
      </c>
      <c r="L158" s="18">
        <f t="shared" si="51"/>
        <v>372.64484536082483</v>
      </c>
      <c r="M158" s="18">
        <f t="shared" si="43"/>
        <v>0</v>
      </c>
      <c r="N158" s="18">
        <f t="shared" si="44"/>
        <v>333.41907216494855</v>
      </c>
      <c r="O158" s="18">
        <f t="shared" si="45"/>
        <v>0</v>
      </c>
      <c r="P158" s="18">
        <f t="shared" si="46"/>
        <v>302.36533505154642</v>
      </c>
      <c r="Q158" s="18">
        <f t="shared" si="47"/>
        <v>0</v>
      </c>
      <c r="R158" s="743"/>
      <c r="S158" s="547"/>
    </row>
    <row r="159" spans="1:19" s="244" customFormat="1" ht="13.5" thickBot="1">
      <c r="A159" s="1341"/>
      <c r="B159" s="548"/>
      <c r="C159" s="551" t="s">
        <v>3754</v>
      </c>
      <c r="D159" s="552" t="s">
        <v>3841</v>
      </c>
      <c r="E159" s="557">
        <v>2577.319587628866</v>
      </c>
      <c r="F159" s="13">
        <f t="shared" si="48"/>
        <v>1417.5257731958764</v>
      </c>
      <c r="G159" s="17">
        <f t="shared" si="49"/>
        <v>0</v>
      </c>
      <c r="H159" s="18">
        <f t="shared" si="38"/>
        <v>44.467783505154642</v>
      </c>
      <c r="I159" s="18">
        <f t="shared" si="39"/>
        <v>0</v>
      </c>
      <c r="J159" s="18">
        <f t="shared" si="50"/>
        <v>38.840206185567013</v>
      </c>
      <c r="K159" s="18">
        <f t="shared" si="41"/>
        <v>0</v>
      </c>
      <c r="L159" s="18">
        <f t="shared" si="51"/>
        <v>32.319587628865982</v>
      </c>
      <c r="M159" s="18">
        <f t="shared" si="43"/>
        <v>0</v>
      </c>
      <c r="N159" s="18">
        <f t="shared" si="44"/>
        <v>28.91752577319588</v>
      </c>
      <c r="O159" s="18">
        <f t="shared" si="45"/>
        <v>0</v>
      </c>
      <c r="P159" s="18">
        <f t="shared" si="46"/>
        <v>26.22422680412371</v>
      </c>
      <c r="Q159" s="18">
        <f t="shared" si="47"/>
        <v>0</v>
      </c>
      <c r="R159" s="743"/>
      <c r="S159" s="547"/>
    </row>
    <row r="160" spans="1:19" s="244" customFormat="1" ht="13.5" thickBot="1">
      <c r="A160" s="1341"/>
      <c r="B160" s="548"/>
      <c r="C160" s="551" t="s">
        <v>3910</v>
      </c>
      <c r="D160" s="552" t="s">
        <v>3990</v>
      </c>
      <c r="E160" s="557">
        <v>927.83505154639181</v>
      </c>
      <c r="F160" s="13">
        <f t="shared" si="48"/>
        <v>510.30927835051551</v>
      </c>
      <c r="G160" s="17">
        <f t="shared" si="49"/>
        <v>0</v>
      </c>
      <c r="H160" s="18">
        <f t="shared" ref="H160:H166" si="52">F160*0.03137</f>
        <v>16.008402061855673</v>
      </c>
      <c r="I160" s="18">
        <f t="shared" ref="I160:I166" si="53">H160*B160</f>
        <v>0</v>
      </c>
      <c r="J160" s="18">
        <f t="shared" si="50"/>
        <v>13.982474226804126</v>
      </c>
      <c r="K160" s="18">
        <f t="shared" ref="K160:K166" si="54">J160*B160</f>
        <v>0</v>
      </c>
      <c r="L160" s="18">
        <f t="shared" si="51"/>
        <v>11.635051546391754</v>
      </c>
      <c r="M160" s="18">
        <f t="shared" ref="M160:M166" si="55">L160*B160</f>
        <v>0</v>
      </c>
      <c r="N160" s="18">
        <f t="shared" ref="N160:N166" si="56">F160*0.0204</f>
        <v>10.410309278350518</v>
      </c>
      <c r="O160" s="18">
        <f t="shared" ref="O160:O166" si="57">N160*B160</f>
        <v>0</v>
      </c>
      <c r="P160" s="18">
        <f t="shared" ref="P160:P166" si="58">F160*0.0185</f>
        <v>9.4407216494845372</v>
      </c>
      <c r="Q160" s="18">
        <f t="shared" ref="Q160:Q166" si="59">P160*B160</f>
        <v>0</v>
      </c>
      <c r="R160" s="743"/>
      <c r="S160" s="547"/>
    </row>
    <row r="161" spans="1:19" s="244" customFormat="1" ht="13.5" thickBot="1">
      <c r="A161" s="1341"/>
      <c r="B161" s="548"/>
      <c r="C161" s="549" t="s">
        <v>805</v>
      </c>
      <c r="D161" s="550" t="s">
        <v>3965</v>
      </c>
      <c r="E161" s="557">
        <v>8448.4536082474224</v>
      </c>
      <c r="F161" s="13">
        <f t="shared" si="48"/>
        <v>4646.649484536083</v>
      </c>
      <c r="G161" s="17">
        <f t="shared" si="49"/>
        <v>0</v>
      </c>
      <c r="H161" s="18">
        <f t="shared" si="52"/>
        <v>145.76539432989694</v>
      </c>
      <c r="I161" s="18">
        <f t="shared" si="53"/>
        <v>0</v>
      </c>
      <c r="J161" s="18">
        <f t="shared" si="50"/>
        <v>127.31819587628868</v>
      </c>
      <c r="K161" s="18">
        <f t="shared" si="54"/>
        <v>0</v>
      </c>
      <c r="L161" s="18">
        <f t="shared" si="51"/>
        <v>105.9436082474227</v>
      </c>
      <c r="M161" s="18">
        <f t="shared" si="55"/>
        <v>0</v>
      </c>
      <c r="N161" s="18">
        <f t="shared" si="56"/>
        <v>94.791649484536094</v>
      </c>
      <c r="O161" s="18">
        <f t="shared" si="57"/>
        <v>0</v>
      </c>
      <c r="P161" s="18">
        <f t="shared" si="58"/>
        <v>85.963015463917529</v>
      </c>
      <c r="Q161" s="18">
        <f t="shared" si="59"/>
        <v>0</v>
      </c>
      <c r="R161" s="743"/>
      <c r="S161" s="547"/>
    </row>
    <row r="162" spans="1:19" s="244" customFormat="1" ht="13.5" thickBot="1">
      <c r="A162" s="1341"/>
      <c r="B162" s="548"/>
      <c r="C162" s="549" t="s">
        <v>3906</v>
      </c>
      <c r="D162" s="550" t="s">
        <v>3977</v>
      </c>
      <c r="E162" s="557">
        <v>4020.6185567010311</v>
      </c>
      <c r="F162" s="13">
        <f t="shared" si="48"/>
        <v>2211.3402061855672</v>
      </c>
      <c r="G162" s="17">
        <f t="shared" si="49"/>
        <v>0</v>
      </c>
      <c r="H162" s="18">
        <f t="shared" si="52"/>
        <v>69.36974226804125</v>
      </c>
      <c r="I162" s="18">
        <f t="shared" si="53"/>
        <v>0</v>
      </c>
      <c r="J162" s="18">
        <f t="shared" si="50"/>
        <v>60.590721649484543</v>
      </c>
      <c r="K162" s="18">
        <f t="shared" si="54"/>
        <v>0</v>
      </c>
      <c r="L162" s="18">
        <f t="shared" si="51"/>
        <v>50.418556701030937</v>
      </c>
      <c r="M162" s="18">
        <f t="shared" si="55"/>
        <v>0</v>
      </c>
      <c r="N162" s="18">
        <f t="shared" si="56"/>
        <v>45.111340206185574</v>
      </c>
      <c r="O162" s="18">
        <f t="shared" si="57"/>
        <v>0</v>
      </c>
      <c r="P162" s="18">
        <f t="shared" si="58"/>
        <v>40.909793814432994</v>
      </c>
      <c r="Q162" s="18">
        <f t="shared" si="59"/>
        <v>0</v>
      </c>
      <c r="R162" s="743"/>
      <c r="S162" s="547"/>
    </row>
    <row r="163" spans="1:19" s="244" customFormat="1" ht="13.5" thickBot="1">
      <c r="A163" s="1341"/>
      <c r="B163" s="548"/>
      <c r="C163" s="551" t="s">
        <v>3907</v>
      </c>
      <c r="D163" s="552" t="s">
        <v>3978</v>
      </c>
      <c r="E163" s="557">
        <v>17525.773195876289</v>
      </c>
      <c r="F163" s="13">
        <f t="shared" si="48"/>
        <v>9639.1752577319603</v>
      </c>
      <c r="G163" s="17">
        <f t="shared" si="49"/>
        <v>0</v>
      </c>
      <c r="H163" s="18">
        <f t="shared" si="52"/>
        <v>302.38092783505164</v>
      </c>
      <c r="I163" s="18">
        <f t="shared" si="53"/>
        <v>0</v>
      </c>
      <c r="J163" s="18">
        <f t="shared" si="50"/>
        <v>264.11340206185571</v>
      </c>
      <c r="K163" s="18">
        <f t="shared" si="54"/>
        <v>0</v>
      </c>
      <c r="L163" s="18">
        <f t="shared" si="51"/>
        <v>219.7731958762887</v>
      </c>
      <c r="M163" s="18">
        <f t="shared" si="55"/>
        <v>0</v>
      </c>
      <c r="N163" s="18">
        <f t="shared" si="56"/>
        <v>196.63917525773201</v>
      </c>
      <c r="O163" s="18">
        <f t="shared" si="57"/>
        <v>0</v>
      </c>
      <c r="P163" s="18">
        <f t="shared" si="58"/>
        <v>178.32474226804126</v>
      </c>
      <c r="Q163" s="18">
        <f t="shared" si="59"/>
        <v>0</v>
      </c>
      <c r="R163" s="743"/>
      <c r="S163" s="547"/>
    </row>
    <row r="164" spans="1:19" s="244" customFormat="1" ht="13.5" thickBot="1">
      <c r="A164" s="1341"/>
      <c r="B164" s="548"/>
      <c r="C164" s="549" t="s">
        <v>3747</v>
      </c>
      <c r="D164" s="550" t="s">
        <v>3972</v>
      </c>
      <c r="E164" s="557">
        <v>3296.6597938144332</v>
      </c>
      <c r="F164" s="13">
        <f t="shared" si="48"/>
        <v>1813.1628865979385</v>
      </c>
      <c r="G164" s="17">
        <f t="shared" si="49"/>
        <v>0</v>
      </c>
      <c r="H164" s="18">
        <f t="shared" si="52"/>
        <v>56.878919752577332</v>
      </c>
      <c r="I164" s="18">
        <f t="shared" si="53"/>
        <v>0</v>
      </c>
      <c r="J164" s="18">
        <f t="shared" si="50"/>
        <v>49.680663092783519</v>
      </c>
      <c r="K164" s="18">
        <f t="shared" si="54"/>
        <v>0</v>
      </c>
      <c r="L164" s="18">
        <f t="shared" si="51"/>
        <v>41.340113814432996</v>
      </c>
      <c r="M164" s="18">
        <f t="shared" si="55"/>
        <v>0</v>
      </c>
      <c r="N164" s="18">
        <f t="shared" si="56"/>
        <v>36.988522886597949</v>
      </c>
      <c r="O164" s="18">
        <f t="shared" si="57"/>
        <v>0</v>
      </c>
      <c r="P164" s="18">
        <f t="shared" si="58"/>
        <v>33.543513402061862</v>
      </c>
      <c r="Q164" s="18">
        <f t="shared" si="59"/>
        <v>0</v>
      </c>
      <c r="R164" s="743"/>
      <c r="S164" s="547"/>
    </row>
    <row r="165" spans="1:19" s="244" customFormat="1" ht="13.5" thickBot="1">
      <c r="A165" s="1341"/>
      <c r="B165" s="548"/>
      <c r="C165" s="549" t="s">
        <v>3765</v>
      </c>
      <c r="D165" s="550" t="s">
        <v>3853</v>
      </c>
      <c r="E165" s="557">
        <v>927.83505154639181</v>
      </c>
      <c r="F165" s="13">
        <f t="shared" si="48"/>
        <v>510.30927835051551</v>
      </c>
      <c r="G165" s="17">
        <f t="shared" si="49"/>
        <v>0</v>
      </c>
      <c r="H165" s="18">
        <f t="shared" si="52"/>
        <v>16.008402061855673</v>
      </c>
      <c r="I165" s="18">
        <f t="shared" si="53"/>
        <v>0</v>
      </c>
      <c r="J165" s="18">
        <f t="shared" si="50"/>
        <v>13.982474226804126</v>
      </c>
      <c r="K165" s="18">
        <f t="shared" si="54"/>
        <v>0</v>
      </c>
      <c r="L165" s="18">
        <f t="shared" si="51"/>
        <v>11.635051546391754</v>
      </c>
      <c r="M165" s="18">
        <f t="shared" si="55"/>
        <v>0</v>
      </c>
      <c r="N165" s="18">
        <f t="shared" si="56"/>
        <v>10.410309278350518</v>
      </c>
      <c r="O165" s="18">
        <f t="shared" si="57"/>
        <v>0</v>
      </c>
      <c r="P165" s="18">
        <f t="shared" si="58"/>
        <v>9.4407216494845372</v>
      </c>
      <c r="Q165" s="18">
        <f t="shared" si="59"/>
        <v>0</v>
      </c>
      <c r="R165" s="743"/>
      <c r="S165" s="547"/>
    </row>
    <row r="166" spans="1:19" s="244" customFormat="1" ht="13.5" thickBot="1">
      <c r="A166" s="1341"/>
      <c r="B166" s="548"/>
      <c r="C166" s="551" t="s">
        <v>268</v>
      </c>
      <c r="D166" s="552" t="s">
        <v>3849</v>
      </c>
      <c r="E166" s="557">
        <v>597.93814432989689</v>
      </c>
      <c r="F166" s="13">
        <f t="shared" si="48"/>
        <v>328.86597938144331</v>
      </c>
      <c r="G166" s="17">
        <f t="shared" si="49"/>
        <v>0</v>
      </c>
      <c r="H166" s="18">
        <f t="shared" si="52"/>
        <v>10.316525773195877</v>
      </c>
      <c r="I166" s="18">
        <f t="shared" si="53"/>
        <v>0</v>
      </c>
      <c r="J166" s="18">
        <f t="shared" si="50"/>
        <v>9.0109278350515467</v>
      </c>
      <c r="K166" s="18">
        <f t="shared" si="54"/>
        <v>0</v>
      </c>
      <c r="L166" s="18">
        <f t="shared" si="51"/>
        <v>7.4981443298969079</v>
      </c>
      <c r="M166" s="18">
        <f t="shared" si="55"/>
        <v>0</v>
      </c>
      <c r="N166" s="18">
        <f t="shared" si="56"/>
        <v>6.7088659793814438</v>
      </c>
      <c r="O166" s="18">
        <f t="shared" si="57"/>
        <v>0</v>
      </c>
      <c r="P166" s="18">
        <f t="shared" si="58"/>
        <v>6.0840206185567007</v>
      </c>
      <c r="Q166" s="18">
        <f t="shared" si="59"/>
        <v>0</v>
      </c>
      <c r="R166" s="743"/>
      <c r="S166" s="547"/>
    </row>
    <row r="167" spans="1:19" s="553" customFormat="1">
      <c r="A167" s="546"/>
      <c r="D167" s="1342" t="s">
        <v>183</v>
      </c>
      <c r="E167" s="1343"/>
      <c r="F167" s="1344"/>
      <c r="G167" s="78">
        <f>SUM(G32:G166)+G29</f>
        <v>0</v>
      </c>
      <c r="H167" s="240" t="s">
        <v>201</v>
      </c>
      <c r="I167" s="78">
        <f>SUM(I32:I166)+I29</f>
        <v>0</v>
      </c>
      <c r="J167" s="240" t="s">
        <v>202</v>
      </c>
      <c r="K167" s="78">
        <f>SUM(K32:K166)+K29</f>
        <v>0</v>
      </c>
      <c r="L167" s="240" t="s">
        <v>203</v>
      </c>
      <c r="M167" s="78">
        <f>SUM(M32:M166)+M29</f>
        <v>0</v>
      </c>
      <c r="N167" s="240" t="s">
        <v>95</v>
      </c>
      <c r="O167" s="78">
        <f>SUM(O32:O166)+O29</f>
        <v>0</v>
      </c>
      <c r="P167" s="240" t="s">
        <v>888</v>
      </c>
      <c r="Q167" s="78">
        <f>SUM(Q32:Q166)+Q29</f>
        <v>0</v>
      </c>
    </row>
    <row r="168" spans="1:19" s="553" customFormat="1" ht="12.75">
      <c r="F168" s="554"/>
      <c r="G168" s="554"/>
      <c r="H168" s="555"/>
    </row>
    <row r="169" spans="1:19" s="553" customFormat="1" ht="12.75">
      <c r="F169" s="554"/>
      <c r="G169" s="554"/>
    </row>
    <row r="170" spans="1:19" s="553" customFormat="1" ht="12.75">
      <c r="F170" s="554"/>
      <c r="G170" s="554"/>
    </row>
    <row r="171" spans="1:19" s="553" customFormat="1" ht="12.75">
      <c r="F171" s="554"/>
      <c r="G171" s="554"/>
    </row>
    <row r="172" spans="1:19" s="553" customFormat="1" ht="12.75">
      <c r="F172" s="554"/>
      <c r="G172" s="554"/>
    </row>
    <row r="173" spans="1:19" s="553" customFormat="1" ht="12.75">
      <c r="F173" s="554"/>
      <c r="G173" s="554"/>
    </row>
    <row r="174" spans="1:19" s="553" customFormat="1" ht="12.75">
      <c r="F174" s="554"/>
      <c r="G174" s="554"/>
    </row>
    <row r="175" spans="1:19" s="553" customFormat="1" ht="12.75">
      <c r="F175" s="554"/>
      <c r="G175" s="554"/>
    </row>
    <row r="176" spans="1:19" s="553" customFormat="1" ht="12.75">
      <c r="F176" s="554"/>
      <c r="G176" s="554"/>
    </row>
    <row r="177" spans="2:7" s="553" customFormat="1" ht="12.75">
      <c r="F177" s="554"/>
      <c r="G177" s="554"/>
    </row>
    <row r="178" spans="2:7" s="553" customFormat="1" ht="12.75">
      <c r="F178" s="554"/>
      <c r="G178" s="554"/>
    </row>
    <row r="179" spans="2:7" s="553" customFormat="1" ht="12.75">
      <c r="F179" s="554"/>
      <c r="G179" s="554"/>
    </row>
    <row r="180" spans="2:7" s="553" customFormat="1" ht="12.75">
      <c r="F180" s="554"/>
      <c r="G180" s="554"/>
    </row>
    <row r="181" spans="2:7" s="553" customFormat="1" ht="12.75">
      <c r="F181" s="554"/>
      <c r="G181" s="554"/>
    </row>
    <row r="182" spans="2:7" s="553" customFormat="1" ht="12.75">
      <c r="F182" s="554"/>
      <c r="G182" s="554"/>
    </row>
    <row r="183" spans="2:7" s="553" customFormat="1" ht="12.75">
      <c r="F183" s="554"/>
      <c r="G183" s="554"/>
    </row>
    <row r="184" spans="2:7" s="553" customFormat="1" ht="12.75">
      <c r="B184" s="243"/>
      <c r="C184" s="243"/>
      <c r="F184" s="554"/>
      <c r="G184" s="554"/>
    </row>
    <row r="185" spans="2:7" s="553" customFormat="1" ht="12.75">
      <c r="F185" s="554"/>
      <c r="G185" s="554"/>
    </row>
    <row r="186" spans="2:7" s="553" customFormat="1" ht="12.75">
      <c r="F186" s="554"/>
      <c r="G186" s="554"/>
    </row>
    <row r="187" spans="2:7" s="553" customFormat="1" ht="12.75">
      <c r="F187" s="554"/>
      <c r="G187" s="554"/>
    </row>
    <row r="188" spans="2:7" s="553" customFormat="1" ht="12.75">
      <c r="F188" s="554"/>
      <c r="G188" s="554"/>
    </row>
    <row r="189" spans="2:7" s="553" customFormat="1" ht="12.75">
      <c r="F189" s="554"/>
      <c r="G189" s="554"/>
    </row>
    <row r="190" spans="2:7" s="553" customFormat="1" ht="12.75">
      <c r="F190" s="554"/>
      <c r="G190" s="554"/>
    </row>
    <row r="191" spans="2:7" s="553" customFormat="1" ht="12.75">
      <c r="F191" s="554"/>
      <c r="G191" s="554"/>
    </row>
    <row r="192" spans="2:7" s="553" customFormat="1" ht="12.75">
      <c r="F192" s="554"/>
      <c r="G192" s="554"/>
    </row>
    <row r="193" spans="6:7" s="553" customFormat="1" ht="12.75">
      <c r="F193" s="554"/>
      <c r="G193" s="554"/>
    </row>
    <row r="194" spans="6:7" s="553" customFormat="1" ht="12.75">
      <c r="F194" s="554"/>
      <c r="G194" s="554"/>
    </row>
    <row r="195" spans="6:7" s="553" customFormat="1" ht="12.75">
      <c r="F195" s="554"/>
      <c r="G195" s="554"/>
    </row>
    <row r="196" spans="6:7" s="553" customFormat="1" ht="12.75">
      <c r="F196" s="554"/>
      <c r="G196" s="554"/>
    </row>
    <row r="197" spans="6:7" s="553" customFormat="1" ht="12.75">
      <c r="F197" s="554"/>
      <c r="G197" s="554"/>
    </row>
    <row r="198" spans="6:7" s="553" customFormat="1" ht="12.75">
      <c r="F198" s="554"/>
      <c r="G198" s="554"/>
    </row>
    <row r="199" spans="6:7" s="553" customFormat="1" ht="12.75">
      <c r="F199" s="554"/>
      <c r="G199" s="554"/>
    </row>
    <row r="200" spans="6:7" s="553" customFormat="1" ht="12.75">
      <c r="F200" s="554"/>
      <c r="G200" s="554"/>
    </row>
    <row r="201" spans="6:7" s="553" customFormat="1" ht="12.75">
      <c r="F201" s="554"/>
      <c r="G201" s="554"/>
    </row>
    <row r="202" spans="6:7" s="553" customFormat="1" ht="12.75">
      <c r="F202" s="554"/>
      <c r="G202" s="554"/>
    </row>
    <row r="203" spans="6:7" s="553" customFormat="1" ht="12.75">
      <c r="F203" s="554"/>
      <c r="G203" s="554"/>
    </row>
    <row r="204" spans="6:7" s="553" customFormat="1" ht="12.75">
      <c r="F204" s="452"/>
      <c r="G204" s="452"/>
    </row>
    <row r="205" spans="6:7" s="553" customFormat="1" ht="12.75">
      <c r="F205" s="452"/>
      <c r="G205" s="452"/>
    </row>
    <row r="206" spans="6:7" s="553" customFormat="1" ht="12.75">
      <c r="F206" s="452"/>
      <c r="G206" s="452"/>
    </row>
    <row r="207" spans="6:7" s="553" customFormat="1" ht="12.75">
      <c r="F207" s="452"/>
      <c r="G207" s="452"/>
    </row>
    <row r="208" spans="6:7" s="553" customFormat="1" ht="12.75">
      <c r="F208" s="452"/>
      <c r="G208" s="452"/>
    </row>
    <row r="209" spans="6:7" s="553" customFormat="1" ht="12.75">
      <c r="F209" s="452"/>
      <c r="G209" s="452"/>
    </row>
    <row r="210" spans="6:7" s="553" customFormat="1" ht="12.75">
      <c r="F210" s="452"/>
      <c r="G210" s="452"/>
    </row>
    <row r="211" spans="6:7" s="553" customFormat="1" ht="12.75">
      <c r="F211" s="452"/>
      <c r="G211" s="452"/>
    </row>
    <row r="212" spans="6:7" s="553" customFormat="1" ht="12.75">
      <c r="F212" s="452"/>
      <c r="G212" s="452"/>
    </row>
    <row r="213" spans="6:7" s="553" customFormat="1" ht="12.75">
      <c r="F213" s="452"/>
      <c r="G213" s="452"/>
    </row>
    <row r="214" spans="6:7" s="553" customFormat="1" ht="12.75">
      <c r="F214" s="452"/>
      <c r="G214" s="452"/>
    </row>
    <row r="215" spans="6:7" s="553" customFormat="1" ht="12.75">
      <c r="F215" s="452"/>
      <c r="G215" s="452"/>
    </row>
    <row r="216" spans="6:7" s="553" customFormat="1" ht="12.75">
      <c r="F216" s="452"/>
      <c r="G216" s="452"/>
    </row>
    <row r="217" spans="6:7" s="553" customFormat="1" ht="12.75">
      <c r="F217" s="452"/>
      <c r="G217" s="452"/>
    </row>
    <row r="218" spans="6:7" s="553" customFormat="1" ht="12.75">
      <c r="F218" s="452"/>
      <c r="G218" s="452"/>
    </row>
    <row r="219" spans="6:7" s="553" customFormat="1" ht="12.75">
      <c r="F219" s="452"/>
      <c r="G219" s="452"/>
    </row>
    <row r="220" spans="6:7" s="553" customFormat="1" ht="12.75">
      <c r="F220" s="452"/>
      <c r="G220" s="452"/>
    </row>
    <row r="221" spans="6:7" s="553" customFormat="1" ht="12.75">
      <c r="F221" s="452"/>
      <c r="G221" s="452"/>
    </row>
    <row r="222" spans="6:7" s="553" customFormat="1" ht="12.75">
      <c r="F222" s="452"/>
      <c r="G222" s="452"/>
    </row>
    <row r="223" spans="6:7" s="553" customFormat="1" ht="12.75">
      <c r="F223" s="452"/>
      <c r="G223" s="452"/>
    </row>
    <row r="224" spans="6:7" s="553" customFormat="1" ht="12.75">
      <c r="F224" s="452"/>
      <c r="G224" s="452"/>
    </row>
    <row r="225" spans="6:7" s="553" customFormat="1" ht="12.75">
      <c r="F225" s="452"/>
      <c r="G225" s="452"/>
    </row>
    <row r="226" spans="6:7" s="553" customFormat="1" ht="12.75">
      <c r="F226" s="452"/>
      <c r="G226" s="452"/>
    </row>
    <row r="227" spans="6:7" s="553" customFormat="1" ht="12.75">
      <c r="F227" s="452"/>
      <c r="G227" s="452"/>
    </row>
    <row r="228" spans="6:7" s="553" customFormat="1" ht="12.75">
      <c r="F228" s="452"/>
      <c r="G228" s="452"/>
    </row>
    <row r="229" spans="6:7" s="553" customFormat="1" ht="12.75">
      <c r="F229" s="452"/>
      <c r="G229" s="452"/>
    </row>
    <row r="230" spans="6:7" s="553" customFormat="1" ht="12.75">
      <c r="F230" s="452"/>
      <c r="G230" s="452"/>
    </row>
    <row r="231" spans="6:7" s="553" customFormat="1" ht="12.75">
      <c r="F231" s="452"/>
      <c r="G231" s="452"/>
    </row>
    <row r="232" spans="6:7" s="553" customFormat="1" ht="12.75">
      <c r="F232" s="452"/>
      <c r="G232" s="452"/>
    </row>
    <row r="233" spans="6:7" s="553" customFormat="1" ht="12.75">
      <c r="F233" s="452"/>
      <c r="G233" s="452"/>
    </row>
    <row r="234" spans="6:7" s="553" customFormat="1" ht="12.75">
      <c r="F234" s="452"/>
      <c r="G234" s="452"/>
    </row>
    <row r="235" spans="6:7" s="553" customFormat="1" ht="12.75">
      <c r="F235" s="452"/>
      <c r="G235" s="452"/>
    </row>
    <row r="236" spans="6:7" s="553" customFormat="1" ht="12.75">
      <c r="F236" s="452"/>
      <c r="G236" s="452"/>
    </row>
    <row r="237" spans="6:7" s="553" customFormat="1" ht="12.75">
      <c r="F237" s="452"/>
      <c r="G237" s="452"/>
    </row>
    <row r="238" spans="6:7" s="553" customFormat="1" ht="12.75">
      <c r="F238" s="452"/>
      <c r="G238" s="452"/>
    </row>
    <row r="239" spans="6:7" s="553" customFormat="1" ht="12.75">
      <c r="F239" s="452"/>
      <c r="G239" s="452"/>
    </row>
    <row r="240" spans="6:7" s="553" customFormat="1" ht="12.75">
      <c r="F240" s="452"/>
      <c r="G240" s="452"/>
    </row>
    <row r="241" spans="6:7" s="553" customFormat="1" ht="12.75">
      <c r="F241" s="452"/>
      <c r="G241" s="452"/>
    </row>
    <row r="242" spans="6:7" s="553" customFormat="1" ht="12.75">
      <c r="F242" s="452"/>
      <c r="G242" s="452"/>
    </row>
    <row r="243" spans="6:7" s="553" customFormat="1" ht="12.75">
      <c r="F243" s="452"/>
      <c r="G243" s="452"/>
    </row>
    <row r="244" spans="6:7" s="553" customFormat="1" ht="12.75">
      <c r="F244" s="452"/>
      <c r="G244" s="452"/>
    </row>
    <row r="245" spans="6:7" s="553" customFormat="1" ht="12.75">
      <c r="F245" s="452"/>
      <c r="G245" s="452"/>
    </row>
    <row r="246" spans="6:7" s="553" customFormat="1" ht="12.75">
      <c r="F246" s="452"/>
      <c r="G246" s="452"/>
    </row>
    <row r="247" spans="6:7" s="553" customFormat="1" ht="12.75">
      <c r="F247" s="452"/>
      <c r="G247" s="452"/>
    </row>
    <row r="248" spans="6:7" s="553" customFormat="1" ht="12.75">
      <c r="F248" s="452"/>
      <c r="G248" s="452"/>
    </row>
    <row r="249" spans="6:7" s="553" customFormat="1" ht="12.75">
      <c r="F249" s="452"/>
      <c r="G249" s="452"/>
    </row>
    <row r="250" spans="6:7" s="553" customFormat="1" ht="12.75">
      <c r="F250" s="452"/>
      <c r="G250" s="452"/>
    </row>
    <row r="251" spans="6:7" s="553" customFormat="1" ht="12.75">
      <c r="F251" s="452"/>
      <c r="G251" s="452"/>
    </row>
    <row r="252" spans="6:7" s="553" customFormat="1" ht="12.75">
      <c r="F252" s="452"/>
      <c r="G252" s="452"/>
    </row>
    <row r="253" spans="6:7" s="553" customFormat="1" ht="12.75">
      <c r="F253" s="452"/>
      <c r="G253" s="452"/>
    </row>
    <row r="254" spans="6:7" s="553" customFormat="1" ht="12.75">
      <c r="F254" s="452"/>
      <c r="G254" s="452"/>
    </row>
    <row r="255" spans="6:7" s="553" customFormat="1" ht="12.75">
      <c r="F255" s="452"/>
      <c r="G255" s="452"/>
    </row>
    <row r="256" spans="6:7" s="553" customFormat="1" ht="12.75">
      <c r="F256" s="452"/>
      <c r="G256" s="452"/>
    </row>
    <row r="257" spans="1:17" s="553" customFormat="1" ht="12.75">
      <c r="F257" s="452"/>
      <c r="G257" s="452"/>
    </row>
    <row r="258" spans="1:17" s="553" customFormat="1" ht="12.75">
      <c r="F258" s="452"/>
      <c r="G258" s="452"/>
    </row>
    <row r="259" spans="1:17" s="553" customFormat="1" ht="12.75">
      <c r="F259" s="452"/>
      <c r="G259" s="452"/>
    </row>
    <row r="260" spans="1:17" s="553" customFormat="1" ht="12.75">
      <c r="F260" s="452"/>
      <c r="G260" s="452"/>
    </row>
    <row r="261" spans="1:17" s="553" customFormat="1" ht="12.75">
      <c r="F261" s="452"/>
      <c r="G261" s="452"/>
    </row>
    <row r="262" spans="1:17" s="553" customFormat="1" ht="12.75">
      <c r="F262" s="452"/>
      <c r="G262" s="452"/>
    </row>
    <row r="263" spans="1:17" s="553" customFormat="1" ht="12.75">
      <c r="F263" s="452"/>
      <c r="G263" s="452"/>
    </row>
    <row r="264" spans="1:17" s="553" customFormat="1" ht="12.75">
      <c r="F264" s="452"/>
      <c r="G264" s="452"/>
    </row>
    <row r="265" spans="1:17" s="553" customFormat="1" ht="12.75">
      <c r="F265" s="452"/>
      <c r="G265" s="452"/>
    </row>
    <row r="266" spans="1:17" s="553" customFormat="1" ht="12.75">
      <c r="F266" s="452"/>
      <c r="G266" s="452"/>
    </row>
    <row r="267" spans="1:17" s="553" customFormat="1" ht="12.75">
      <c r="F267" s="452"/>
      <c r="G267" s="452"/>
    </row>
    <row r="268" spans="1:17">
      <c r="A268" s="553"/>
      <c r="B268" s="553"/>
      <c r="C268" s="553"/>
      <c r="D268" s="553"/>
      <c r="E268" s="553"/>
      <c r="F268" s="452"/>
      <c r="G268" s="452"/>
      <c r="H268" s="553"/>
      <c r="I268" s="553"/>
      <c r="J268" s="553"/>
      <c r="K268" s="553"/>
      <c r="L268" s="553"/>
      <c r="M268" s="553"/>
      <c r="N268" s="553"/>
      <c r="O268" s="553"/>
      <c r="P268" s="553"/>
      <c r="Q268" s="553"/>
    </row>
    <row r="269" spans="1:17">
      <c r="A269" s="553"/>
      <c r="B269" s="553"/>
      <c r="C269" s="553"/>
      <c r="D269" s="553"/>
      <c r="E269" s="553"/>
      <c r="F269" s="452"/>
      <c r="G269" s="452"/>
      <c r="H269" s="553"/>
      <c r="I269" s="553"/>
      <c r="J269" s="553"/>
      <c r="K269" s="553"/>
      <c r="L269" s="553"/>
      <c r="M269" s="553"/>
      <c r="N269" s="553"/>
      <c r="O269" s="553"/>
      <c r="P269" s="553"/>
      <c r="Q269" s="553"/>
    </row>
    <row r="270" spans="1:17">
      <c r="A270" s="553"/>
      <c r="B270" s="553"/>
      <c r="C270" s="553"/>
      <c r="D270" s="553"/>
      <c r="E270" s="553"/>
      <c r="F270" s="452"/>
      <c r="G270" s="452"/>
      <c r="I270" s="553"/>
      <c r="J270" s="553"/>
      <c r="K270" s="553"/>
      <c r="L270" s="553"/>
      <c r="M270" s="553"/>
      <c r="N270" s="553"/>
      <c r="O270" s="553"/>
      <c r="P270" s="553"/>
      <c r="Q270" s="553"/>
    </row>
  </sheetData>
  <mergeCells count="18">
    <mergeCell ref="A31:Q31"/>
    <mergeCell ref="A32:A166"/>
    <mergeCell ref="D167:F167"/>
    <mergeCell ref="A29:A30"/>
    <mergeCell ref="B29:B30"/>
    <mergeCell ref="G29:G30"/>
    <mergeCell ref="I29:I30"/>
    <mergeCell ref="K29:K30"/>
    <mergeCell ref="M29:M30"/>
    <mergeCell ref="O29:O30"/>
    <mergeCell ref="Q29:Q30"/>
    <mergeCell ref="F27:G27"/>
    <mergeCell ref="H27:Q27"/>
    <mergeCell ref="A4:O4"/>
    <mergeCell ref="A5:O5"/>
    <mergeCell ref="F8:I8"/>
    <mergeCell ref="A23:O23"/>
    <mergeCell ref="A24:O24"/>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7">
    <tabColor indexed="62"/>
  </sheetPr>
  <dimension ref="A1:S271"/>
  <sheetViews>
    <sheetView topLeftCell="D12" zoomScale="79" zoomScaleNormal="79" workbookViewId="0">
      <selection activeCell="T25" sqref="T25"/>
    </sheetView>
  </sheetViews>
  <sheetFormatPr defaultColWidth="8.85546875" defaultRowHeight="15.75"/>
  <cols>
    <col min="1" max="1" width="14" style="178" customWidth="1"/>
    <col min="2" max="2" width="8.7109375" style="178" customWidth="1"/>
    <col min="3" max="3" width="21.28515625" style="178" customWidth="1"/>
    <col min="4" max="4" width="51" style="178" customWidth="1"/>
    <col min="5" max="5" width="17" style="178" customWidth="1"/>
    <col min="6" max="6" width="18.28515625" style="455" customWidth="1"/>
    <col min="7" max="7" width="16" style="455" customWidth="1"/>
    <col min="8" max="8" width="21.28515625" style="178" customWidth="1"/>
    <col min="9" max="9" width="25.5703125" style="178" customWidth="1"/>
    <col min="10" max="10" width="20.5703125" style="178" customWidth="1"/>
    <col min="11" max="11" width="21.140625" style="178" customWidth="1"/>
    <col min="12" max="12" width="20" style="178" customWidth="1"/>
    <col min="13" max="13" width="19" style="178" customWidth="1"/>
    <col min="14" max="14" width="19.5703125" style="178" customWidth="1"/>
    <col min="15" max="15" width="19.140625" style="178" customWidth="1"/>
    <col min="16" max="16" width="19.5703125" style="178" customWidth="1"/>
    <col min="17" max="17" width="19.140625" style="178" customWidth="1"/>
    <col min="18" max="18" width="12.42578125" style="178" customWidth="1"/>
    <col min="19" max="16384" width="8.85546875" style="178"/>
  </cols>
  <sheetData>
    <row r="1" spans="1:17" ht="16.5" thickBot="1">
      <c r="B1" s="179"/>
      <c r="C1" s="179"/>
      <c r="D1" s="180"/>
      <c r="E1" s="180"/>
      <c r="F1" s="181"/>
      <c r="G1" s="181"/>
      <c r="H1" s="181"/>
      <c r="I1" s="181"/>
      <c r="J1" s="181"/>
      <c r="K1" s="180"/>
      <c r="L1" s="181"/>
    </row>
    <row r="2" spans="1:17" ht="9" customHeight="1">
      <c r="A2" s="182"/>
      <c r="B2" s="183"/>
      <c r="C2" s="183"/>
      <c r="D2" s="184"/>
      <c r="E2" s="184"/>
      <c r="F2" s="185"/>
      <c r="G2" s="185"/>
      <c r="H2" s="185"/>
      <c r="I2" s="186"/>
      <c r="J2" s="186"/>
      <c r="K2" s="186"/>
      <c r="L2" s="186"/>
      <c r="M2" s="182"/>
      <c r="N2" s="182"/>
      <c r="O2" s="182"/>
      <c r="P2" s="182"/>
      <c r="Q2" s="182"/>
    </row>
    <row r="3" spans="1:17" ht="10.5" customHeight="1">
      <c r="B3" s="179"/>
      <c r="C3" s="179"/>
      <c r="D3" s="180"/>
      <c r="E3" s="180"/>
      <c r="F3" s="181"/>
      <c r="G3" s="181"/>
      <c r="H3" s="181"/>
      <c r="I3" s="187"/>
      <c r="J3" s="187"/>
      <c r="K3" s="187"/>
      <c r="L3" s="187"/>
    </row>
    <row r="4" spans="1:17" ht="36" customHeight="1">
      <c r="A4" s="1329" t="s">
        <v>3993</v>
      </c>
      <c r="B4" s="1023"/>
      <c r="C4" s="1023"/>
      <c r="D4" s="1023"/>
      <c r="E4" s="1023"/>
      <c r="F4" s="1023"/>
      <c r="G4" s="1023"/>
      <c r="H4" s="1023"/>
      <c r="I4" s="1023"/>
      <c r="J4" s="1023"/>
      <c r="K4" s="1023"/>
      <c r="L4" s="1023"/>
      <c r="M4" s="1023"/>
      <c r="N4" s="1023"/>
      <c r="O4" s="1023"/>
      <c r="P4" s="378"/>
      <c r="Q4" s="378"/>
    </row>
    <row r="5" spans="1:17" s="188" customFormat="1" ht="46.5" customHeight="1">
      <c r="A5" s="1330" t="s">
        <v>3994</v>
      </c>
      <c r="B5" s="1025"/>
      <c r="C5" s="1025"/>
      <c r="D5" s="1025"/>
      <c r="E5" s="1025"/>
      <c r="F5" s="1025"/>
      <c r="G5" s="1025"/>
      <c r="H5" s="1025"/>
      <c r="I5" s="1025"/>
      <c r="J5" s="1025"/>
      <c r="K5" s="1025"/>
      <c r="L5" s="1025"/>
      <c r="M5" s="1025"/>
      <c r="N5" s="1025"/>
      <c r="O5" s="1025"/>
      <c r="P5" s="388"/>
      <c r="Q5" s="388"/>
    </row>
    <row r="6" spans="1:17" ht="9" customHeight="1" thickBot="1">
      <c r="A6" s="189"/>
      <c r="B6" s="190"/>
      <c r="C6" s="190"/>
      <c r="D6" s="191"/>
      <c r="E6" s="191"/>
      <c r="F6" s="192"/>
      <c r="G6" s="192"/>
      <c r="H6" s="192"/>
      <c r="I6" s="193"/>
      <c r="J6" s="193"/>
      <c r="K6" s="193"/>
      <c r="L6" s="193"/>
      <c r="M6" s="189"/>
      <c r="N6" s="189"/>
      <c r="O6" s="189"/>
      <c r="P6" s="189"/>
      <c r="Q6" s="189"/>
    </row>
    <row r="7" spans="1:17" s="187" customFormat="1" ht="14.25">
      <c r="B7" s="194"/>
      <c r="C7" s="194"/>
      <c r="D7" s="195"/>
      <c r="E7" s="195"/>
      <c r="F7" s="195"/>
      <c r="G7" s="195"/>
      <c r="H7" s="195"/>
      <c r="I7" s="195"/>
      <c r="J7" s="195"/>
      <c r="K7" s="195"/>
      <c r="L7" s="195"/>
      <c r="M7" s="195"/>
      <c r="N7" s="195"/>
      <c r="O7" s="195"/>
      <c r="P7" s="195"/>
      <c r="Q7" s="195"/>
    </row>
    <row r="8" spans="1:17" s="187" customFormat="1">
      <c r="F8" s="1331" t="s">
        <v>3</v>
      </c>
      <c r="G8" s="1331"/>
      <c r="H8" s="1331"/>
      <c r="I8" s="1331"/>
      <c r="J8" s="178"/>
      <c r="K8" s="178"/>
      <c r="L8" s="178"/>
    </row>
    <row r="9" spans="1:17" s="187" customFormat="1" ht="14.25">
      <c r="F9" s="246" t="s">
        <v>210</v>
      </c>
      <c r="G9" s="387" t="s">
        <v>557</v>
      </c>
      <c r="I9" s="198"/>
      <c r="J9" s="198"/>
      <c r="L9" s="198"/>
    </row>
    <row r="10" spans="1:17" s="187" customFormat="1" ht="14.25">
      <c r="F10" s="246" t="s">
        <v>8</v>
      </c>
      <c r="G10" s="540" t="s">
        <v>622</v>
      </c>
      <c r="I10" s="198"/>
      <c r="J10" s="198"/>
      <c r="L10" s="198"/>
    </row>
    <row r="11" spans="1:17" s="187" customFormat="1" ht="14.25">
      <c r="F11" s="246" t="s">
        <v>9</v>
      </c>
      <c r="G11" s="540" t="s">
        <v>3995</v>
      </c>
      <c r="I11" s="198"/>
      <c r="J11" s="198"/>
      <c r="L11" s="198"/>
    </row>
    <row r="12" spans="1:17" s="187" customFormat="1" ht="14.25">
      <c r="F12" s="246" t="s">
        <v>10</v>
      </c>
      <c r="G12" s="540" t="s">
        <v>3890</v>
      </c>
      <c r="I12" s="198"/>
      <c r="J12" s="198"/>
      <c r="L12" s="198"/>
    </row>
    <row r="13" spans="1:17" s="187" customFormat="1" ht="14.25">
      <c r="D13" s="199"/>
      <c r="E13" s="199"/>
      <c r="F13" s="246" t="s">
        <v>12</v>
      </c>
      <c r="G13" s="540" t="s">
        <v>3899</v>
      </c>
      <c r="I13" s="198"/>
      <c r="J13" s="198"/>
      <c r="L13" s="198"/>
    </row>
    <row r="14" spans="1:17" s="187" customFormat="1" ht="14.25">
      <c r="F14" s="246"/>
      <c r="G14" s="540" t="s">
        <v>3900</v>
      </c>
      <c r="I14" s="198"/>
      <c r="J14" s="198"/>
      <c r="L14" s="198"/>
    </row>
    <row r="15" spans="1:17" s="187" customFormat="1" ht="14.25">
      <c r="F15" s="246" t="s">
        <v>13</v>
      </c>
      <c r="G15" s="540" t="s">
        <v>60</v>
      </c>
      <c r="I15" s="198"/>
      <c r="J15" s="198"/>
      <c r="L15" s="559"/>
    </row>
    <row r="16" spans="1:17" s="187" customFormat="1" ht="14.25">
      <c r="F16" s="246" t="s">
        <v>16</v>
      </c>
      <c r="G16" s="540" t="s">
        <v>61</v>
      </c>
      <c r="I16" s="201"/>
      <c r="J16" s="201"/>
      <c r="L16" s="201"/>
    </row>
    <row r="17" spans="1:19" s="187" customFormat="1" ht="14.25">
      <c r="F17" s="246" t="s">
        <v>220</v>
      </c>
      <c r="G17" s="540" t="s">
        <v>3893</v>
      </c>
      <c r="I17" s="201"/>
      <c r="J17" s="201"/>
      <c r="L17" s="201"/>
    </row>
    <row r="18" spans="1:19" s="187" customFormat="1" ht="14.25">
      <c r="F18" s="246" t="s">
        <v>21</v>
      </c>
      <c r="G18" s="540" t="s">
        <v>3891</v>
      </c>
      <c r="I18" s="201"/>
      <c r="J18" s="201"/>
      <c r="L18" s="201"/>
    </row>
    <row r="19" spans="1:19" s="187" customFormat="1" ht="14.25">
      <c r="F19" s="246" t="s">
        <v>22</v>
      </c>
      <c r="G19" s="540" t="s">
        <v>3888</v>
      </c>
      <c r="I19" s="201"/>
      <c r="J19" s="201"/>
      <c r="L19" s="201"/>
    </row>
    <row r="20" spans="1:19" s="187" customFormat="1" ht="14.25">
      <c r="F20" s="246"/>
      <c r="G20" s="540"/>
      <c r="I20" s="201"/>
      <c r="J20" s="201"/>
      <c r="L20" s="201"/>
    </row>
    <row r="21" spans="1:19" s="187" customFormat="1" ht="14.25">
      <c r="F21" s="246"/>
      <c r="G21" s="540"/>
      <c r="I21" s="201"/>
      <c r="J21" s="201"/>
      <c r="L21" s="201"/>
    </row>
    <row r="22" spans="1:19" s="187" customFormat="1" ht="14.25">
      <c r="D22" s="204"/>
      <c r="E22" s="204"/>
      <c r="F22" s="246"/>
      <c r="G22" s="541"/>
      <c r="K22" s="201"/>
    </row>
    <row r="23" spans="1:19" s="387" customFormat="1" ht="16.5" thickBot="1">
      <c r="A23" s="1188" t="s">
        <v>23</v>
      </c>
      <c r="B23" s="1352"/>
      <c r="C23" s="1352"/>
      <c r="D23" s="1352"/>
      <c r="E23" s="1352"/>
      <c r="F23" s="1352"/>
      <c r="G23" s="1352"/>
      <c r="H23" s="1352"/>
      <c r="I23" s="1352"/>
      <c r="J23" s="1352"/>
      <c r="K23" s="1352"/>
      <c r="L23" s="1352"/>
      <c r="M23" s="1352"/>
      <c r="N23" s="1023"/>
      <c r="O23" s="1032"/>
      <c r="P23" s="378"/>
      <c r="Q23" s="378"/>
    </row>
    <row r="24" spans="1:19" s="387" customFormat="1" ht="13.9" customHeight="1" thickBot="1">
      <c r="A24" s="1353" t="s">
        <v>887</v>
      </c>
      <c r="B24" s="1354"/>
      <c r="C24" s="1354"/>
      <c r="D24" s="1354"/>
      <c r="E24" s="1354"/>
      <c r="F24" s="1354"/>
      <c r="G24" s="1354"/>
      <c r="H24" s="1354"/>
      <c r="I24" s="1354"/>
      <c r="J24" s="1354"/>
      <c r="K24" s="1354"/>
      <c r="L24" s="1354"/>
      <c r="M24" s="1354"/>
      <c r="N24" s="1354"/>
      <c r="O24" s="1355"/>
      <c r="P24" s="564"/>
      <c r="Q24" s="564"/>
    </row>
    <row r="25" spans="1:19" s="187" customFormat="1" ht="12.75" customHeight="1">
      <c r="B25" s="203"/>
      <c r="C25" s="203"/>
      <c r="D25" s="204"/>
      <c r="E25" s="204"/>
      <c r="F25" s="205"/>
      <c r="G25" s="205"/>
      <c r="I25" s="188"/>
      <c r="J25" s="188"/>
      <c r="K25" s="188"/>
      <c r="L25" s="188"/>
    </row>
    <row r="26" spans="1:19" s="187" customFormat="1" ht="12.75" customHeight="1" thickBot="1">
      <c r="D26" s="204"/>
      <c r="E26" s="204"/>
      <c r="F26" s="205"/>
      <c r="G26" s="205"/>
      <c r="I26" s="206"/>
      <c r="J26" s="206"/>
      <c r="K26" s="206"/>
      <c r="L26" s="206"/>
    </row>
    <row r="27" spans="1:19" s="187" customFormat="1" ht="15.75" customHeight="1" thickBot="1">
      <c r="F27" s="1040" t="s">
        <v>167</v>
      </c>
      <c r="G27" s="1041"/>
      <c r="H27" s="1332" t="s">
        <v>168</v>
      </c>
      <c r="I27" s="1333"/>
      <c r="J27" s="1333"/>
      <c r="K27" s="1333"/>
      <c r="L27" s="1333"/>
      <c r="M27" s="1333"/>
      <c r="N27" s="1333"/>
      <c r="O27" s="1333"/>
      <c r="P27" s="1333"/>
      <c r="Q27" s="1334"/>
    </row>
    <row r="28" spans="1:19" s="209" customFormat="1" ht="63.75" customHeight="1" thickBot="1">
      <c r="A28" s="207" t="s">
        <v>122</v>
      </c>
      <c r="B28" s="207" t="s">
        <v>169</v>
      </c>
      <c r="C28" s="208" t="s">
        <v>170</v>
      </c>
      <c r="D28" s="208" t="s">
        <v>171</v>
      </c>
      <c r="E28" s="208" t="s">
        <v>172</v>
      </c>
      <c r="F28" s="208" t="s">
        <v>173</v>
      </c>
      <c r="G28" s="207" t="s">
        <v>174</v>
      </c>
      <c r="H28" s="208" t="s">
        <v>176</v>
      </c>
      <c r="I28" s="207" t="s">
        <v>174</v>
      </c>
      <c r="J28" s="208" t="s">
        <v>177</v>
      </c>
      <c r="K28" s="207" t="s">
        <v>174</v>
      </c>
      <c r="L28" s="208" t="s">
        <v>178</v>
      </c>
      <c r="M28" s="207" t="s">
        <v>174</v>
      </c>
      <c r="N28" s="208" t="s">
        <v>157</v>
      </c>
      <c r="O28" s="207" t="s">
        <v>174</v>
      </c>
      <c r="P28" s="208" t="s">
        <v>824</v>
      </c>
      <c r="Q28" s="207" t="s">
        <v>174</v>
      </c>
    </row>
    <row r="29" spans="1:19" s="213" customFormat="1" ht="26.25" customHeight="1" thickBot="1">
      <c r="A29" s="1345" t="s">
        <v>998</v>
      </c>
      <c r="B29" s="1347"/>
      <c r="C29" s="558" t="s">
        <v>3992</v>
      </c>
      <c r="D29" s="247" t="s">
        <v>3991</v>
      </c>
      <c r="E29" s="248">
        <v>102443</v>
      </c>
      <c r="F29" s="49">
        <f>SUM(E29:E30)*(1-61%)</f>
        <v>40053.78</v>
      </c>
      <c r="G29" s="1062">
        <f>F29*B29</f>
        <v>0</v>
      </c>
      <c r="H29" s="50">
        <f>F29*0.03137</f>
        <v>1256.4870786000001</v>
      </c>
      <c r="I29" s="1062">
        <f>H29*B29</f>
        <v>0</v>
      </c>
      <c r="J29" s="50">
        <f>F29*0.0274</f>
        <v>1097.4735720000001</v>
      </c>
      <c r="K29" s="1062">
        <f>J29*B29</f>
        <v>0</v>
      </c>
      <c r="L29" s="542">
        <f>F29*0.0228</f>
        <v>913.22618399999999</v>
      </c>
      <c r="M29" s="1062">
        <f>L29*B29</f>
        <v>0</v>
      </c>
      <c r="N29" s="542">
        <f>F29*0.0204</f>
        <v>817.09711200000004</v>
      </c>
      <c r="O29" s="1062">
        <f>N29*B29</f>
        <v>0</v>
      </c>
      <c r="P29" s="542">
        <f>F29*0.0185</f>
        <v>740.99492999999995</v>
      </c>
      <c r="Q29" s="1062">
        <f>P29*B29</f>
        <v>0</v>
      </c>
    </row>
    <row r="30" spans="1:19" s="244" customFormat="1" ht="13.5" customHeight="1" thickBot="1">
      <c r="A30" s="1346"/>
      <c r="B30" s="1348"/>
      <c r="C30" s="543" t="s">
        <v>104</v>
      </c>
      <c r="D30" s="544" t="s">
        <v>180</v>
      </c>
      <c r="E30" s="545">
        <v>259</v>
      </c>
      <c r="F30" s="428" t="s">
        <v>162</v>
      </c>
      <c r="G30" s="1349"/>
      <c r="H30" s="428" t="s">
        <v>162</v>
      </c>
      <c r="I30" s="1349"/>
      <c r="J30" s="428" t="s">
        <v>162</v>
      </c>
      <c r="K30" s="1349"/>
      <c r="L30" s="423" t="s">
        <v>162</v>
      </c>
      <c r="M30" s="1350"/>
      <c r="N30" s="423" t="s">
        <v>162</v>
      </c>
      <c r="O30" s="1351"/>
      <c r="P30" s="423" t="s">
        <v>162</v>
      </c>
      <c r="Q30" s="1351"/>
    </row>
    <row r="31" spans="1:19" s="244" customFormat="1" ht="13.9" customHeight="1" thickBot="1">
      <c r="A31" s="1337" t="s">
        <v>182</v>
      </c>
      <c r="B31" s="1338"/>
      <c r="C31" s="1338"/>
      <c r="D31" s="1338"/>
      <c r="E31" s="1338"/>
      <c r="F31" s="1338"/>
      <c r="G31" s="1338"/>
      <c r="H31" s="1338"/>
      <c r="I31" s="1338"/>
      <c r="J31" s="1338"/>
      <c r="K31" s="1338"/>
      <c r="L31" s="1338"/>
      <c r="M31" s="1338"/>
      <c r="N31" s="1338"/>
      <c r="O31" s="1338"/>
      <c r="P31" s="1338"/>
      <c r="Q31" s="1339"/>
      <c r="R31" s="547"/>
      <c r="S31" s="547"/>
    </row>
    <row r="32" spans="1:19" s="244" customFormat="1" ht="13.5" thickBot="1">
      <c r="A32" s="1340"/>
      <c r="B32" s="571"/>
      <c r="C32" s="572">
        <v>45162875</v>
      </c>
      <c r="D32" s="573" t="s">
        <v>762</v>
      </c>
      <c r="E32" s="574">
        <v>3030.9278350515465</v>
      </c>
      <c r="F32" s="575">
        <f t="shared" ref="F32:F63" si="0">E32*(1-45%)</f>
        <v>1667.0103092783506</v>
      </c>
      <c r="G32" s="17">
        <f t="shared" ref="G32:G63" si="1">F32*B32</f>
        <v>0</v>
      </c>
      <c r="H32" s="18">
        <f t="shared" ref="H32:H63" si="2">F32*0.03137</f>
        <v>52.294113402061861</v>
      </c>
      <c r="I32" s="18">
        <f t="shared" ref="I32:I63" si="3">H32*B32</f>
        <v>0</v>
      </c>
      <c r="J32" s="18">
        <f t="shared" ref="J32:J63" si="4">F32*0.0274</f>
        <v>45.67608247422681</v>
      </c>
      <c r="K32" s="18">
        <f t="shared" ref="K32:K63" si="5">J32*B32</f>
        <v>0</v>
      </c>
      <c r="L32" s="18">
        <f t="shared" ref="L32:L63" si="6">F32*0.0228</f>
        <v>38.007835051546394</v>
      </c>
      <c r="M32" s="18">
        <f t="shared" ref="M32:M63" si="7">L32*B32</f>
        <v>0</v>
      </c>
      <c r="N32" s="18">
        <f t="shared" ref="N32:N63" si="8">F32*0.0204</f>
        <v>34.007010309278357</v>
      </c>
      <c r="O32" s="18">
        <f t="shared" ref="O32:O63" si="9">N32*B32</f>
        <v>0</v>
      </c>
      <c r="P32" s="18">
        <f t="shared" ref="P32:P63" si="10">F32*0.0185</f>
        <v>30.839690721649486</v>
      </c>
      <c r="Q32" s="18">
        <f t="shared" ref="Q32:Q63" si="11">P32*B32</f>
        <v>0</v>
      </c>
      <c r="R32" s="743"/>
      <c r="S32" s="547"/>
    </row>
    <row r="33" spans="1:19" s="244" customFormat="1" ht="13.5" thickBot="1">
      <c r="A33" s="1340"/>
      <c r="B33" s="548"/>
      <c r="C33" s="549">
        <v>7640021191</v>
      </c>
      <c r="D33" s="550" t="s">
        <v>3887</v>
      </c>
      <c r="E33" s="557">
        <v>514.43298969072168</v>
      </c>
      <c r="F33" s="13">
        <f t="shared" si="0"/>
        <v>282.93814432989694</v>
      </c>
      <c r="G33" s="17">
        <f t="shared" si="1"/>
        <v>0</v>
      </c>
      <c r="H33" s="18">
        <f t="shared" si="2"/>
        <v>8.8757695876288683</v>
      </c>
      <c r="I33" s="18">
        <f t="shared" si="3"/>
        <v>0</v>
      </c>
      <c r="J33" s="18">
        <f t="shared" si="4"/>
        <v>7.7525051546391763</v>
      </c>
      <c r="K33" s="18">
        <f t="shared" si="5"/>
        <v>0</v>
      </c>
      <c r="L33" s="18">
        <f t="shared" si="6"/>
        <v>6.4509896907216504</v>
      </c>
      <c r="M33" s="18">
        <f t="shared" si="7"/>
        <v>0</v>
      </c>
      <c r="N33" s="18">
        <f t="shared" si="8"/>
        <v>5.7719381443298978</v>
      </c>
      <c r="O33" s="18">
        <f t="shared" si="9"/>
        <v>0</v>
      </c>
      <c r="P33" s="18">
        <f t="shared" si="10"/>
        <v>5.2343556701030929</v>
      </c>
      <c r="Q33" s="18">
        <f t="shared" si="11"/>
        <v>0</v>
      </c>
      <c r="R33" s="743"/>
      <c r="S33" s="547"/>
    </row>
    <row r="34" spans="1:19" s="244" customFormat="1" ht="13.5" thickBot="1">
      <c r="A34" s="1340"/>
      <c r="B34" s="548"/>
      <c r="C34" s="549">
        <v>45206625</v>
      </c>
      <c r="D34" s="550" t="s">
        <v>3881</v>
      </c>
      <c r="E34" s="557">
        <v>430.92783505154642</v>
      </c>
      <c r="F34" s="13">
        <f t="shared" si="0"/>
        <v>237.01030927835055</v>
      </c>
      <c r="G34" s="17">
        <f t="shared" si="1"/>
        <v>0</v>
      </c>
      <c r="H34" s="18">
        <f t="shared" si="2"/>
        <v>7.4350134020618572</v>
      </c>
      <c r="I34" s="18">
        <f t="shared" si="3"/>
        <v>0</v>
      </c>
      <c r="J34" s="18">
        <f t="shared" si="4"/>
        <v>6.4940824742268051</v>
      </c>
      <c r="K34" s="18">
        <f t="shared" si="5"/>
        <v>0</v>
      </c>
      <c r="L34" s="18">
        <f t="shared" si="6"/>
        <v>5.4038350515463929</v>
      </c>
      <c r="M34" s="18">
        <f t="shared" si="7"/>
        <v>0</v>
      </c>
      <c r="N34" s="18">
        <f t="shared" si="8"/>
        <v>4.8350103092783518</v>
      </c>
      <c r="O34" s="18">
        <f t="shared" si="9"/>
        <v>0</v>
      </c>
      <c r="P34" s="18">
        <f t="shared" si="10"/>
        <v>4.384690721649485</v>
      </c>
      <c r="Q34" s="18">
        <f t="shared" si="11"/>
        <v>0</v>
      </c>
      <c r="R34" s="743"/>
      <c r="S34" s="547"/>
    </row>
    <row r="35" spans="1:19" s="244" customFormat="1" ht="13.5" thickBot="1">
      <c r="A35" s="1340"/>
      <c r="B35" s="548"/>
      <c r="C35" s="551" t="s">
        <v>3491</v>
      </c>
      <c r="D35" s="552" t="s">
        <v>568</v>
      </c>
      <c r="E35" s="557">
        <v>411.34020618556701</v>
      </c>
      <c r="F35" s="13">
        <f t="shared" si="0"/>
        <v>226.23711340206188</v>
      </c>
      <c r="G35" s="17">
        <f t="shared" si="1"/>
        <v>0</v>
      </c>
      <c r="H35" s="18">
        <f t="shared" si="2"/>
        <v>7.097058247422682</v>
      </c>
      <c r="I35" s="18">
        <f t="shared" si="3"/>
        <v>0</v>
      </c>
      <c r="J35" s="18">
        <f t="shared" si="4"/>
        <v>6.1988969072164961</v>
      </c>
      <c r="K35" s="18">
        <f t="shared" si="5"/>
        <v>0</v>
      </c>
      <c r="L35" s="18">
        <f t="shared" si="6"/>
        <v>5.1582061855670114</v>
      </c>
      <c r="M35" s="18">
        <f t="shared" si="7"/>
        <v>0</v>
      </c>
      <c r="N35" s="18">
        <f t="shared" si="8"/>
        <v>4.6152371134020624</v>
      </c>
      <c r="O35" s="18">
        <f t="shared" si="9"/>
        <v>0</v>
      </c>
      <c r="P35" s="18">
        <f t="shared" si="10"/>
        <v>4.1853865979381446</v>
      </c>
      <c r="Q35" s="18">
        <f t="shared" si="11"/>
        <v>0</v>
      </c>
      <c r="R35" s="743"/>
      <c r="S35" s="547"/>
    </row>
    <row r="36" spans="1:19" s="244" customFormat="1" ht="13.5" thickBot="1">
      <c r="A36" s="1340"/>
      <c r="B36" s="548"/>
      <c r="C36" s="551" t="s">
        <v>541</v>
      </c>
      <c r="D36" s="552" t="s">
        <v>3957</v>
      </c>
      <c r="E36" s="557">
        <v>10886.59793814433</v>
      </c>
      <c r="F36" s="13">
        <f t="shared" si="0"/>
        <v>5987.6288659793818</v>
      </c>
      <c r="G36" s="17">
        <f t="shared" si="1"/>
        <v>0</v>
      </c>
      <c r="H36" s="18">
        <f t="shared" si="2"/>
        <v>187.83191752577321</v>
      </c>
      <c r="I36" s="18">
        <f t="shared" si="3"/>
        <v>0</v>
      </c>
      <c r="J36" s="18">
        <f t="shared" si="4"/>
        <v>164.06103092783508</v>
      </c>
      <c r="K36" s="18">
        <f t="shared" si="5"/>
        <v>0</v>
      </c>
      <c r="L36" s="18">
        <f t="shared" si="6"/>
        <v>136.51793814432992</v>
      </c>
      <c r="M36" s="18">
        <f t="shared" si="7"/>
        <v>0</v>
      </c>
      <c r="N36" s="18">
        <f t="shared" si="8"/>
        <v>122.1476288659794</v>
      </c>
      <c r="O36" s="18">
        <f t="shared" si="9"/>
        <v>0</v>
      </c>
      <c r="P36" s="18">
        <f t="shared" si="10"/>
        <v>110.77113402061856</v>
      </c>
      <c r="Q36" s="18">
        <f t="shared" si="11"/>
        <v>0</v>
      </c>
      <c r="R36" s="743"/>
      <c r="S36" s="547"/>
    </row>
    <row r="37" spans="1:19" s="244" customFormat="1" ht="13.5" thickBot="1">
      <c r="A37" s="1340"/>
      <c r="B37" s="548"/>
      <c r="C37" s="551" t="s">
        <v>3743</v>
      </c>
      <c r="D37" s="552" t="s">
        <v>3968</v>
      </c>
      <c r="E37" s="557">
        <v>3460.8247422680415</v>
      </c>
      <c r="F37" s="13">
        <f t="shared" si="0"/>
        <v>1903.4536082474231</v>
      </c>
      <c r="G37" s="17">
        <f t="shared" si="1"/>
        <v>0</v>
      </c>
      <c r="H37" s="18">
        <f t="shared" si="2"/>
        <v>59.711339690721665</v>
      </c>
      <c r="I37" s="18">
        <f t="shared" si="3"/>
        <v>0</v>
      </c>
      <c r="J37" s="18">
        <f t="shared" si="4"/>
        <v>52.15462886597939</v>
      </c>
      <c r="K37" s="18">
        <f t="shared" si="5"/>
        <v>0</v>
      </c>
      <c r="L37" s="18">
        <f t="shared" si="6"/>
        <v>43.398742268041246</v>
      </c>
      <c r="M37" s="18">
        <f t="shared" si="7"/>
        <v>0</v>
      </c>
      <c r="N37" s="18">
        <f t="shared" si="8"/>
        <v>38.830453608247431</v>
      </c>
      <c r="O37" s="18">
        <f t="shared" si="9"/>
        <v>0</v>
      </c>
      <c r="P37" s="18">
        <f t="shared" si="10"/>
        <v>35.213891752577325</v>
      </c>
      <c r="Q37" s="18">
        <f t="shared" si="11"/>
        <v>0</v>
      </c>
      <c r="R37" s="743"/>
      <c r="S37" s="547"/>
    </row>
    <row r="38" spans="1:19" s="244" customFormat="1" ht="13.5" thickBot="1">
      <c r="A38" s="1340"/>
      <c r="B38" s="548"/>
      <c r="C38" s="549" t="s">
        <v>3902</v>
      </c>
      <c r="D38" s="550" t="s">
        <v>3973</v>
      </c>
      <c r="E38" s="557">
        <v>2886.5979381443299</v>
      </c>
      <c r="F38" s="13">
        <f t="shared" si="0"/>
        <v>1587.6288659793815</v>
      </c>
      <c r="G38" s="17">
        <f t="shared" si="1"/>
        <v>0</v>
      </c>
      <c r="H38" s="18">
        <f t="shared" si="2"/>
        <v>49.803917525773201</v>
      </c>
      <c r="I38" s="18">
        <f t="shared" si="3"/>
        <v>0</v>
      </c>
      <c r="J38" s="18">
        <f t="shared" si="4"/>
        <v>43.501030927835053</v>
      </c>
      <c r="K38" s="18">
        <f t="shared" si="5"/>
        <v>0</v>
      </c>
      <c r="L38" s="18">
        <f t="shared" si="6"/>
        <v>36.197938144329903</v>
      </c>
      <c r="M38" s="18">
        <f t="shared" si="7"/>
        <v>0</v>
      </c>
      <c r="N38" s="18">
        <f t="shared" si="8"/>
        <v>32.387628865979387</v>
      </c>
      <c r="O38" s="18">
        <f t="shared" si="9"/>
        <v>0</v>
      </c>
      <c r="P38" s="18">
        <f t="shared" si="10"/>
        <v>29.371134020618555</v>
      </c>
      <c r="Q38" s="18">
        <f t="shared" si="11"/>
        <v>0</v>
      </c>
      <c r="R38" s="743"/>
      <c r="S38" s="547"/>
    </row>
    <row r="39" spans="1:19" s="244" customFormat="1" ht="13.5" thickBot="1">
      <c r="A39" s="1340"/>
      <c r="B39" s="548"/>
      <c r="C39" s="551" t="s">
        <v>3828</v>
      </c>
      <c r="D39" s="552" t="s">
        <v>3840</v>
      </c>
      <c r="E39" s="557">
        <v>2783.5051546391755</v>
      </c>
      <c r="F39" s="13">
        <f t="shared" si="0"/>
        <v>1530.9278350515467</v>
      </c>
      <c r="G39" s="17">
        <f t="shared" si="1"/>
        <v>0</v>
      </c>
      <c r="H39" s="18">
        <f t="shared" si="2"/>
        <v>48.025206185567022</v>
      </c>
      <c r="I39" s="18">
        <f t="shared" si="3"/>
        <v>0</v>
      </c>
      <c r="J39" s="18">
        <f t="shared" si="4"/>
        <v>41.94742268041238</v>
      </c>
      <c r="K39" s="18">
        <f t="shared" si="5"/>
        <v>0</v>
      </c>
      <c r="L39" s="18">
        <f t="shared" si="6"/>
        <v>34.905154639175265</v>
      </c>
      <c r="M39" s="18">
        <f t="shared" si="7"/>
        <v>0</v>
      </c>
      <c r="N39" s="18">
        <f t="shared" si="8"/>
        <v>31.230927835051556</v>
      </c>
      <c r="O39" s="18">
        <f t="shared" si="9"/>
        <v>0</v>
      </c>
      <c r="P39" s="18">
        <f t="shared" si="10"/>
        <v>28.322164948453612</v>
      </c>
      <c r="Q39" s="18">
        <f t="shared" si="11"/>
        <v>0</v>
      </c>
      <c r="R39" s="743"/>
      <c r="S39" s="547"/>
    </row>
    <row r="40" spans="1:19" s="244" customFormat="1" ht="13.5" thickBot="1">
      <c r="A40" s="1340"/>
      <c r="B40" s="548"/>
      <c r="C40" s="551">
        <v>7714914</v>
      </c>
      <c r="D40" s="552" t="s">
        <v>3929</v>
      </c>
      <c r="E40" s="557">
        <v>3471.3711340206187</v>
      </c>
      <c r="F40" s="13">
        <f t="shared" si="0"/>
        <v>1909.2541237113405</v>
      </c>
      <c r="G40" s="17">
        <f t="shared" si="1"/>
        <v>0</v>
      </c>
      <c r="H40" s="18">
        <f t="shared" si="2"/>
        <v>59.893301860824756</v>
      </c>
      <c r="I40" s="18">
        <f t="shared" si="3"/>
        <v>0</v>
      </c>
      <c r="J40" s="18">
        <f t="shared" si="4"/>
        <v>52.31356298969073</v>
      </c>
      <c r="K40" s="18">
        <f t="shared" si="5"/>
        <v>0</v>
      </c>
      <c r="L40" s="18">
        <f t="shared" si="6"/>
        <v>43.530994020618564</v>
      </c>
      <c r="M40" s="18">
        <f t="shared" si="7"/>
        <v>0</v>
      </c>
      <c r="N40" s="18">
        <f t="shared" si="8"/>
        <v>38.948784123711349</v>
      </c>
      <c r="O40" s="18">
        <f t="shared" si="9"/>
        <v>0</v>
      </c>
      <c r="P40" s="18">
        <f t="shared" si="10"/>
        <v>35.3212012886598</v>
      </c>
      <c r="Q40" s="18">
        <f t="shared" si="11"/>
        <v>0</v>
      </c>
      <c r="R40" s="743"/>
      <c r="S40" s="547"/>
    </row>
    <row r="41" spans="1:19" s="244" customFormat="1" ht="13.5" thickBot="1">
      <c r="A41" s="1340"/>
      <c r="B41" s="548"/>
      <c r="C41" s="549">
        <v>7714901</v>
      </c>
      <c r="D41" s="550" t="s">
        <v>3919</v>
      </c>
      <c r="E41" s="557">
        <v>1567.0721649484535</v>
      </c>
      <c r="F41" s="13">
        <f t="shared" si="0"/>
        <v>861.88969072164946</v>
      </c>
      <c r="G41" s="17">
        <f t="shared" si="1"/>
        <v>0</v>
      </c>
      <c r="H41" s="18">
        <f t="shared" si="2"/>
        <v>27.037479597938145</v>
      </c>
      <c r="I41" s="18">
        <f t="shared" si="3"/>
        <v>0</v>
      </c>
      <c r="J41" s="18">
        <f t="shared" si="4"/>
        <v>23.615777525773197</v>
      </c>
      <c r="K41" s="18">
        <f t="shared" si="5"/>
        <v>0</v>
      </c>
      <c r="L41" s="18">
        <f t="shared" si="6"/>
        <v>19.651084948453608</v>
      </c>
      <c r="M41" s="18">
        <f t="shared" si="7"/>
        <v>0</v>
      </c>
      <c r="N41" s="18">
        <f t="shared" si="8"/>
        <v>17.582549690721649</v>
      </c>
      <c r="O41" s="18">
        <f t="shared" si="9"/>
        <v>0</v>
      </c>
      <c r="P41" s="18">
        <f t="shared" si="10"/>
        <v>15.944959278350515</v>
      </c>
      <c r="Q41" s="18">
        <f t="shared" si="11"/>
        <v>0</v>
      </c>
      <c r="R41" s="743"/>
      <c r="S41" s="547"/>
    </row>
    <row r="42" spans="1:19" s="244" customFormat="1" ht="13.5" thickBot="1">
      <c r="A42" s="1340"/>
      <c r="B42" s="548"/>
      <c r="C42" s="551">
        <v>7714917</v>
      </c>
      <c r="D42" s="552" t="s">
        <v>3932</v>
      </c>
      <c r="E42" s="557">
        <v>4463.1855670103096</v>
      </c>
      <c r="F42" s="13">
        <f t="shared" si="0"/>
        <v>2454.7520618556705</v>
      </c>
      <c r="G42" s="17">
        <f t="shared" si="1"/>
        <v>0</v>
      </c>
      <c r="H42" s="18">
        <f t="shared" si="2"/>
        <v>77.005572180412386</v>
      </c>
      <c r="I42" s="18">
        <f t="shared" si="3"/>
        <v>0</v>
      </c>
      <c r="J42" s="18">
        <f t="shared" si="4"/>
        <v>67.260206494845377</v>
      </c>
      <c r="K42" s="18">
        <f t="shared" si="5"/>
        <v>0</v>
      </c>
      <c r="L42" s="18">
        <f t="shared" si="6"/>
        <v>55.968347010309287</v>
      </c>
      <c r="M42" s="18">
        <f t="shared" si="7"/>
        <v>0</v>
      </c>
      <c r="N42" s="18">
        <f t="shared" si="8"/>
        <v>50.076942061855682</v>
      </c>
      <c r="O42" s="18">
        <f t="shared" si="9"/>
        <v>0</v>
      </c>
      <c r="P42" s="18">
        <f t="shared" si="10"/>
        <v>45.412913144329899</v>
      </c>
      <c r="Q42" s="18">
        <f t="shared" si="11"/>
        <v>0</v>
      </c>
      <c r="R42" s="743"/>
      <c r="S42" s="547"/>
    </row>
    <row r="43" spans="1:19" s="244" customFormat="1" ht="13.5" thickBot="1">
      <c r="A43" s="1340"/>
      <c r="B43" s="548"/>
      <c r="C43" s="551">
        <v>7714911</v>
      </c>
      <c r="D43" s="552" t="s">
        <v>3926</v>
      </c>
      <c r="E43" s="557">
        <v>1368.7113402061857</v>
      </c>
      <c r="F43" s="13">
        <f t="shared" si="0"/>
        <v>752.79123711340219</v>
      </c>
      <c r="G43" s="17">
        <f t="shared" si="1"/>
        <v>0</v>
      </c>
      <c r="H43" s="18">
        <f t="shared" si="2"/>
        <v>23.615061108247428</v>
      </c>
      <c r="I43" s="18">
        <f t="shared" si="3"/>
        <v>0</v>
      </c>
      <c r="J43" s="18">
        <f t="shared" si="4"/>
        <v>20.62647989690722</v>
      </c>
      <c r="K43" s="18">
        <f t="shared" si="5"/>
        <v>0</v>
      </c>
      <c r="L43" s="18">
        <f t="shared" si="6"/>
        <v>17.163640206185569</v>
      </c>
      <c r="M43" s="18">
        <f t="shared" si="7"/>
        <v>0</v>
      </c>
      <c r="N43" s="18">
        <f t="shared" si="8"/>
        <v>15.356941237113405</v>
      </c>
      <c r="O43" s="18">
        <f t="shared" si="9"/>
        <v>0</v>
      </c>
      <c r="P43" s="18">
        <f t="shared" si="10"/>
        <v>13.926637886597939</v>
      </c>
      <c r="Q43" s="18">
        <f t="shared" si="11"/>
        <v>0</v>
      </c>
      <c r="R43" s="743"/>
      <c r="S43" s="547"/>
    </row>
    <row r="44" spans="1:19" s="244" customFormat="1" ht="13.5" thickBot="1">
      <c r="A44" s="1340"/>
      <c r="B44" s="548"/>
      <c r="C44" s="551">
        <v>7714902</v>
      </c>
      <c r="D44" s="552" t="s">
        <v>3920</v>
      </c>
      <c r="E44" s="557">
        <v>1567.0721649484535</v>
      </c>
      <c r="F44" s="13">
        <f t="shared" si="0"/>
        <v>861.88969072164946</v>
      </c>
      <c r="G44" s="17">
        <f t="shared" si="1"/>
        <v>0</v>
      </c>
      <c r="H44" s="18">
        <f t="shared" si="2"/>
        <v>27.037479597938145</v>
      </c>
      <c r="I44" s="18">
        <f t="shared" si="3"/>
        <v>0</v>
      </c>
      <c r="J44" s="18">
        <f t="shared" si="4"/>
        <v>23.615777525773197</v>
      </c>
      <c r="K44" s="18">
        <f t="shared" si="5"/>
        <v>0</v>
      </c>
      <c r="L44" s="18">
        <f t="shared" si="6"/>
        <v>19.651084948453608</v>
      </c>
      <c r="M44" s="18">
        <f t="shared" si="7"/>
        <v>0</v>
      </c>
      <c r="N44" s="18">
        <f t="shared" si="8"/>
        <v>17.582549690721649</v>
      </c>
      <c r="O44" s="18">
        <f t="shared" si="9"/>
        <v>0</v>
      </c>
      <c r="P44" s="18">
        <f t="shared" si="10"/>
        <v>15.944959278350515</v>
      </c>
      <c r="Q44" s="18">
        <f t="shared" si="11"/>
        <v>0</v>
      </c>
      <c r="R44" s="743"/>
      <c r="S44" s="547"/>
    </row>
    <row r="45" spans="1:19" s="244" customFormat="1" ht="13.5" thickBot="1">
      <c r="A45" s="1340"/>
      <c r="B45" s="548"/>
      <c r="C45" s="549">
        <v>7714912</v>
      </c>
      <c r="D45" s="550" t="s">
        <v>3927</v>
      </c>
      <c r="E45" s="557">
        <v>1487.7319587628865</v>
      </c>
      <c r="F45" s="13">
        <f t="shared" si="0"/>
        <v>818.25257731958766</v>
      </c>
      <c r="G45" s="17">
        <f t="shared" si="1"/>
        <v>0</v>
      </c>
      <c r="H45" s="18">
        <f t="shared" si="2"/>
        <v>25.668583350515465</v>
      </c>
      <c r="I45" s="18">
        <f t="shared" si="3"/>
        <v>0</v>
      </c>
      <c r="J45" s="18">
        <f t="shared" si="4"/>
        <v>22.420120618556702</v>
      </c>
      <c r="K45" s="18">
        <f t="shared" si="5"/>
        <v>0</v>
      </c>
      <c r="L45" s="18">
        <f t="shared" si="6"/>
        <v>18.656158762886598</v>
      </c>
      <c r="M45" s="18">
        <f t="shared" si="7"/>
        <v>0</v>
      </c>
      <c r="N45" s="18">
        <f t="shared" si="8"/>
        <v>16.692352577319589</v>
      </c>
      <c r="O45" s="18">
        <f t="shared" si="9"/>
        <v>0</v>
      </c>
      <c r="P45" s="18">
        <f t="shared" si="10"/>
        <v>15.13767268041237</v>
      </c>
      <c r="Q45" s="18">
        <f t="shared" si="11"/>
        <v>0</v>
      </c>
      <c r="R45" s="743"/>
      <c r="S45" s="547"/>
    </row>
    <row r="46" spans="1:19" s="244" customFormat="1" ht="13.5" thickBot="1">
      <c r="A46" s="1340"/>
      <c r="B46" s="548"/>
      <c r="C46" s="551">
        <v>7714903</v>
      </c>
      <c r="D46" s="552" t="s">
        <v>3921</v>
      </c>
      <c r="E46" s="557">
        <v>1567.0721649484535</v>
      </c>
      <c r="F46" s="13">
        <f t="shared" si="0"/>
        <v>861.88969072164946</v>
      </c>
      <c r="G46" s="17">
        <f t="shared" si="1"/>
        <v>0</v>
      </c>
      <c r="H46" s="18">
        <f t="shared" si="2"/>
        <v>27.037479597938145</v>
      </c>
      <c r="I46" s="18">
        <f t="shared" si="3"/>
        <v>0</v>
      </c>
      <c r="J46" s="18">
        <f t="shared" si="4"/>
        <v>23.615777525773197</v>
      </c>
      <c r="K46" s="18">
        <f t="shared" si="5"/>
        <v>0</v>
      </c>
      <c r="L46" s="18">
        <f t="shared" si="6"/>
        <v>19.651084948453608</v>
      </c>
      <c r="M46" s="18">
        <f t="shared" si="7"/>
        <v>0</v>
      </c>
      <c r="N46" s="18">
        <f t="shared" si="8"/>
        <v>17.582549690721649</v>
      </c>
      <c r="O46" s="18">
        <f t="shared" si="9"/>
        <v>0</v>
      </c>
      <c r="P46" s="18">
        <f t="shared" si="10"/>
        <v>15.944959278350515</v>
      </c>
      <c r="Q46" s="18">
        <f t="shared" si="11"/>
        <v>0</v>
      </c>
      <c r="R46" s="743"/>
      <c r="S46" s="547"/>
    </row>
    <row r="47" spans="1:19" s="244" customFormat="1" ht="13.5" thickBot="1">
      <c r="A47" s="1340"/>
      <c r="B47" s="548"/>
      <c r="C47" s="551">
        <v>7714913</v>
      </c>
      <c r="D47" s="552" t="s">
        <v>3928</v>
      </c>
      <c r="E47" s="557">
        <v>1487.7319587628865</v>
      </c>
      <c r="F47" s="13">
        <f t="shared" si="0"/>
        <v>818.25257731958766</v>
      </c>
      <c r="G47" s="17">
        <f t="shared" si="1"/>
        <v>0</v>
      </c>
      <c r="H47" s="18">
        <f t="shared" si="2"/>
        <v>25.668583350515465</v>
      </c>
      <c r="I47" s="18">
        <f t="shared" si="3"/>
        <v>0</v>
      </c>
      <c r="J47" s="18">
        <f t="shared" si="4"/>
        <v>22.420120618556702</v>
      </c>
      <c r="K47" s="18">
        <f t="shared" si="5"/>
        <v>0</v>
      </c>
      <c r="L47" s="18">
        <f t="shared" si="6"/>
        <v>18.656158762886598</v>
      </c>
      <c r="M47" s="18">
        <f t="shared" si="7"/>
        <v>0</v>
      </c>
      <c r="N47" s="18">
        <f t="shared" si="8"/>
        <v>16.692352577319589</v>
      </c>
      <c r="O47" s="18">
        <f t="shared" si="9"/>
        <v>0</v>
      </c>
      <c r="P47" s="18">
        <f t="shared" si="10"/>
        <v>15.13767268041237</v>
      </c>
      <c r="Q47" s="18">
        <f t="shared" si="11"/>
        <v>0</v>
      </c>
      <c r="R47" s="743"/>
      <c r="S47" s="547"/>
    </row>
    <row r="48" spans="1:19" s="244" customFormat="1" ht="13.5" thickBot="1">
      <c r="A48" s="1340"/>
      <c r="B48" s="548"/>
      <c r="C48" s="551">
        <v>7714906</v>
      </c>
      <c r="D48" s="552" t="s">
        <v>3924</v>
      </c>
      <c r="E48" s="557">
        <v>1487.7319587628865</v>
      </c>
      <c r="F48" s="13">
        <f t="shared" si="0"/>
        <v>818.25257731958766</v>
      </c>
      <c r="G48" s="17">
        <f t="shared" si="1"/>
        <v>0</v>
      </c>
      <c r="H48" s="18">
        <f t="shared" si="2"/>
        <v>25.668583350515465</v>
      </c>
      <c r="I48" s="18">
        <f t="shared" si="3"/>
        <v>0</v>
      </c>
      <c r="J48" s="18">
        <f t="shared" si="4"/>
        <v>22.420120618556702</v>
      </c>
      <c r="K48" s="18">
        <f t="shared" si="5"/>
        <v>0</v>
      </c>
      <c r="L48" s="18">
        <f t="shared" si="6"/>
        <v>18.656158762886598</v>
      </c>
      <c r="M48" s="18">
        <f t="shared" si="7"/>
        <v>0</v>
      </c>
      <c r="N48" s="18">
        <f t="shared" si="8"/>
        <v>16.692352577319589</v>
      </c>
      <c r="O48" s="18">
        <f t="shared" si="9"/>
        <v>0</v>
      </c>
      <c r="P48" s="18">
        <f t="shared" si="10"/>
        <v>15.13767268041237</v>
      </c>
      <c r="Q48" s="18">
        <f t="shared" si="11"/>
        <v>0</v>
      </c>
      <c r="R48" s="743"/>
      <c r="S48" s="547"/>
    </row>
    <row r="49" spans="1:19" s="244" customFormat="1" ht="13.5" thickBot="1">
      <c r="A49" s="1340"/>
      <c r="B49" s="548"/>
      <c r="C49" s="551">
        <v>7714904</v>
      </c>
      <c r="D49" s="552" t="s">
        <v>3922</v>
      </c>
      <c r="E49" s="557">
        <v>1487.7319587628865</v>
      </c>
      <c r="F49" s="13">
        <f t="shared" si="0"/>
        <v>818.25257731958766</v>
      </c>
      <c r="G49" s="17">
        <f t="shared" si="1"/>
        <v>0</v>
      </c>
      <c r="H49" s="18">
        <f t="shared" si="2"/>
        <v>25.668583350515465</v>
      </c>
      <c r="I49" s="18">
        <f t="shared" si="3"/>
        <v>0</v>
      </c>
      <c r="J49" s="18">
        <f t="shared" si="4"/>
        <v>22.420120618556702</v>
      </c>
      <c r="K49" s="18">
        <f t="shared" si="5"/>
        <v>0</v>
      </c>
      <c r="L49" s="18">
        <f t="shared" si="6"/>
        <v>18.656158762886598</v>
      </c>
      <c r="M49" s="18">
        <f t="shared" si="7"/>
        <v>0</v>
      </c>
      <c r="N49" s="18">
        <f t="shared" si="8"/>
        <v>16.692352577319589</v>
      </c>
      <c r="O49" s="18">
        <f t="shared" si="9"/>
        <v>0</v>
      </c>
      <c r="P49" s="18">
        <f t="shared" si="10"/>
        <v>15.13767268041237</v>
      </c>
      <c r="Q49" s="18">
        <f t="shared" si="11"/>
        <v>0</v>
      </c>
      <c r="R49" s="743"/>
      <c r="S49" s="547"/>
    </row>
    <row r="50" spans="1:19" s="244" customFormat="1" ht="13.5" thickBot="1">
      <c r="A50" s="1340"/>
      <c r="B50" s="548"/>
      <c r="C50" s="551">
        <v>7714918</v>
      </c>
      <c r="D50" s="552" t="s">
        <v>3933</v>
      </c>
      <c r="E50" s="557">
        <v>2578.7319587628867</v>
      </c>
      <c r="F50" s="13">
        <f t="shared" si="0"/>
        <v>1418.3025773195877</v>
      </c>
      <c r="G50" s="17">
        <f t="shared" si="1"/>
        <v>0</v>
      </c>
      <c r="H50" s="18">
        <f t="shared" si="2"/>
        <v>44.492151850515469</v>
      </c>
      <c r="I50" s="18">
        <f t="shared" si="3"/>
        <v>0</v>
      </c>
      <c r="J50" s="18">
        <f t="shared" si="4"/>
        <v>38.861490618556708</v>
      </c>
      <c r="K50" s="18">
        <f t="shared" si="5"/>
        <v>0</v>
      </c>
      <c r="L50" s="18">
        <f t="shared" si="6"/>
        <v>32.337298762886604</v>
      </c>
      <c r="M50" s="18">
        <f t="shared" si="7"/>
        <v>0</v>
      </c>
      <c r="N50" s="18">
        <f t="shared" si="8"/>
        <v>28.933372577319592</v>
      </c>
      <c r="O50" s="18">
        <f t="shared" si="9"/>
        <v>0</v>
      </c>
      <c r="P50" s="18">
        <f t="shared" si="10"/>
        <v>26.238597680412372</v>
      </c>
      <c r="Q50" s="18">
        <f t="shared" si="11"/>
        <v>0</v>
      </c>
      <c r="R50" s="743"/>
      <c r="S50" s="547"/>
    </row>
    <row r="51" spans="1:19" s="244" customFormat="1" ht="13.5" thickBot="1">
      <c r="A51" s="1340"/>
      <c r="B51" s="548"/>
      <c r="C51" s="549">
        <v>7714905</v>
      </c>
      <c r="D51" s="550" t="s">
        <v>3923</v>
      </c>
      <c r="E51" s="557">
        <v>1487.7319587628865</v>
      </c>
      <c r="F51" s="13">
        <f t="shared" si="0"/>
        <v>818.25257731958766</v>
      </c>
      <c r="G51" s="17">
        <f t="shared" si="1"/>
        <v>0</v>
      </c>
      <c r="H51" s="18">
        <f t="shared" si="2"/>
        <v>25.668583350515465</v>
      </c>
      <c r="I51" s="18">
        <f t="shared" si="3"/>
        <v>0</v>
      </c>
      <c r="J51" s="18">
        <f t="shared" si="4"/>
        <v>22.420120618556702</v>
      </c>
      <c r="K51" s="18">
        <f t="shared" si="5"/>
        <v>0</v>
      </c>
      <c r="L51" s="18">
        <f t="shared" si="6"/>
        <v>18.656158762886598</v>
      </c>
      <c r="M51" s="18">
        <f t="shared" si="7"/>
        <v>0</v>
      </c>
      <c r="N51" s="18">
        <f t="shared" si="8"/>
        <v>16.692352577319589</v>
      </c>
      <c r="O51" s="18">
        <f t="shared" si="9"/>
        <v>0</v>
      </c>
      <c r="P51" s="18">
        <f t="shared" si="10"/>
        <v>15.13767268041237</v>
      </c>
      <c r="Q51" s="18">
        <f t="shared" si="11"/>
        <v>0</v>
      </c>
      <c r="R51" s="743"/>
      <c r="S51" s="547"/>
    </row>
    <row r="52" spans="1:19" s="244" customFormat="1" ht="13.5" thickBot="1">
      <c r="A52" s="1340"/>
      <c r="B52" s="548"/>
      <c r="C52" s="551">
        <v>7714919</v>
      </c>
      <c r="D52" s="552" t="s">
        <v>3934</v>
      </c>
      <c r="E52" s="557">
        <v>4959.1030927835054</v>
      </c>
      <c r="F52" s="13">
        <f t="shared" si="0"/>
        <v>2727.5067010309281</v>
      </c>
      <c r="G52" s="17">
        <f t="shared" si="1"/>
        <v>0</v>
      </c>
      <c r="H52" s="18">
        <f t="shared" si="2"/>
        <v>85.561885211340226</v>
      </c>
      <c r="I52" s="18">
        <f t="shared" si="3"/>
        <v>0</v>
      </c>
      <c r="J52" s="18">
        <f t="shared" si="4"/>
        <v>74.733683608247432</v>
      </c>
      <c r="K52" s="18">
        <f t="shared" si="5"/>
        <v>0</v>
      </c>
      <c r="L52" s="18">
        <f t="shared" si="6"/>
        <v>62.187152783505162</v>
      </c>
      <c r="M52" s="18">
        <f t="shared" si="7"/>
        <v>0</v>
      </c>
      <c r="N52" s="18">
        <f t="shared" si="8"/>
        <v>55.641136701030938</v>
      </c>
      <c r="O52" s="18">
        <f t="shared" si="9"/>
        <v>0</v>
      </c>
      <c r="P52" s="18">
        <f t="shared" si="10"/>
        <v>50.458873969072165</v>
      </c>
      <c r="Q52" s="18">
        <f t="shared" si="11"/>
        <v>0</v>
      </c>
      <c r="R52" s="743"/>
      <c r="S52" s="547"/>
    </row>
    <row r="53" spans="1:19" s="244" customFormat="1" ht="13.5" thickBot="1">
      <c r="A53" s="1340"/>
      <c r="B53" s="548"/>
      <c r="C53" s="551">
        <v>7714915</v>
      </c>
      <c r="D53" s="552" t="s">
        <v>3930</v>
      </c>
      <c r="E53" s="557">
        <v>1586.9072164948454</v>
      </c>
      <c r="F53" s="13">
        <f t="shared" si="0"/>
        <v>872.79896907216505</v>
      </c>
      <c r="G53" s="17">
        <f t="shared" si="1"/>
        <v>0</v>
      </c>
      <c r="H53" s="18">
        <f t="shared" si="2"/>
        <v>27.379703659793819</v>
      </c>
      <c r="I53" s="18">
        <f t="shared" si="3"/>
        <v>0</v>
      </c>
      <c r="J53" s="18">
        <f t="shared" si="4"/>
        <v>23.914691752577323</v>
      </c>
      <c r="K53" s="18">
        <f t="shared" si="5"/>
        <v>0</v>
      </c>
      <c r="L53" s="18">
        <f t="shared" si="6"/>
        <v>19.899816494845364</v>
      </c>
      <c r="M53" s="18">
        <f t="shared" si="7"/>
        <v>0</v>
      </c>
      <c r="N53" s="18">
        <f t="shared" si="8"/>
        <v>17.805098969072169</v>
      </c>
      <c r="O53" s="18">
        <f t="shared" si="9"/>
        <v>0</v>
      </c>
      <c r="P53" s="18">
        <f t="shared" si="10"/>
        <v>16.146780927835053</v>
      </c>
      <c r="Q53" s="18">
        <f t="shared" si="11"/>
        <v>0</v>
      </c>
      <c r="R53" s="743"/>
      <c r="S53" s="547"/>
    </row>
    <row r="54" spans="1:19" s="244" customFormat="1" ht="13.5" thickBot="1">
      <c r="A54" s="1340"/>
      <c r="B54" s="548"/>
      <c r="C54" s="551">
        <v>7714916</v>
      </c>
      <c r="D54" s="552" t="s">
        <v>3931</v>
      </c>
      <c r="E54" s="557">
        <v>1586.9072164948454</v>
      </c>
      <c r="F54" s="13">
        <f t="shared" si="0"/>
        <v>872.79896907216505</v>
      </c>
      <c r="G54" s="17">
        <f t="shared" si="1"/>
        <v>0</v>
      </c>
      <c r="H54" s="18">
        <f t="shared" si="2"/>
        <v>27.379703659793819</v>
      </c>
      <c r="I54" s="18">
        <f t="shared" si="3"/>
        <v>0</v>
      </c>
      <c r="J54" s="18">
        <f t="shared" si="4"/>
        <v>23.914691752577323</v>
      </c>
      <c r="K54" s="18">
        <f t="shared" si="5"/>
        <v>0</v>
      </c>
      <c r="L54" s="18">
        <f t="shared" si="6"/>
        <v>19.899816494845364</v>
      </c>
      <c r="M54" s="18">
        <f t="shared" si="7"/>
        <v>0</v>
      </c>
      <c r="N54" s="18">
        <f t="shared" si="8"/>
        <v>17.805098969072169</v>
      </c>
      <c r="O54" s="18">
        <f t="shared" si="9"/>
        <v>0</v>
      </c>
      <c r="P54" s="18">
        <f t="shared" si="10"/>
        <v>16.146780927835053</v>
      </c>
      <c r="Q54" s="18">
        <f t="shared" si="11"/>
        <v>0</v>
      </c>
      <c r="R54" s="743"/>
      <c r="S54" s="547"/>
    </row>
    <row r="55" spans="1:19" s="244" customFormat="1" ht="13.5" thickBot="1">
      <c r="A55" s="1340"/>
      <c r="B55" s="548"/>
      <c r="C55" s="551">
        <v>7714909</v>
      </c>
      <c r="D55" s="552" t="s">
        <v>3925</v>
      </c>
      <c r="E55" s="557">
        <v>1567.0721649484535</v>
      </c>
      <c r="F55" s="13">
        <f t="shared" si="0"/>
        <v>861.88969072164946</v>
      </c>
      <c r="G55" s="17">
        <f t="shared" si="1"/>
        <v>0</v>
      </c>
      <c r="H55" s="18">
        <f t="shared" si="2"/>
        <v>27.037479597938145</v>
      </c>
      <c r="I55" s="18">
        <f t="shared" si="3"/>
        <v>0</v>
      </c>
      <c r="J55" s="18">
        <f t="shared" si="4"/>
        <v>23.615777525773197</v>
      </c>
      <c r="K55" s="18">
        <f t="shared" si="5"/>
        <v>0</v>
      </c>
      <c r="L55" s="18">
        <f t="shared" si="6"/>
        <v>19.651084948453608</v>
      </c>
      <c r="M55" s="18">
        <f t="shared" si="7"/>
        <v>0</v>
      </c>
      <c r="N55" s="18">
        <f t="shared" si="8"/>
        <v>17.582549690721649</v>
      </c>
      <c r="O55" s="18">
        <f t="shared" si="9"/>
        <v>0</v>
      </c>
      <c r="P55" s="18">
        <f t="shared" si="10"/>
        <v>15.944959278350515</v>
      </c>
      <c r="Q55" s="18">
        <f t="shared" si="11"/>
        <v>0</v>
      </c>
      <c r="R55" s="743"/>
      <c r="S55" s="547"/>
    </row>
    <row r="56" spans="1:19" s="244" customFormat="1" ht="13.5" thickBot="1">
      <c r="A56" s="1340"/>
      <c r="B56" s="548"/>
      <c r="C56" s="549" t="s">
        <v>3834</v>
      </c>
      <c r="D56" s="550" t="s">
        <v>3867</v>
      </c>
      <c r="E56" s="557">
        <v>5154.6391752577319</v>
      </c>
      <c r="F56" s="13">
        <f t="shared" si="0"/>
        <v>2835.0515463917527</v>
      </c>
      <c r="G56" s="17">
        <f t="shared" si="1"/>
        <v>0</v>
      </c>
      <c r="H56" s="18">
        <f t="shared" si="2"/>
        <v>88.935567010309285</v>
      </c>
      <c r="I56" s="18">
        <f t="shared" si="3"/>
        <v>0</v>
      </c>
      <c r="J56" s="18">
        <f t="shared" si="4"/>
        <v>77.680412371134025</v>
      </c>
      <c r="K56" s="18">
        <f t="shared" si="5"/>
        <v>0</v>
      </c>
      <c r="L56" s="18">
        <f t="shared" si="6"/>
        <v>64.639175257731964</v>
      </c>
      <c r="M56" s="18">
        <f t="shared" si="7"/>
        <v>0</v>
      </c>
      <c r="N56" s="18">
        <f t="shared" si="8"/>
        <v>57.83505154639176</v>
      </c>
      <c r="O56" s="18">
        <f t="shared" si="9"/>
        <v>0</v>
      </c>
      <c r="P56" s="18">
        <f t="shared" si="10"/>
        <v>52.448453608247419</v>
      </c>
      <c r="Q56" s="18">
        <f t="shared" si="11"/>
        <v>0</v>
      </c>
      <c r="R56" s="743"/>
      <c r="S56" s="547"/>
    </row>
    <row r="57" spans="1:19" s="244" customFormat="1" ht="13.5" thickBot="1">
      <c r="A57" s="1340"/>
      <c r="B57" s="548"/>
      <c r="C57" s="551">
        <v>45204557</v>
      </c>
      <c r="D57" s="552" t="s">
        <v>3987</v>
      </c>
      <c r="E57" s="557">
        <v>12360.824742268042</v>
      </c>
      <c r="F57" s="13">
        <f t="shared" si="0"/>
        <v>6798.4536082474233</v>
      </c>
      <c r="G57" s="17">
        <f t="shared" si="1"/>
        <v>0</v>
      </c>
      <c r="H57" s="18">
        <f t="shared" si="2"/>
        <v>213.26748969072167</v>
      </c>
      <c r="I57" s="18">
        <f t="shared" si="3"/>
        <v>0</v>
      </c>
      <c r="J57" s="18">
        <f t="shared" si="4"/>
        <v>186.27762886597941</v>
      </c>
      <c r="K57" s="18">
        <f t="shared" si="5"/>
        <v>0</v>
      </c>
      <c r="L57" s="18">
        <f t="shared" si="6"/>
        <v>155.00474226804127</v>
      </c>
      <c r="M57" s="18">
        <f t="shared" si="7"/>
        <v>0</v>
      </c>
      <c r="N57" s="18">
        <f t="shared" si="8"/>
        <v>138.68845360824744</v>
      </c>
      <c r="O57" s="18">
        <f t="shared" si="9"/>
        <v>0</v>
      </c>
      <c r="P57" s="18">
        <f t="shared" si="10"/>
        <v>125.77139175257733</v>
      </c>
      <c r="Q57" s="18">
        <f t="shared" si="11"/>
        <v>0</v>
      </c>
      <c r="R57" s="743"/>
      <c r="S57" s="547"/>
    </row>
    <row r="58" spans="1:19" s="244" customFormat="1" ht="13.5" thickBot="1">
      <c r="A58" s="1340"/>
      <c r="B58" s="548"/>
      <c r="C58" s="551">
        <v>45204332</v>
      </c>
      <c r="D58" s="552" t="s">
        <v>3986</v>
      </c>
      <c r="E58" s="557">
        <v>13917.525773195877</v>
      </c>
      <c r="F58" s="13">
        <f t="shared" si="0"/>
        <v>7654.6391752577329</v>
      </c>
      <c r="G58" s="17">
        <f t="shared" si="1"/>
        <v>0</v>
      </c>
      <c r="H58" s="18">
        <f t="shared" si="2"/>
        <v>240.1260309278351</v>
      </c>
      <c r="I58" s="18">
        <f t="shared" si="3"/>
        <v>0</v>
      </c>
      <c r="J58" s="18">
        <f t="shared" si="4"/>
        <v>209.73711340206188</v>
      </c>
      <c r="K58" s="18">
        <f t="shared" si="5"/>
        <v>0</v>
      </c>
      <c r="L58" s="18">
        <f t="shared" si="6"/>
        <v>174.52577319587633</v>
      </c>
      <c r="M58" s="18">
        <f t="shared" si="7"/>
        <v>0</v>
      </c>
      <c r="N58" s="18">
        <f t="shared" si="8"/>
        <v>156.15463917525776</v>
      </c>
      <c r="O58" s="18">
        <f t="shared" si="9"/>
        <v>0</v>
      </c>
      <c r="P58" s="18">
        <f t="shared" si="10"/>
        <v>141.61082474226805</v>
      </c>
      <c r="Q58" s="18">
        <f t="shared" si="11"/>
        <v>0</v>
      </c>
      <c r="R58" s="743"/>
      <c r="S58" s="547"/>
    </row>
    <row r="59" spans="1:19" s="244" customFormat="1" ht="13.5" thickBot="1">
      <c r="A59" s="1340"/>
      <c r="B59" s="548"/>
      <c r="C59" s="549">
        <v>45111142</v>
      </c>
      <c r="D59" s="550" t="s">
        <v>3819</v>
      </c>
      <c r="E59" s="557">
        <v>1025.7731958762886</v>
      </c>
      <c r="F59" s="13">
        <f t="shared" si="0"/>
        <v>564.17525773195882</v>
      </c>
      <c r="G59" s="17">
        <f t="shared" si="1"/>
        <v>0</v>
      </c>
      <c r="H59" s="18">
        <f t="shared" si="2"/>
        <v>17.698177835051549</v>
      </c>
      <c r="I59" s="18">
        <f t="shared" si="3"/>
        <v>0</v>
      </c>
      <c r="J59" s="18">
        <f t="shared" si="4"/>
        <v>15.458402061855672</v>
      </c>
      <c r="K59" s="18">
        <f t="shared" si="5"/>
        <v>0</v>
      </c>
      <c r="L59" s="18">
        <f t="shared" si="6"/>
        <v>12.863195876288662</v>
      </c>
      <c r="M59" s="18">
        <f t="shared" si="7"/>
        <v>0</v>
      </c>
      <c r="N59" s="18">
        <f t="shared" si="8"/>
        <v>11.509175257731961</v>
      </c>
      <c r="O59" s="18">
        <f t="shared" si="9"/>
        <v>0</v>
      </c>
      <c r="P59" s="18">
        <f t="shared" si="10"/>
        <v>10.437242268041238</v>
      </c>
      <c r="Q59" s="18">
        <f t="shared" si="11"/>
        <v>0</v>
      </c>
      <c r="R59" s="743"/>
      <c r="S59" s="547"/>
    </row>
    <row r="60" spans="1:19" s="244" customFormat="1" ht="13.5" thickBot="1">
      <c r="A60" s="1340"/>
      <c r="B60" s="548"/>
      <c r="C60" s="551" t="s">
        <v>3836</v>
      </c>
      <c r="D60" s="552" t="s">
        <v>3885</v>
      </c>
      <c r="E60" s="557">
        <v>1608.2474226804125</v>
      </c>
      <c r="F60" s="13">
        <f t="shared" si="0"/>
        <v>884.53608247422687</v>
      </c>
      <c r="G60" s="17">
        <f t="shared" si="1"/>
        <v>0</v>
      </c>
      <c r="H60" s="18">
        <f t="shared" si="2"/>
        <v>27.7478969072165</v>
      </c>
      <c r="I60" s="18">
        <f t="shared" si="3"/>
        <v>0</v>
      </c>
      <c r="J60" s="18">
        <f t="shared" si="4"/>
        <v>24.236288659793818</v>
      </c>
      <c r="K60" s="18">
        <f t="shared" si="5"/>
        <v>0</v>
      </c>
      <c r="L60" s="18">
        <f t="shared" si="6"/>
        <v>20.167422680412372</v>
      </c>
      <c r="M60" s="18">
        <f t="shared" si="7"/>
        <v>0</v>
      </c>
      <c r="N60" s="18">
        <f t="shared" si="8"/>
        <v>18.044536082474231</v>
      </c>
      <c r="O60" s="18">
        <f t="shared" si="9"/>
        <v>0</v>
      </c>
      <c r="P60" s="18">
        <f t="shared" si="10"/>
        <v>16.363917525773196</v>
      </c>
      <c r="Q60" s="18">
        <f t="shared" si="11"/>
        <v>0</v>
      </c>
      <c r="R60" s="743"/>
      <c r="S60" s="547"/>
    </row>
    <row r="61" spans="1:19" s="244" customFormat="1" ht="13.5" thickBot="1">
      <c r="A61" s="1340"/>
      <c r="B61" s="548"/>
      <c r="C61" s="551">
        <v>7717974</v>
      </c>
      <c r="D61" s="552" t="s">
        <v>3945</v>
      </c>
      <c r="E61" s="557">
        <v>153.49484536082474</v>
      </c>
      <c r="F61" s="13">
        <f t="shared" si="0"/>
        <v>84.422164948453613</v>
      </c>
      <c r="G61" s="17">
        <f t="shared" si="1"/>
        <v>0</v>
      </c>
      <c r="H61" s="18">
        <f t="shared" si="2"/>
        <v>2.6483233144329899</v>
      </c>
      <c r="I61" s="18">
        <f t="shared" si="3"/>
        <v>0</v>
      </c>
      <c r="J61" s="18">
        <f t="shared" si="4"/>
        <v>2.3131673195876292</v>
      </c>
      <c r="K61" s="18">
        <f t="shared" si="5"/>
        <v>0</v>
      </c>
      <c r="L61" s="18">
        <f t="shared" si="6"/>
        <v>1.9248253608247425</v>
      </c>
      <c r="M61" s="18">
        <f t="shared" si="7"/>
        <v>0</v>
      </c>
      <c r="N61" s="18">
        <f t="shared" si="8"/>
        <v>1.7222121649484539</v>
      </c>
      <c r="O61" s="18">
        <f t="shared" si="9"/>
        <v>0</v>
      </c>
      <c r="P61" s="18">
        <f t="shared" si="10"/>
        <v>1.5618100515463917</v>
      </c>
      <c r="Q61" s="18">
        <f t="shared" si="11"/>
        <v>0</v>
      </c>
      <c r="R61" s="743"/>
      <c r="S61" s="547"/>
    </row>
    <row r="62" spans="1:19" s="244" customFormat="1" ht="13.5" thickBot="1">
      <c r="A62" s="1340"/>
      <c r="B62" s="548"/>
      <c r="C62" s="551">
        <v>7717968</v>
      </c>
      <c r="D62" s="552" t="s">
        <v>3940</v>
      </c>
      <c r="E62" s="557">
        <v>141.35051546391753</v>
      </c>
      <c r="F62" s="13">
        <f t="shared" si="0"/>
        <v>77.742783505154648</v>
      </c>
      <c r="G62" s="17">
        <f t="shared" si="1"/>
        <v>0</v>
      </c>
      <c r="H62" s="18">
        <f t="shared" si="2"/>
        <v>2.4387911185567015</v>
      </c>
      <c r="I62" s="18">
        <f t="shared" si="3"/>
        <v>0</v>
      </c>
      <c r="J62" s="18">
        <f t="shared" si="4"/>
        <v>2.1301522680412375</v>
      </c>
      <c r="K62" s="18">
        <f t="shared" si="5"/>
        <v>0</v>
      </c>
      <c r="L62" s="18">
        <f t="shared" si="6"/>
        <v>1.7725354639175261</v>
      </c>
      <c r="M62" s="18">
        <f t="shared" si="7"/>
        <v>0</v>
      </c>
      <c r="N62" s="18">
        <f t="shared" si="8"/>
        <v>1.585952783505155</v>
      </c>
      <c r="O62" s="18">
        <f t="shared" si="9"/>
        <v>0</v>
      </c>
      <c r="P62" s="18">
        <f t="shared" si="10"/>
        <v>1.438241494845361</v>
      </c>
      <c r="Q62" s="18">
        <f t="shared" si="11"/>
        <v>0</v>
      </c>
      <c r="R62" s="743"/>
      <c r="S62" s="547"/>
    </row>
    <row r="63" spans="1:19" s="244" customFormat="1" ht="13.5" thickBot="1">
      <c r="A63" s="1340"/>
      <c r="B63" s="548"/>
      <c r="C63" s="551">
        <v>7717962</v>
      </c>
      <c r="D63" s="552" t="s">
        <v>3935</v>
      </c>
      <c r="E63" s="557">
        <v>139.97938144329896</v>
      </c>
      <c r="F63" s="13">
        <f t="shared" si="0"/>
        <v>76.988659793814435</v>
      </c>
      <c r="G63" s="17">
        <f t="shared" si="1"/>
        <v>0</v>
      </c>
      <c r="H63" s="18">
        <f t="shared" si="2"/>
        <v>2.415134257731959</v>
      </c>
      <c r="I63" s="18">
        <f t="shared" si="3"/>
        <v>0</v>
      </c>
      <c r="J63" s="18">
        <f t="shared" si="4"/>
        <v>2.1094892783505155</v>
      </c>
      <c r="K63" s="18">
        <f t="shared" si="5"/>
        <v>0</v>
      </c>
      <c r="L63" s="18">
        <f t="shared" si="6"/>
        <v>1.7553414432989691</v>
      </c>
      <c r="M63" s="18">
        <f t="shared" si="7"/>
        <v>0</v>
      </c>
      <c r="N63" s="18">
        <f t="shared" si="8"/>
        <v>1.5705686597938147</v>
      </c>
      <c r="O63" s="18">
        <f t="shared" si="9"/>
        <v>0</v>
      </c>
      <c r="P63" s="18">
        <f t="shared" si="10"/>
        <v>1.4242902061855669</v>
      </c>
      <c r="Q63" s="18">
        <f t="shared" si="11"/>
        <v>0</v>
      </c>
      <c r="R63" s="743"/>
      <c r="S63" s="547"/>
    </row>
    <row r="64" spans="1:19" s="244" customFormat="1" ht="13.5" thickBot="1">
      <c r="A64" s="1340"/>
      <c r="B64" s="548"/>
      <c r="C64" s="549">
        <v>7717963</v>
      </c>
      <c r="D64" s="550" t="s">
        <v>3936</v>
      </c>
      <c r="E64" s="557">
        <v>121.81443298969072</v>
      </c>
      <c r="F64" s="13">
        <f t="shared" ref="F64:F95" si="12">E64*(1-45%)</f>
        <v>66.997938144329893</v>
      </c>
      <c r="G64" s="17">
        <f t="shared" ref="G64:G95" si="13">F64*B64</f>
        <v>0</v>
      </c>
      <c r="H64" s="18">
        <f t="shared" ref="H64:H95" si="14">F64*0.03137</f>
        <v>2.1017253195876289</v>
      </c>
      <c r="I64" s="18">
        <f t="shared" ref="I64:I95" si="15">H64*B64</f>
        <v>0</v>
      </c>
      <c r="J64" s="18">
        <f t="shared" ref="J64:J95" si="16">F64*0.0274</f>
        <v>1.8357435051546391</v>
      </c>
      <c r="K64" s="18">
        <f t="shared" ref="K64:K95" si="17">J64*B64</f>
        <v>0</v>
      </c>
      <c r="L64" s="18">
        <f t="shared" ref="L64:L95" si="18">F64*0.0228</f>
        <v>1.5275529896907216</v>
      </c>
      <c r="M64" s="18">
        <f t="shared" ref="M64:M95" si="19">L64*B64</f>
        <v>0</v>
      </c>
      <c r="N64" s="18">
        <f t="shared" ref="N64:N95" si="20">F64*0.0204</f>
        <v>1.36675793814433</v>
      </c>
      <c r="O64" s="18">
        <f t="shared" ref="O64:O95" si="21">N64*B64</f>
        <v>0</v>
      </c>
      <c r="P64" s="18">
        <f t="shared" ref="P64:P95" si="22">F64*0.0185</f>
        <v>1.2394618556701029</v>
      </c>
      <c r="Q64" s="18">
        <f t="shared" ref="Q64:Q95" si="23">P64*B64</f>
        <v>0</v>
      </c>
      <c r="R64" s="743"/>
      <c r="S64" s="547"/>
    </row>
    <row r="65" spans="1:19" s="244" customFormat="1" ht="13.5" thickBot="1">
      <c r="A65" s="1340"/>
      <c r="B65" s="548"/>
      <c r="C65" s="551">
        <v>7717975</v>
      </c>
      <c r="D65" s="552" t="s">
        <v>3946</v>
      </c>
      <c r="E65" s="557">
        <v>133.36082474226805</v>
      </c>
      <c r="F65" s="13">
        <f t="shared" si="12"/>
        <v>73.348453608247439</v>
      </c>
      <c r="G65" s="17">
        <f t="shared" si="13"/>
        <v>0</v>
      </c>
      <c r="H65" s="18">
        <f t="shared" si="14"/>
        <v>2.3009409896907225</v>
      </c>
      <c r="I65" s="18">
        <f t="shared" si="15"/>
        <v>0</v>
      </c>
      <c r="J65" s="18">
        <f t="shared" si="16"/>
        <v>2.0097476288659797</v>
      </c>
      <c r="K65" s="18">
        <f t="shared" si="17"/>
        <v>0</v>
      </c>
      <c r="L65" s="18">
        <f t="shared" si="18"/>
        <v>1.6723447422680418</v>
      </c>
      <c r="M65" s="18">
        <f t="shared" si="19"/>
        <v>0</v>
      </c>
      <c r="N65" s="18">
        <f t="shared" si="20"/>
        <v>1.4963084536082478</v>
      </c>
      <c r="O65" s="18">
        <f t="shared" si="21"/>
        <v>0</v>
      </c>
      <c r="P65" s="18">
        <f t="shared" si="22"/>
        <v>1.3569463917525775</v>
      </c>
      <c r="Q65" s="18">
        <f t="shared" si="23"/>
        <v>0</v>
      </c>
      <c r="R65" s="743"/>
      <c r="S65" s="547"/>
    </row>
    <row r="66" spans="1:19" s="244" customFormat="1" ht="13.5" thickBot="1">
      <c r="A66" s="1340"/>
      <c r="B66" s="548"/>
      <c r="C66" s="549">
        <v>7717969</v>
      </c>
      <c r="D66" s="550" t="s">
        <v>3941</v>
      </c>
      <c r="E66" s="557">
        <v>123</v>
      </c>
      <c r="F66" s="13">
        <f t="shared" si="12"/>
        <v>67.650000000000006</v>
      </c>
      <c r="G66" s="17">
        <f t="shared" si="13"/>
        <v>0</v>
      </c>
      <c r="H66" s="18">
        <f t="shared" si="14"/>
        <v>2.1221805000000002</v>
      </c>
      <c r="I66" s="18">
        <f t="shared" si="15"/>
        <v>0</v>
      </c>
      <c r="J66" s="18">
        <f t="shared" si="16"/>
        <v>1.8536100000000002</v>
      </c>
      <c r="K66" s="18">
        <f t="shared" si="17"/>
        <v>0</v>
      </c>
      <c r="L66" s="18">
        <f t="shared" si="18"/>
        <v>1.5424200000000001</v>
      </c>
      <c r="M66" s="18">
        <f t="shared" si="19"/>
        <v>0</v>
      </c>
      <c r="N66" s="18">
        <f t="shared" si="20"/>
        <v>1.3800600000000003</v>
      </c>
      <c r="O66" s="18">
        <f t="shared" si="21"/>
        <v>0</v>
      </c>
      <c r="P66" s="18">
        <f t="shared" si="22"/>
        <v>1.251525</v>
      </c>
      <c r="Q66" s="18">
        <f t="shared" si="23"/>
        <v>0</v>
      </c>
      <c r="R66" s="743"/>
      <c r="S66" s="547"/>
    </row>
    <row r="67" spans="1:19" s="244" customFormat="1" ht="13.5" thickBot="1">
      <c r="A67" s="1340"/>
      <c r="B67" s="548"/>
      <c r="C67" s="551">
        <v>7717964</v>
      </c>
      <c r="D67" s="552" t="s">
        <v>3937</v>
      </c>
      <c r="E67" s="557">
        <v>112.75257731958763</v>
      </c>
      <c r="F67" s="13">
        <f t="shared" si="12"/>
        <v>62.013917525773202</v>
      </c>
      <c r="G67" s="17">
        <f t="shared" si="13"/>
        <v>0</v>
      </c>
      <c r="H67" s="18">
        <f t="shared" si="14"/>
        <v>1.9453765927835054</v>
      </c>
      <c r="I67" s="18">
        <f t="shared" si="15"/>
        <v>0</v>
      </c>
      <c r="J67" s="18">
        <f t="shared" si="16"/>
        <v>1.6991813402061857</v>
      </c>
      <c r="K67" s="18">
        <f t="shared" si="17"/>
        <v>0</v>
      </c>
      <c r="L67" s="18">
        <f t="shared" si="18"/>
        <v>1.4139173195876291</v>
      </c>
      <c r="M67" s="18">
        <f t="shared" si="19"/>
        <v>0</v>
      </c>
      <c r="N67" s="18">
        <f t="shared" si="20"/>
        <v>1.2650839175257733</v>
      </c>
      <c r="O67" s="18">
        <f t="shared" si="21"/>
        <v>0</v>
      </c>
      <c r="P67" s="18">
        <f t="shared" si="22"/>
        <v>1.1472574742268042</v>
      </c>
      <c r="Q67" s="18">
        <f t="shared" si="23"/>
        <v>0</v>
      </c>
      <c r="R67" s="743"/>
      <c r="S67" s="547"/>
    </row>
    <row r="68" spans="1:19" s="244" customFormat="1" ht="13.5" thickBot="1">
      <c r="A68" s="1340"/>
      <c r="B68" s="548"/>
      <c r="C68" s="551">
        <v>7717970</v>
      </c>
      <c r="D68" s="552" t="s">
        <v>3942</v>
      </c>
      <c r="E68" s="557">
        <v>113.88659793814433</v>
      </c>
      <c r="F68" s="13">
        <f t="shared" si="12"/>
        <v>62.637628865979387</v>
      </c>
      <c r="G68" s="17">
        <f t="shared" si="13"/>
        <v>0</v>
      </c>
      <c r="H68" s="18">
        <f t="shared" si="14"/>
        <v>1.9649424175257735</v>
      </c>
      <c r="I68" s="18">
        <f t="shared" si="15"/>
        <v>0</v>
      </c>
      <c r="J68" s="18">
        <f t="shared" si="16"/>
        <v>1.7162710309278353</v>
      </c>
      <c r="K68" s="18">
        <f t="shared" si="17"/>
        <v>0</v>
      </c>
      <c r="L68" s="18">
        <f t="shared" si="18"/>
        <v>1.42813793814433</v>
      </c>
      <c r="M68" s="18">
        <f t="shared" si="19"/>
        <v>0</v>
      </c>
      <c r="N68" s="18">
        <f t="shared" si="20"/>
        <v>1.2778076288659797</v>
      </c>
      <c r="O68" s="18">
        <f t="shared" si="21"/>
        <v>0</v>
      </c>
      <c r="P68" s="18">
        <f t="shared" si="22"/>
        <v>1.1587961340206185</v>
      </c>
      <c r="Q68" s="18">
        <f t="shared" si="23"/>
        <v>0</v>
      </c>
      <c r="R68" s="743"/>
      <c r="S68" s="547"/>
    </row>
    <row r="69" spans="1:19" s="244" customFormat="1" ht="13.5" thickBot="1">
      <c r="A69" s="1340"/>
      <c r="B69" s="548"/>
      <c r="C69" s="551">
        <v>7717965</v>
      </c>
      <c r="D69" s="552" t="s">
        <v>3938</v>
      </c>
      <c r="E69" s="557">
        <v>110.49484536082475</v>
      </c>
      <c r="F69" s="13">
        <f t="shared" si="12"/>
        <v>60.772164948453621</v>
      </c>
      <c r="G69" s="17">
        <f t="shared" si="13"/>
        <v>0</v>
      </c>
      <c r="H69" s="18">
        <f t="shared" si="14"/>
        <v>1.9064228144329902</v>
      </c>
      <c r="I69" s="18">
        <f t="shared" si="15"/>
        <v>0</v>
      </c>
      <c r="J69" s="18">
        <f t="shared" si="16"/>
        <v>1.6651573195876292</v>
      </c>
      <c r="K69" s="18">
        <f t="shared" si="17"/>
        <v>0</v>
      </c>
      <c r="L69" s="18">
        <f t="shared" si="18"/>
        <v>1.3856053608247427</v>
      </c>
      <c r="M69" s="18">
        <f t="shared" si="19"/>
        <v>0</v>
      </c>
      <c r="N69" s="18">
        <f t="shared" si="20"/>
        <v>1.239752164948454</v>
      </c>
      <c r="O69" s="18">
        <f t="shared" si="21"/>
        <v>0</v>
      </c>
      <c r="P69" s="18">
        <f t="shared" si="22"/>
        <v>1.124285051546392</v>
      </c>
      <c r="Q69" s="18">
        <f t="shared" si="23"/>
        <v>0</v>
      </c>
      <c r="R69" s="743"/>
      <c r="S69" s="547"/>
    </row>
    <row r="70" spans="1:19" s="244" customFormat="1" ht="13.5" thickBot="1">
      <c r="A70" s="1340"/>
      <c r="B70" s="548"/>
      <c r="C70" s="551">
        <v>7717976</v>
      </c>
      <c r="D70" s="552" t="s">
        <v>3947</v>
      </c>
      <c r="E70" s="557">
        <v>123.23711340206187</v>
      </c>
      <c r="F70" s="13">
        <f t="shared" si="12"/>
        <v>67.780412371134034</v>
      </c>
      <c r="G70" s="17">
        <f t="shared" si="13"/>
        <v>0</v>
      </c>
      <c r="H70" s="18">
        <f t="shared" si="14"/>
        <v>2.1262715360824749</v>
      </c>
      <c r="I70" s="18">
        <f t="shared" si="15"/>
        <v>0</v>
      </c>
      <c r="J70" s="18">
        <f t="shared" si="16"/>
        <v>1.8571832989690726</v>
      </c>
      <c r="K70" s="18">
        <f t="shared" si="17"/>
        <v>0</v>
      </c>
      <c r="L70" s="18">
        <f t="shared" si="18"/>
        <v>1.545393402061856</v>
      </c>
      <c r="M70" s="18">
        <f t="shared" si="19"/>
        <v>0</v>
      </c>
      <c r="N70" s="18">
        <f t="shared" si="20"/>
        <v>1.3827204123711343</v>
      </c>
      <c r="O70" s="18">
        <f t="shared" si="21"/>
        <v>0</v>
      </c>
      <c r="P70" s="18">
        <f t="shared" si="22"/>
        <v>1.2539376288659796</v>
      </c>
      <c r="Q70" s="18">
        <f t="shared" si="23"/>
        <v>0</v>
      </c>
      <c r="R70" s="743"/>
      <c r="S70" s="547"/>
    </row>
    <row r="71" spans="1:19" s="244" customFormat="1" ht="13.5" thickBot="1">
      <c r="A71" s="1340"/>
      <c r="B71" s="548"/>
      <c r="C71" s="549">
        <v>7717977</v>
      </c>
      <c r="D71" s="550" t="s">
        <v>3947</v>
      </c>
      <c r="E71" s="557">
        <v>120.85567010309279</v>
      </c>
      <c r="F71" s="13">
        <f t="shared" si="12"/>
        <v>66.470618556701041</v>
      </c>
      <c r="G71" s="17">
        <f t="shared" si="13"/>
        <v>0</v>
      </c>
      <c r="H71" s="18">
        <f t="shared" si="14"/>
        <v>2.0851833041237118</v>
      </c>
      <c r="I71" s="18">
        <f t="shared" si="15"/>
        <v>0</v>
      </c>
      <c r="J71" s="18">
        <f t="shared" si="16"/>
        <v>1.8212949484536085</v>
      </c>
      <c r="K71" s="18">
        <f t="shared" si="17"/>
        <v>0</v>
      </c>
      <c r="L71" s="18">
        <f t="shared" si="18"/>
        <v>1.5155301030927837</v>
      </c>
      <c r="M71" s="18">
        <f t="shared" si="19"/>
        <v>0</v>
      </c>
      <c r="N71" s="18">
        <f t="shared" si="20"/>
        <v>1.3560006185567013</v>
      </c>
      <c r="O71" s="18">
        <f t="shared" si="21"/>
        <v>0</v>
      </c>
      <c r="P71" s="18">
        <f t="shared" si="22"/>
        <v>1.2297064432989693</v>
      </c>
      <c r="Q71" s="18">
        <f t="shared" si="23"/>
        <v>0</v>
      </c>
      <c r="R71" s="743"/>
      <c r="S71" s="547"/>
    </row>
    <row r="72" spans="1:19" s="244" customFormat="1" ht="13.5" thickBot="1">
      <c r="A72" s="1340"/>
      <c r="B72" s="548"/>
      <c r="C72" s="551">
        <v>7717971</v>
      </c>
      <c r="D72" s="552" t="s">
        <v>3943</v>
      </c>
      <c r="E72" s="557">
        <v>111.56701030927836</v>
      </c>
      <c r="F72" s="13">
        <f t="shared" si="12"/>
        <v>61.361855670103104</v>
      </c>
      <c r="G72" s="17">
        <f t="shared" si="13"/>
        <v>0</v>
      </c>
      <c r="H72" s="18">
        <f t="shared" si="14"/>
        <v>1.9249214123711345</v>
      </c>
      <c r="I72" s="18">
        <f t="shared" si="15"/>
        <v>0</v>
      </c>
      <c r="J72" s="18">
        <f t="shared" si="16"/>
        <v>1.6813148453608251</v>
      </c>
      <c r="K72" s="18">
        <f t="shared" si="17"/>
        <v>0</v>
      </c>
      <c r="L72" s="18">
        <f t="shared" si="18"/>
        <v>1.3990503092783508</v>
      </c>
      <c r="M72" s="18">
        <f t="shared" si="19"/>
        <v>0</v>
      </c>
      <c r="N72" s="18">
        <f t="shared" si="20"/>
        <v>1.2517818556701035</v>
      </c>
      <c r="O72" s="18">
        <f t="shared" si="21"/>
        <v>0</v>
      </c>
      <c r="P72" s="18">
        <f t="shared" si="22"/>
        <v>1.1351943298969074</v>
      </c>
      <c r="Q72" s="18">
        <f t="shared" si="23"/>
        <v>0</v>
      </c>
      <c r="R72" s="743"/>
      <c r="S72" s="547"/>
    </row>
    <row r="73" spans="1:19" s="244" customFormat="1" ht="13.5" thickBot="1">
      <c r="A73" s="1340"/>
      <c r="B73" s="548"/>
      <c r="C73" s="551">
        <v>7717966</v>
      </c>
      <c r="D73" s="552" t="s">
        <v>3939</v>
      </c>
      <c r="E73" s="557">
        <v>101.38144329896907</v>
      </c>
      <c r="F73" s="13">
        <f t="shared" si="12"/>
        <v>55.759793814432996</v>
      </c>
      <c r="G73" s="17">
        <f t="shared" si="13"/>
        <v>0</v>
      </c>
      <c r="H73" s="18">
        <f t="shared" si="14"/>
        <v>1.7491847319587632</v>
      </c>
      <c r="I73" s="18">
        <f t="shared" si="15"/>
        <v>0</v>
      </c>
      <c r="J73" s="18">
        <f t="shared" si="16"/>
        <v>1.5278183505154641</v>
      </c>
      <c r="K73" s="18">
        <f t="shared" si="17"/>
        <v>0</v>
      </c>
      <c r="L73" s="18">
        <f t="shared" si="18"/>
        <v>1.2713232989690724</v>
      </c>
      <c r="M73" s="18">
        <f t="shared" si="19"/>
        <v>0</v>
      </c>
      <c r="N73" s="18">
        <f t="shared" si="20"/>
        <v>1.1374997938144331</v>
      </c>
      <c r="O73" s="18">
        <f t="shared" si="21"/>
        <v>0</v>
      </c>
      <c r="P73" s="18">
        <f t="shared" si="22"/>
        <v>1.0315561855670103</v>
      </c>
      <c r="Q73" s="18">
        <f t="shared" si="23"/>
        <v>0</v>
      </c>
      <c r="R73" s="743"/>
      <c r="S73" s="547"/>
    </row>
    <row r="74" spans="1:19" s="244" customFormat="1" ht="13.5" thickBot="1">
      <c r="A74" s="1340"/>
      <c r="B74" s="548"/>
      <c r="C74" s="551">
        <v>7717978</v>
      </c>
      <c r="D74" s="552" t="s">
        <v>3948</v>
      </c>
      <c r="E74" s="557">
        <v>110.79381443298969</v>
      </c>
      <c r="F74" s="13">
        <f t="shared" si="12"/>
        <v>60.936597938144338</v>
      </c>
      <c r="G74" s="17">
        <f t="shared" si="13"/>
        <v>0</v>
      </c>
      <c r="H74" s="18">
        <f t="shared" si="14"/>
        <v>1.911581077319588</v>
      </c>
      <c r="I74" s="18">
        <f t="shared" si="15"/>
        <v>0</v>
      </c>
      <c r="J74" s="18">
        <f t="shared" si="16"/>
        <v>1.669662783505155</v>
      </c>
      <c r="K74" s="18">
        <f t="shared" si="17"/>
        <v>0</v>
      </c>
      <c r="L74" s="18">
        <f t="shared" si="18"/>
        <v>1.389354432989691</v>
      </c>
      <c r="M74" s="18">
        <f t="shared" si="19"/>
        <v>0</v>
      </c>
      <c r="N74" s="18">
        <f t="shared" si="20"/>
        <v>1.2431065979381446</v>
      </c>
      <c r="O74" s="18">
        <f t="shared" si="21"/>
        <v>0</v>
      </c>
      <c r="P74" s="18">
        <f t="shared" si="22"/>
        <v>1.1273270618556701</v>
      </c>
      <c r="Q74" s="18">
        <f t="shared" si="23"/>
        <v>0</v>
      </c>
      <c r="R74" s="743"/>
      <c r="S74" s="547"/>
    </row>
    <row r="75" spans="1:19" s="244" customFormat="1" ht="13.5" thickBot="1">
      <c r="A75" s="1340"/>
      <c r="B75" s="548"/>
      <c r="C75" s="551">
        <v>7717972</v>
      </c>
      <c r="D75" s="552" t="s">
        <v>3944</v>
      </c>
      <c r="E75" s="557">
        <v>102.21649484536083</v>
      </c>
      <c r="F75" s="13">
        <f t="shared" si="12"/>
        <v>56.219072164948457</v>
      </c>
      <c r="G75" s="17">
        <f t="shared" si="13"/>
        <v>0</v>
      </c>
      <c r="H75" s="18">
        <f t="shared" si="14"/>
        <v>1.7635922938144333</v>
      </c>
      <c r="I75" s="18">
        <f t="shared" si="15"/>
        <v>0</v>
      </c>
      <c r="J75" s="18">
        <f t="shared" si="16"/>
        <v>1.5404025773195877</v>
      </c>
      <c r="K75" s="18">
        <f t="shared" si="17"/>
        <v>0</v>
      </c>
      <c r="L75" s="18">
        <f t="shared" si="18"/>
        <v>1.2817948453608248</v>
      </c>
      <c r="M75" s="18">
        <f t="shared" si="19"/>
        <v>0</v>
      </c>
      <c r="N75" s="18">
        <f t="shared" si="20"/>
        <v>1.1468690721649486</v>
      </c>
      <c r="O75" s="18">
        <f t="shared" si="21"/>
        <v>0</v>
      </c>
      <c r="P75" s="18">
        <f t="shared" si="22"/>
        <v>1.0400528350515463</v>
      </c>
      <c r="Q75" s="18">
        <f t="shared" si="23"/>
        <v>0</v>
      </c>
      <c r="R75" s="743"/>
      <c r="S75" s="547"/>
    </row>
    <row r="76" spans="1:19" s="244" customFormat="1" ht="13.5" thickBot="1">
      <c r="A76" s="1340"/>
      <c r="B76" s="548"/>
      <c r="C76" s="549" t="s">
        <v>274</v>
      </c>
      <c r="D76" s="550" t="s">
        <v>3861</v>
      </c>
      <c r="E76" s="557">
        <v>721.64948453608247</v>
      </c>
      <c r="F76" s="13">
        <f t="shared" si="12"/>
        <v>396.90721649484539</v>
      </c>
      <c r="G76" s="17">
        <f t="shared" si="13"/>
        <v>0</v>
      </c>
      <c r="H76" s="18">
        <f t="shared" si="14"/>
        <v>12.4509793814433</v>
      </c>
      <c r="I76" s="18">
        <f t="shared" si="15"/>
        <v>0</v>
      </c>
      <c r="J76" s="18">
        <f t="shared" si="16"/>
        <v>10.875257731958763</v>
      </c>
      <c r="K76" s="18">
        <f t="shared" si="17"/>
        <v>0</v>
      </c>
      <c r="L76" s="18">
        <f t="shared" si="18"/>
        <v>9.0494845360824758</v>
      </c>
      <c r="M76" s="18">
        <f t="shared" si="19"/>
        <v>0</v>
      </c>
      <c r="N76" s="18">
        <f t="shared" si="20"/>
        <v>8.0969072164948468</v>
      </c>
      <c r="O76" s="18">
        <f t="shared" si="21"/>
        <v>0</v>
      </c>
      <c r="P76" s="18">
        <f t="shared" si="22"/>
        <v>7.3427835051546388</v>
      </c>
      <c r="Q76" s="18">
        <f t="shared" si="23"/>
        <v>0</v>
      </c>
      <c r="R76" s="743"/>
      <c r="S76" s="547"/>
    </row>
    <row r="77" spans="1:19" s="244" customFormat="1" ht="13.5" thickBot="1">
      <c r="A77" s="1340"/>
      <c r="B77" s="548"/>
      <c r="C77" s="551" t="s">
        <v>3728</v>
      </c>
      <c r="D77" s="552" t="s">
        <v>3950</v>
      </c>
      <c r="E77" s="557">
        <v>19506.18556701031</v>
      </c>
      <c r="F77" s="13">
        <f t="shared" si="12"/>
        <v>10728.402061855671</v>
      </c>
      <c r="G77" s="17">
        <f t="shared" si="13"/>
        <v>0</v>
      </c>
      <c r="H77" s="18">
        <f t="shared" si="14"/>
        <v>336.54997268041245</v>
      </c>
      <c r="I77" s="18">
        <f t="shared" si="15"/>
        <v>0</v>
      </c>
      <c r="J77" s="18">
        <f t="shared" si="16"/>
        <v>293.95821649484543</v>
      </c>
      <c r="K77" s="18">
        <f t="shared" si="17"/>
        <v>0</v>
      </c>
      <c r="L77" s="18">
        <f t="shared" si="18"/>
        <v>244.60756701030931</v>
      </c>
      <c r="M77" s="18">
        <f t="shared" si="19"/>
        <v>0</v>
      </c>
      <c r="N77" s="18">
        <f t="shared" si="20"/>
        <v>218.85940206185572</v>
      </c>
      <c r="O77" s="18">
        <f t="shared" si="21"/>
        <v>0</v>
      </c>
      <c r="P77" s="18">
        <f t="shared" si="22"/>
        <v>198.4754381443299</v>
      </c>
      <c r="Q77" s="18">
        <f t="shared" si="23"/>
        <v>0</v>
      </c>
      <c r="R77" s="743"/>
      <c r="S77" s="547"/>
    </row>
    <row r="78" spans="1:19" s="244" customFormat="1" ht="13.5" thickBot="1">
      <c r="A78" s="1340"/>
      <c r="B78" s="548"/>
      <c r="C78" s="551" t="s">
        <v>543</v>
      </c>
      <c r="D78" s="552" t="s">
        <v>3996</v>
      </c>
      <c r="E78" s="557">
        <v>12061.855670103094</v>
      </c>
      <c r="F78" s="13">
        <f t="shared" si="12"/>
        <v>6634.0206185567022</v>
      </c>
      <c r="G78" s="17">
        <f t="shared" si="13"/>
        <v>0</v>
      </c>
      <c r="H78" s="18">
        <f t="shared" si="14"/>
        <v>208.10922680412375</v>
      </c>
      <c r="I78" s="18">
        <f t="shared" si="15"/>
        <v>0</v>
      </c>
      <c r="J78" s="18">
        <f t="shared" si="16"/>
        <v>181.77216494845365</v>
      </c>
      <c r="K78" s="18">
        <f t="shared" si="17"/>
        <v>0</v>
      </c>
      <c r="L78" s="18">
        <f t="shared" si="18"/>
        <v>151.25567010309283</v>
      </c>
      <c r="M78" s="18">
        <f t="shared" si="19"/>
        <v>0</v>
      </c>
      <c r="N78" s="18">
        <f t="shared" si="20"/>
        <v>135.33402061855674</v>
      </c>
      <c r="O78" s="18">
        <f t="shared" si="21"/>
        <v>0</v>
      </c>
      <c r="P78" s="18">
        <f t="shared" si="22"/>
        <v>122.72938144329899</v>
      </c>
      <c r="Q78" s="18">
        <f t="shared" si="23"/>
        <v>0</v>
      </c>
      <c r="R78" s="743"/>
      <c r="S78" s="547"/>
    </row>
    <row r="79" spans="1:19" s="244" customFormat="1" ht="13.5" thickBot="1">
      <c r="A79" s="1340"/>
      <c r="B79" s="548"/>
      <c r="C79" s="549">
        <v>45199274</v>
      </c>
      <c r="D79" s="550" t="s">
        <v>3871</v>
      </c>
      <c r="E79" s="557">
        <v>882.47422680412376</v>
      </c>
      <c r="F79" s="13">
        <f t="shared" si="12"/>
        <v>485.36082474226811</v>
      </c>
      <c r="G79" s="17">
        <f t="shared" si="13"/>
        <v>0</v>
      </c>
      <c r="H79" s="18">
        <f t="shared" si="14"/>
        <v>15.225769072164951</v>
      </c>
      <c r="I79" s="18">
        <f t="shared" si="15"/>
        <v>0</v>
      </c>
      <c r="J79" s="18">
        <f t="shared" si="16"/>
        <v>13.298886597938147</v>
      </c>
      <c r="K79" s="18">
        <f t="shared" si="17"/>
        <v>0</v>
      </c>
      <c r="L79" s="18">
        <f t="shared" si="18"/>
        <v>11.066226804123714</v>
      </c>
      <c r="M79" s="18">
        <f t="shared" si="19"/>
        <v>0</v>
      </c>
      <c r="N79" s="18">
        <f t="shared" si="20"/>
        <v>9.9013608247422695</v>
      </c>
      <c r="O79" s="18">
        <f t="shared" si="21"/>
        <v>0</v>
      </c>
      <c r="P79" s="18">
        <f t="shared" si="22"/>
        <v>8.9791752577319599</v>
      </c>
      <c r="Q79" s="18">
        <f t="shared" si="23"/>
        <v>0</v>
      </c>
      <c r="R79" s="743"/>
      <c r="S79" s="547"/>
    </row>
    <row r="80" spans="1:19" s="244" customFormat="1" ht="13.5" thickBot="1">
      <c r="A80" s="1340"/>
      <c r="B80" s="548"/>
      <c r="C80" s="549">
        <v>45201523</v>
      </c>
      <c r="D80" s="550" t="s">
        <v>3877</v>
      </c>
      <c r="E80" s="557">
        <v>1676.7010309278353</v>
      </c>
      <c r="F80" s="13">
        <f t="shared" si="12"/>
        <v>922.18556701030946</v>
      </c>
      <c r="G80" s="17">
        <f t="shared" si="13"/>
        <v>0</v>
      </c>
      <c r="H80" s="18">
        <f t="shared" si="14"/>
        <v>28.928961237113409</v>
      </c>
      <c r="I80" s="18">
        <f t="shared" si="15"/>
        <v>0</v>
      </c>
      <c r="J80" s="18">
        <f t="shared" si="16"/>
        <v>25.26788453608248</v>
      </c>
      <c r="K80" s="18">
        <f t="shared" si="17"/>
        <v>0</v>
      </c>
      <c r="L80" s="18">
        <f t="shared" si="18"/>
        <v>21.025830927835056</v>
      </c>
      <c r="M80" s="18">
        <f t="shared" si="19"/>
        <v>0</v>
      </c>
      <c r="N80" s="18">
        <f t="shared" si="20"/>
        <v>18.812585567010313</v>
      </c>
      <c r="O80" s="18">
        <f t="shared" si="21"/>
        <v>0</v>
      </c>
      <c r="P80" s="18">
        <f t="shared" si="22"/>
        <v>17.060432989690725</v>
      </c>
      <c r="Q80" s="18">
        <f t="shared" si="23"/>
        <v>0</v>
      </c>
      <c r="R80" s="743"/>
      <c r="S80" s="547"/>
    </row>
    <row r="81" spans="1:19" s="244" customFormat="1" ht="13.5" thickBot="1">
      <c r="A81" s="1340"/>
      <c r="B81" s="548"/>
      <c r="C81" s="551">
        <v>45201525</v>
      </c>
      <c r="D81" s="552" t="s">
        <v>3878</v>
      </c>
      <c r="E81" s="557">
        <v>2371.6494845360826</v>
      </c>
      <c r="F81" s="13">
        <f t="shared" si="12"/>
        <v>1304.4072164948454</v>
      </c>
      <c r="G81" s="17">
        <f t="shared" si="13"/>
        <v>0</v>
      </c>
      <c r="H81" s="18">
        <f t="shared" si="14"/>
        <v>40.919254381443302</v>
      </c>
      <c r="I81" s="18">
        <f t="shared" si="15"/>
        <v>0</v>
      </c>
      <c r="J81" s="18">
        <f t="shared" si="16"/>
        <v>35.740757731958766</v>
      </c>
      <c r="K81" s="18">
        <f t="shared" si="17"/>
        <v>0</v>
      </c>
      <c r="L81" s="18">
        <f t="shared" si="18"/>
        <v>29.740484536082477</v>
      </c>
      <c r="M81" s="18">
        <f t="shared" si="19"/>
        <v>0</v>
      </c>
      <c r="N81" s="18">
        <f t="shared" si="20"/>
        <v>26.60990721649485</v>
      </c>
      <c r="O81" s="18">
        <f t="shared" si="21"/>
        <v>0</v>
      </c>
      <c r="P81" s="18">
        <f t="shared" si="22"/>
        <v>24.131533505154639</v>
      </c>
      <c r="Q81" s="18">
        <f t="shared" si="23"/>
        <v>0</v>
      </c>
      <c r="R81" s="743"/>
      <c r="S81" s="547"/>
    </row>
    <row r="82" spans="1:19" s="244" customFormat="1" ht="13.5" thickBot="1">
      <c r="A82" s="1340"/>
      <c r="B82" s="548"/>
      <c r="C82" s="551">
        <v>45201527</v>
      </c>
      <c r="D82" s="552" t="s">
        <v>3879</v>
      </c>
      <c r="E82" s="557">
        <v>2812.8865979381444</v>
      </c>
      <c r="F82" s="13">
        <f t="shared" si="12"/>
        <v>1547.0876288659795</v>
      </c>
      <c r="G82" s="17">
        <f t="shared" si="13"/>
        <v>0</v>
      </c>
      <c r="H82" s="18">
        <f t="shared" si="14"/>
        <v>48.532138917525778</v>
      </c>
      <c r="I82" s="18">
        <f t="shared" si="15"/>
        <v>0</v>
      </c>
      <c r="J82" s="18">
        <f t="shared" si="16"/>
        <v>42.390201030927841</v>
      </c>
      <c r="K82" s="18">
        <f t="shared" si="17"/>
        <v>0</v>
      </c>
      <c r="L82" s="18">
        <f t="shared" si="18"/>
        <v>35.273597938144334</v>
      </c>
      <c r="M82" s="18">
        <f t="shared" si="19"/>
        <v>0</v>
      </c>
      <c r="N82" s="18">
        <f t="shared" si="20"/>
        <v>31.560587628865985</v>
      </c>
      <c r="O82" s="18">
        <f t="shared" si="21"/>
        <v>0</v>
      </c>
      <c r="P82" s="18">
        <f t="shared" si="22"/>
        <v>28.621121134020619</v>
      </c>
      <c r="Q82" s="18">
        <f t="shared" si="23"/>
        <v>0</v>
      </c>
      <c r="R82" s="743"/>
      <c r="S82" s="547"/>
    </row>
    <row r="83" spans="1:19" s="244" customFormat="1" ht="13.5" thickBot="1">
      <c r="A83" s="1340"/>
      <c r="B83" s="548"/>
      <c r="C83" s="551">
        <v>45201529</v>
      </c>
      <c r="D83" s="552" t="s">
        <v>3880</v>
      </c>
      <c r="E83" s="557">
        <v>3298.2474226804125</v>
      </c>
      <c r="F83" s="13">
        <f t="shared" si="12"/>
        <v>1814.036082474227</v>
      </c>
      <c r="G83" s="17">
        <f t="shared" si="13"/>
        <v>0</v>
      </c>
      <c r="H83" s="18">
        <f t="shared" si="14"/>
        <v>56.906311907216505</v>
      </c>
      <c r="I83" s="18">
        <f t="shared" si="15"/>
        <v>0</v>
      </c>
      <c r="J83" s="18">
        <f t="shared" si="16"/>
        <v>49.704588659793821</v>
      </c>
      <c r="K83" s="18">
        <f t="shared" si="17"/>
        <v>0</v>
      </c>
      <c r="L83" s="18">
        <f t="shared" si="18"/>
        <v>41.360022680412378</v>
      </c>
      <c r="M83" s="18">
        <f t="shared" si="19"/>
        <v>0</v>
      </c>
      <c r="N83" s="18">
        <f t="shared" si="20"/>
        <v>37.006336082474235</v>
      </c>
      <c r="O83" s="18">
        <f t="shared" si="21"/>
        <v>0</v>
      </c>
      <c r="P83" s="18">
        <f t="shared" si="22"/>
        <v>33.5596675257732</v>
      </c>
      <c r="Q83" s="18">
        <f t="shared" si="23"/>
        <v>0</v>
      </c>
      <c r="R83" s="743"/>
      <c r="S83" s="547"/>
    </row>
    <row r="84" spans="1:19" s="244" customFormat="1" ht="26.25" thickBot="1">
      <c r="A84" s="1340"/>
      <c r="B84" s="548"/>
      <c r="C84" s="549">
        <v>45198237</v>
      </c>
      <c r="D84" s="550" t="s">
        <v>3997</v>
      </c>
      <c r="E84" s="557">
        <v>1047.9381443298969</v>
      </c>
      <c r="F84" s="13">
        <f t="shared" si="12"/>
        <v>576.36597938144337</v>
      </c>
      <c r="G84" s="17">
        <f t="shared" si="13"/>
        <v>0</v>
      </c>
      <c r="H84" s="18">
        <f t="shared" si="14"/>
        <v>18.080600773195879</v>
      </c>
      <c r="I84" s="18">
        <f t="shared" si="15"/>
        <v>0</v>
      </c>
      <c r="J84" s="18">
        <f t="shared" si="16"/>
        <v>15.792427835051548</v>
      </c>
      <c r="K84" s="18">
        <f t="shared" si="17"/>
        <v>0</v>
      </c>
      <c r="L84" s="18">
        <f t="shared" si="18"/>
        <v>13.141144329896909</v>
      </c>
      <c r="M84" s="18">
        <f t="shared" si="19"/>
        <v>0</v>
      </c>
      <c r="N84" s="18">
        <f t="shared" si="20"/>
        <v>11.757865979381446</v>
      </c>
      <c r="O84" s="18">
        <f t="shared" si="21"/>
        <v>0</v>
      </c>
      <c r="P84" s="18">
        <f t="shared" si="22"/>
        <v>10.662770618556701</v>
      </c>
      <c r="Q84" s="18">
        <f t="shared" si="23"/>
        <v>0</v>
      </c>
      <c r="R84" s="743"/>
      <c r="S84" s="547"/>
    </row>
    <row r="85" spans="1:19" s="244" customFormat="1" ht="13.5" thickBot="1">
      <c r="A85" s="1340"/>
      <c r="B85" s="548"/>
      <c r="C85" s="549">
        <v>45201515</v>
      </c>
      <c r="D85" s="550" t="s">
        <v>3873</v>
      </c>
      <c r="E85" s="557">
        <v>1985.5670103092784</v>
      </c>
      <c r="F85" s="13">
        <f t="shared" si="12"/>
        <v>1092.0618556701031</v>
      </c>
      <c r="G85" s="17">
        <f t="shared" si="13"/>
        <v>0</v>
      </c>
      <c r="H85" s="18">
        <f t="shared" si="14"/>
        <v>34.25798041237114</v>
      </c>
      <c r="I85" s="18">
        <f t="shared" si="15"/>
        <v>0</v>
      </c>
      <c r="J85" s="18">
        <f t="shared" si="16"/>
        <v>29.922494845360827</v>
      </c>
      <c r="K85" s="18">
        <f t="shared" si="17"/>
        <v>0</v>
      </c>
      <c r="L85" s="18">
        <f t="shared" si="18"/>
        <v>24.899010309278353</v>
      </c>
      <c r="M85" s="18">
        <f t="shared" si="19"/>
        <v>0</v>
      </c>
      <c r="N85" s="18">
        <f t="shared" si="20"/>
        <v>22.278061855670106</v>
      </c>
      <c r="O85" s="18">
        <f t="shared" si="21"/>
        <v>0</v>
      </c>
      <c r="P85" s="18">
        <f t="shared" si="22"/>
        <v>20.203144329896908</v>
      </c>
      <c r="Q85" s="18">
        <f t="shared" si="23"/>
        <v>0</v>
      </c>
      <c r="R85" s="743"/>
      <c r="S85" s="547"/>
    </row>
    <row r="86" spans="1:19" s="244" customFormat="1" ht="13.5" thickBot="1">
      <c r="A86" s="1340"/>
      <c r="B86" s="548"/>
      <c r="C86" s="551">
        <v>45201517</v>
      </c>
      <c r="D86" s="552" t="s">
        <v>3874</v>
      </c>
      <c r="E86" s="557">
        <v>2823.9175257731958</v>
      </c>
      <c r="F86" s="13">
        <f t="shared" si="12"/>
        <v>1553.1546391752579</v>
      </c>
      <c r="G86" s="17">
        <f t="shared" si="13"/>
        <v>0</v>
      </c>
      <c r="H86" s="18">
        <f t="shared" si="14"/>
        <v>48.722461030927846</v>
      </c>
      <c r="I86" s="18">
        <f t="shared" si="15"/>
        <v>0</v>
      </c>
      <c r="J86" s="18">
        <f t="shared" si="16"/>
        <v>42.556437113402069</v>
      </c>
      <c r="K86" s="18">
        <f t="shared" si="17"/>
        <v>0</v>
      </c>
      <c r="L86" s="18">
        <f t="shared" si="18"/>
        <v>35.411925773195883</v>
      </c>
      <c r="M86" s="18">
        <f t="shared" si="19"/>
        <v>0</v>
      </c>
      <c r="N86" s="18">
        <f t="shared" si="20"/>
        <v>31.684354639175265</v>
      </c>
      <c r="O86" s="18">
        <f t="shared" si="21"/>
        <v>0</v>
      </c>
      <c r="P86" s="18">
        <f t="shared" si="22"/>
        <v>28.73336082474227</v>
      </c>
      <c r="Q86" s="18">
        <f t="shared" si="23"/>
        <v>0</v>
      </c>
      <c r="R86" s="743"/>
      <c r="S86" s="547"/>
    </row>
    <row r="87" spans="1:19" s="244" customFormat="1" ht="13.5" thickBot="1">
      <c r="A87" s="1340"/>
      <c r="B87" s="548"/>
      <c r="C87" s="551">
        <v>45201519</v>
      </c>
      <c r="D87" s="552" t="s">
        <v>3875</v>
      </c>
      <c r="E87" s="557">
        <v>3342.3711340206187</v>
      </c>
      <c r="F87" s="13">
        <f t="shared" si="12"/>
        <v>1838.3041237113405</v>
      </c>
      <c r="G87" s="17">
        <f t="shared" si="13"/>
        <v>0</v>
      </c>
      <c r="H87" s="18">
        <f t="shared" si="14"/>
        <v>57.667600360824757</v>
      </c>
      <c r="I87" s="18">
        <f t="shared" si="15"/>
        <v>0</v>
      </c>
      <c r="J87" s="18">
        <f t="shared" si="16"/>
        <v>50.369532989690732</v>
      </c>
      <c r="K87" s="18">
        <f t="shared" si="17"/>
        <v>0</v>
      </c>
      <c r="L87" s="18">
        <f t="shared" si="18"/>
        <v>41.913334020618564</v>
      </c>
      <c r="M87" s="18">
        <f t="shared" si="19"/>
        <v>0</v>
      </c>
      <c r="N87" s="18">
        <f t="shared" si="20"/>
        <v>37.501404123711346</v>
      </c>
      <c r="O87" s="18">
        <f t="shared" si="21"/>
        <v>0</v>
      </c>
      <c r="P87" s="18">
        <f t="shared" si="22"/>
        <v>34.008626288659798</v>
      </c>
      <c r="Q87" s="18">
        <f t="shared" si="23"/>
        <v>0</v>
      </c>
      <c r="R87" s="743"/>
      <c r="S87" s="547"/>
    </row>
    <row r="88" spans="1:19" s="244" customFormat="1" ht="13.5" thickBot="1">
      <c r="A88" s="1340"/>
      <c r="B88" s="548"/>
      <c r="C88" s="549">
        <v>45201521</v>
      </c>
      <c r="D88" s="550" t="s">
        <v>3876</v>
      </c>
      <c r="E88" s="557">
        <v>3915.9793814432992</v>
      </c>
      <c r="F88" s="13">
        <f t="shared" si="12"/>
        <v>2153.7886597938145</v>
      </c>
      <c r="G88" s="17">
        <f t="shared" si="13"/>
        <v>0</v>
      </c>
      <c r="H88" s="18">
        <f t="shared" si="14"/>
        <v>67.564350257731959</v>
      </c>
      <c r="I88" s="18">
        <f t="shared" si="15"/>
        <v>0</v>
      </c>
      <c r="J88" s="18">
        <f t="shared" si="16"/>
        <v>59.013809278350521</v>
      </c>
      <c r="K88" s="18">
        <f t="shared" si="17"/>
        <v>0</v>
      </c>
      <c r="L88" s="18">
        <f t="shared" si="18"/>
        <v>49.106381443298972</v>
      </c>
      <c r="M88" s="18">
        <f t="shared" si="19"/>
        <v>0</v>
      </c>
      <c r="N88" s="18">
        <f t="shared" si="20"/>
        <v>43.937288659793822</v>
      </c>
      <c r="O88" s="18">
        <f t="shared" si="21"/>
        <v>0</v>
      </c>
      <c r="P88" s="18">
        <f t="shared" si="22"/>
        <v>39.845090206185567</v>
      </c>
      <c r="Q88" s="18">
        <f t="shared" si="23"/>
        <v>0</v>
      </c>
      <c r="R88" s="743"/>
      <c r="S88" s="547"/>
    </row>
    <row r="89" spans="1:19" s="244" customFormat="1" ht="13.5" thickBot="1">
      <c r="A89" s="1340"/>
      <c r="B89" s="548"/>
      <c r="C89" s="551">
        <v>45111136</v>
      </c>
      <c r="D89" s="552" t="s">
        <v>3818</v>
      </c>
      <c r="E89" s="557">
        <v>1134.020618556701</v>
      </c>
      <c r="F89" s="13">
        <f t="shared" si="12"/>
        <v>623.71134020618558</v>
      </c>
      <c r="G89" s="17">
        <f t="shared" si="13"/>
        <v>0</v>
      </c>
      <c r="H89" s="18">
        <f t="shared" si="14"/>
        <v>19.565824742268042</v>
      </c>
      <c r="I89" s="18">
        <f t="shared" si="15"/>
        <v>0</v>
      </c>
      <c r="J89" s="18">
        <f t="shared" si="16"/>
        <v>17.089690721649486</v>
      </c>
      <c r="K89" s="18">
        <f t="shared" si="17"/>
        <v>0</v>
      </c>
      <c r="L89" s="18">
        <f t="shared" si="18"/>
        <v>14.220618556701032</v>
      </c>
      <c r="M89" s="18">
        <f t="shared" si="19"/>
        <v>0</v>
      </c>
      <c r="N89" s="18">
        <f t="shared" si="20"/>
        <v>12.723711340206187</v>
      </c>
      <c r="O89" s="18">
        <f t="shared" si="21"/>
        <v>0</v>
      </c>
      <c r="P89" s="18">
        <f t="shared" si="22"/>
        <v>11.538659793814432</v>
      </c>
      <c r="Q89" s="18">
        <f t="shared" si="23"/>
        <v>0</v>
      </c>
      <c r="R89" s="743"/>
      <c r="S89" s="547"/>
    </row>
    <row r="90" spans="1:19" s="244" customFormat="1" ht="13.5" thickBot="1">
      <c r="A90" s="1340"/>
      <c r="B90" s="548"/>
      <c r="C90" s="549">
        <v>45201479</v>
      </c>
      <c r="D90" s="550" t="s">
        <v>3981</v>
      </c>
      <c r="E90" s="557">
        <v>1876.2886597938145</v>
      </c>
      <c r="F90" s="13">
        <f t="shared" si="12"/>
        <v>1031.9587628865982</v>
      </c>
      <c r="G90" s="17">
        <f t="shared" si="13"/>
        <v>0</v>
      </c>
      <c r="H90" s="18">
        <f t="shared" si="14"/>
        <v>32.372546391752586</v>
      </c>
      <c r="I90" s="18">
        <f t="shared" si="15"/>
        <v>0</v>
      </c>
      <c r="J90" s="18">
        <f t="shared" si="16"/>
        <v>28.275670103092789</v>
      </c>
      <c r="K90" s="18">
        <f t="shared" si="17"/>
        <v>0</v>
      </c>
      <c r="L90" s="18">
        <f t="shared" si="18"/>
        <v>23.528659793814438</v>
      </c>
      <c r="M90" s="18">
        <f t="shared" si="19"/>
        <v>0</v>
      </c>
      <c r="N90" s="18">
        <f t="shared" si="20"/>
        <v>21.051958762886603</v>
      </c>
      <c r="O90" s="18">
        <f t="shared" si="21"/>
        <v>0</v>
      </c>
      <c r="P90" s="18">
        <f t="shared" si="22"/>
        <v>19.091237113402066</v>
      </c>
      <c r="Q90" s="18">
        <f t="shared" si="23"/>
        <v>0</v>
      </c>
      <c r="R90" s="743"/>
      <c r="S90" s="547"/>
    </row>
    <row r="91" spans="1:19" s="244" customFormat="1" ht="13.5" thickBot="1">
      <c r="A91" s="1340"/>
      <c r="B91" s="548"/>
      <c r="C91" s="551">
        <v>45201481</v>
      </c>
      <c r="D91" s="552" t="s">
        <v>3982</v>
      </c>
      <c r="E91" s="557">
        <v>3556.7010309278353</v>
      </c>
      <c r="F91" s="13">
        <f t="shared" si="12"/>
        <v>1956.1855670103096</v>
      </c>
      <c r="G91" s="17">
        <f t="shared" si="13"/>
        <v>0</v>
      </c>
      <c r="H91" s="18">
        <f t="shared" si="14"/>
        <v>61.365541237113412</v>
      </c>
      <c r="I91" s="18">
        <f t="shared" si="15"/>
        <v>0</v>
      </c>
      <c r="J91" s="18">
        <f t="shared" si="16"/>
        <v>53.599484536082485</v>
      </c>
      <c r="K91" s="18">
        <f t="shared" si="17"/>
        <v>0</v>
      </c>
      <c r="L91" s="18">
        <f t="shared" si="18"/>
        <v>44.601030927835062</v>
      </c>
      <c r="M91" s="18">
        <f t="shared" si="19"/>
        <v>0</v>
      </c>
      <c r="N91" s="18">
        <f t="shared" si="20"/>
        <v>39.906185567010318</v>
      </c>
      <c r="O91" s="18">
        <f t="shared" si="21"/>
        <v>0</v>
      </c>
      <c r="P91" s="18">
        <f t="shared" si="22"/>
        <v>36.189432989690722</v>
      </c>
      <c r="Q91" s="18">
        <f t="shared" si="23"/>
        <v>0</v>
      </c>
      <c r="R91" s="743"/>
      <c r="S91" s="547"/>
    </row>
    <row r="92" spans="1:19" s="244" customFormat="1" ht="13.5" thickBot="1">
      <c r="A92" s="1340"/>
      <c r="B92" s="548"/>
      <c r="C92" s="551">
        <v>45201483</v>
      </c>
      <c r="D92" s="552" t="s">
        <v>3983</v>
      </c>
      <c r="E92" s="557">
        <v>5051.5463917525776</v>
      </c>
      <c r="F92" s="13">
        <f t="shared" si="12"/>
        <v>2778.3505154639179</v>
      </c>
      <c r="G92" s="17">
        <f t="shared" si="13"/>
        <v>0</v>
      </c>
      <c r="H92" s="18">
        <f t="shared" si="14"/>
        <v>87.156855670103113</v>
      </c>
      <c r="I92" s="18">
        <f t="shared" si="15"/>
        <v>0</v>
      </c>
      <c r="J92" s="18">
        <f t="shared" si="16"/>
        <v>76.126804123711352</v>
      </c>
      <c r="K92" s="18">
        <f t="shared" si="17"/>
        <v>0</v>
      </c>
      <c r="L92" s="18">
        <f t="shared" si="18"/>
        <v>63.346391752577333</v>
      </c>
      <c r="M92" s="18">
        <f t="shared" si="19"/>
        <v>0</v>
      </c>
      <c r="N92" s="18">
        <f t="shared" si="20"/>
        <v>56.678350515463926</v>
      </c>
      <c r="O92" s="18">
        <f t="shared" si="21"/>
        <v>0</v>
      </c>
      <c r="P92" s="18">
        <f t="shared" si="22"/>
        <v>51.399484536082475</v>
      </c>
      <c r="Q92" s="18">
        <f t="shared" si="23"/>
        <v>0</v>
      </c>
      <c r="R92" s="743"/>
      <c r="S92" s="547"/>
    </row>
    <row r="93" spans="1:19" s="244" customFormat="1" ht="13.5" thickBot="1">
      <c r="A93" s="1340"/>
      <c r="B93" s="548"/>
      <c r="C93" s="551">
        <v>45201485</v>
      </c>
      <c r="D93" s="552" t="s">
        <v>3984</v>
      </c>
      <c r="E93" s="557">
        <v>5979.3814432989693</v>
      </c>
      <c r="F93" s="13">
        <f t="shared" si="12"/>
        <v>3288.6597938144332</v>
      </c>
      <c r="G93" s="17">
        <f t="shared" si="13"/>
        <v>0</v>
      </c>
      <c r="H93" s="18">
        <f t="shared" si="14"/>
        <v>103.16525773195877</v>
      </c>
      <c r="I93" s="18">
        <f t="shared" si="15"/>
        <v>0</v>
      </c>
      <c r="J93" s="18">
        <f t="shared" si="16"/>
        <v>90.109278350515467</v>
      </c>
      <c r="K93" s="18">
        <f t="shared" si="17"/>
        <v>0</v>
      </c>
      <c r="L93" s="18">
        <f t="shared" si="18"/>
        <v>74.981443298969083</v>
      </c>
      <c r="M93" s="18">
        <f t="shared" si="19"/>
        <v>0</v>
      </c>
      <c r="N93" s="18">
        <f t="shared" si="20"/>
        <v>67.088659793814443</v>
      </c>
      <c r="O93" s="18">
        <f t="shared" si="21"/>
        <v>0</v>
      </c>
      <c r="P93" s="18">
        <f t="shared" si="22"/>
        <v>60.840206185567013</v>
      </c>
      <c r="Q93" s="18">
        <f t="shared" si="23"/>
        <v>0</v>
      </c>
      <c r="R93" s="743"/>
      <c r="S93" s="547"/>
    </row>
    <row r="94" spans="1:19" s="244" customFormat="1" ht="13.5" thickBot="1">
      <c r="A94" s="1340"/>
      <c r="B94" s="548"/>
      <c r="C94" s="549">
        <v>45201487</v>
      </c>
      <c r="D94" s="550" t="s">
        <v>3985</v>
      </c>
      <c r="E94" s="557">
        <v>7010.3092783505153</v>
      </c>
      <c r="F94" s="13">
        <f t="shared" si="12"/>
        <v>3855.6701030927838</v>
      </c>
      <c r="G94" s="17">
        <f t="shared" si="13"/>
        <v>0</v>
      </c>
      <c r="H94" s="18">
        <f t="shared" si="14"/>
        <v>120.95237113402064</v>
      </c>
      <c r="I94" s="18">
        <f t="shared" si="15"/>
        <v>0</v>
      </c>
      <c r="J94" s="18">
        <f t="shared" si="16"/>
        <v>105.64536082474228</v>
      </c>
      <c r="K94" s="18">
        <f t="shared" si="17"/>
        <v>0</v>
      </c>
      <c r="L94" s="18">
        <f t="shared" si="18"/>
        <v>87.909278350515478</v>
      </c>
      <c r="M94" s="18">
        <f t="shared" si="19"/>
        <v>0</v>
      </c>
      <c r="N94" s="18">
        <f t="shared" si="20"/>
        <v>78.655670103092802</v>
      </c>
      <c r="O94" s="18">
        <f t="shared" si="21"/>
        <v>0</v>
      </c>
      <c r="P94" s="18">
        <f t="shared" si="22"/>
        <v>71.329896907216494</v>
      </c>
      <c r="Q94" s="18">
        <f t="shared" si="23"/>
        <v>0</v>
      </c>
      <c r="R94" s="743"/>
      <c r="S94" s="547"/>
    </row>
    <row r="95" spans="1:19" s="244" customFormat="1" ht="13.5" thickBot="1">
      <c r="A95" s="1340"/>
      <c r="B95" s="548"/>
      <c r="C95" s="551">
        <v>45206712</v>
      </c>
      <c r="D95" s="552" t="s">
        <v>3784</v>
      </c>
      <c r="E95" s="557">
        <v>2577.319587628866</v>
      </c>
      <c r="F95" s="13">
        <f t="shared" si="12"/>
        <v>1417.5257731958764</v>
      </c>
      <c r="G95" s="17">
        <f t="shared" si="13"/>
        <v>0</v>
      </c>
      <c r="H95" s="18">
        <f t="shared" si="14"/>
        <v>44.467783505154642</v>
      </c>
      <c r="I95" s="18">
        <f t="shared" si="15"/>
        <v>0</v>
      </c>
      <c r="J95" s="18">
        <f t="shared" si="16"/>
        <v>38.840206185567013</v>
      </c>
      <c r="K95" s="18">
        <f t="shared" si="17"/>
        <v>0</v>
      </c>
      <c r="L95" s="18">
        <f t="shared" si="18"/>
        <v>32.319587628865982</v>
      </c>
      <c r="M95" s="18">
        <f t="shared" si="19"/>
        <v>0</v>
      </c>
      <c r="N95" s="18">
        <f t="shared" si="20"/>
        <v>28.91752577319588</v>
      </c>
      <c r="O95" s="18">
        <f t="shared" si="21"/>
        <v>0</v>
      </c>
      <c r="P95" s="18">
        <f t="shared" si="22"/>
        <v>26.22422680412371</v>
      </c>
      <c r="Q95" s="18">
        <f t="shared" si="23"/>
        <v>0</v>
      </c>
      <c r="R95" s="743"/>
      <c r="S95" s="547"/>
    </row>
    <row r="96" spans="1:19" s="244" customFormat="1" ht="13.5" thickBot="1">
      <c r="A96" s="1340"/>
      <c r="B96" s="548"/>
      <c r="C96" s="551">
        <v>45206719</v>
      </c>
      <c r="D96" s="552" t="s">
        <v>3820</v>
      </c>
      <c r="E96" s="557">
        <v>3092.7835051546394</v>
      </c>
      <c r="F96" s="13">
        <f t="shared" ref="F96:F105" si="24">E96*(1-45%)</f>
        <v>1701.0309278350519</v>
      </c>
      <c r="G96" s="17">
        <f t="shared" ref="G96:G105" si="25">F96*B96</f>
        <v>0</v>
      </c>
      <c r="H96" s="18">
        <f t="shared" ref="H96:H127" si="26">F96*0.03137</f>
        <v>53.361340206185581</v>
      </c>
      <c r="I96" s="18">
        <f t="shared" ref="I96:I127" si="27">H96*B96</f>
        <v>0</v>
      </c>
      <c r="J96" s="18">
        <f t="shared" ref="J96:J127" si="28">F96*0.0274</f>
        <v>46.608247422680421</v>
      </c>
      <c r="K96" s="18">
        <f t="shared" ref="K96:K127" si="29">J96*B96</f>
        <v>0</v>
      </c>
      <c r="L96" s="18">
        <f t="shared" ref="L96:L127" si="30">F96*0.0228</f>
        <v>38.783505154639187</v>
      </c>
      <c r="M96" s="18">
        <f t="shared" ref="M96:M127" si="31">L96*B96</f>
        <v>0</v>
      </c>
      <c r="N96" s="18">
        <f t="shared" ref="N96:N127" si="32">F96*0.0204</f>
        <v>34.701030927835063</v>
      </c>
      <c r="O96" s="18">
        <f t="shared" ref="O96:O127" si="33">N96*B96</f>
        <v>0</v>
      </c>
      <c r="P96" s="18">
        <f t="shared" ref="P96:P127" si="34">F96*0.0185</f>
        <v>31.469072164948457</v>
      </c>
      <c r="Q96" s="18">
        <f t="shared" ref="Q96:Q127" si="35">P96*B96</f>
        <v>0</v>
      </c>
      <c r="R96" s="743"/>
      <c r="S96" s="547"/>
    </row>
    <row r="97" spans="1:19" s="244" customFormat="1" ht="13.5" thickBot="1">
      <c r="A97" s="1340"/>
      <c r="B97" s="548"/>
      <c r="C97" s="551">
        <v>45112781</v>
      </c>
      <c r="D97" s="552" t="s">
        <v>3979</v>
      </c>
      <c r="E97" s="557">
        <v>5560.8247422680415</v>
      </c>
      <c r="F97" s="13">
        <f t="shared" si="24"/>
        <v>3058.4536082474233</v>
      </c>
      <c r="G97" s="17">
        <f t="shared" si="25"/>
        <v>0</v>
      </c>
      <c r="H97" s="18">
        <f t="shared" si="26"/>
        <v>95.943689690721669</v>
      </c>
      <c r="I97" s="18">
        <f t="shared" si="27"/>
        <v>0</v>
      </c>
      <c r="J97" s="18">
        <f t="shared" si="28"/>
        <v>83.801628865979396</v>
      </c>
      <c r="K97" s="18">
        <f t="shared" si="29"/>
        <v>0</v>
      </c>
      <c r="L97" s="18">
        <f t="shared" si="30"/>
        <v>69.73274226804125</v>
      </c>
      <c r="M97" s="18">
        <f t="shared" si="31"/>
        <v>0</v>
      </c>
      <c r="N97" s="18">
        <f t="shared" si="32"/>
        <v>62.392453608247436</v>
      </c>
      <c r="O97" s="18">
        <f t="shared" si="33"/>
        <v>0</v>
      </c>
      <c r="P97" s="18">
        <f t="shared" si="34"/>
        <v>56.581391752577325</v>
      </c>
      <c r="Q97" s="18">
        <f t="shared" si="35"/>
        <v>0</v>
      </c>
      <c r="R97" s="743"/>
      <c r="S97" s="547"/>
    </row>
    <row r="98" spans="1:19" s="244" customFormat="1" ht="13.5" thickBot="1">
      <c r="A98" s="1340"/>
      <c r="B98" s="548"/>
      <c r="C98" s="710">
        <v>100000006366</v>
      </c>
      <c r="D98" s="550" t="s">
        <v>778</v>
      </c>
      <c r="E98" s="557">
        <v>721.64948453608247</v>
      </c>
      <c r="F98" s="13">
        <f t="shared" si="24"/>
        <v>396.90721649484539</v>
      </c>
      <c r="G98" s="17">
        <f t="shared" si="25"/>
        <v>0</v>
      </c>
      <c r="H98" s="18">
        <f t="shared" si="26"/>
        <v>12.4509793814433</v>
      </c>
      <c r="I98" s="18">
        <f t="shared" si="27"/>
        <v>0</v>
      </c>
      <c r="J98" s="18">
        <f t="shared" si="28"/>
        <v>10.875257731958763</v>
      </c>
      <c r="K98" s="18">
        <f t="shared" si="29"/>
        <v>0</v>
      </c>
      <c r="L98" s="18">
        <f t="shared" si="30"/>
        <v>9.0494845360824758</v>
      </c>
      <c r="M98" s="18">
        <f t="shared" si="31"/>
        <v>0</v>
      </c>
      <c r="N98" s="18">
        <f t="shared" si="32"/>
        <v>8.0969072164948468</v>
      </c>
      <c r="O98" s="18">
        <f t="shared" si="33"/>
        <v>0</v>
      </c>
      <c r="P98" s="18">
        <f t="shared" si="34"/>
        <v>7.3427835051546388</v>
      </c>
      <c r="Q98" s="18">
        <f t="shared" si="35"/>
        <v>0</v>
      </c>
      <c r="R98" s="743"/>
      <c r="S98" s="547"/>
    </row>
    <row r="99" spans="1:19" s="244" customFormat="1" ht="13.5" thickBot="1">
      <c r="A99" s="1340"/>
      <c r="B99" s="548"/>
      <c r="C99" s="551">
        <v>45206722</v>
      </c>
      <c r="D99" s="552" t="s">
        <v>3882</v>
      </c>
      <c r="E99" s="557">
        <v>4329.8969072164946</v>
      </c>
      <c r="F99" s="13">
        <f t="shared" si="24"/>
        <v>2381.4432989690722</v>
      </c>
      <c r="G99" s="17">
        <f t="shared" si="25"/>
        <v>0</v>
      </c>
      <c r="H99" s="18">
        <f t="shared" si="26"/>
        <v>74.705876288659795</v>
      </c>
      <c r="I99" s="18">
        <f t="shared" si="27"/>
        <v>0</v>
      </c>
      <c r="J99" s="18">
        <f t="shared" si="28"/>
        <v>65.251546391752584</v>
      </c>
      <c r="K99" s="18">
        <f t="shared" si="29"/>
        <v>0</v>
      </c>
      <c r="L99" s="18">
        <f t="shared" si="30"/>
        <v>54.296907216494851</v>
      </c>
      <c r="M99" s="18">
        <f t="shared" si="31"/>
        <v>0</v>
      </c>
      <c r="N99" s="18">
        <f t="shared" si="32"/>
        <v>48.581443298969077</v>
      </c>
      <c r="O99" s="18">
        <f t="shared" si="33"/>
        <v>0</v>
      </c>
      <c r="P99" s="18">
        <f t="shared" si="34"/>
        <v>44.056701030927833</v>
      </c>
      <c r="Q99" s="18">
        <f t="shared" si="35"/>
        <v>0</v>
      </c>
      <c r="R99" s="743"/>
      <c r="S99" s="547"/>
    </row>
    <row r="100" spans="1:19" s="244" customFormat="1" ht="13.5" thickBot="1">
      <c r="A100" s="1340"/>
      <c r="B100" s="548"/>
      <c r="C100" s="549">
        <v>45206725</v>
      </c>
      <c r="D100" s="550" t="s">
        <v>3883</v>
      </c>
      <c r="E100" s="557">
        <v>6185.5670103092789</v>
      </c>
      <c r="F100" s="13">
        <f t="shared" si="24"/>
        <v>3402.0618556701038</v>
      </c>
      <c r="G100" s="17">
        <f t="shared" si="25"/>
        <v>0</v>
      </c>
      <c r="H100" s="18">
        <f t="shared" si="26"/>
        <v>106.72268041237116</v>
      </c>
      <c r="I100" s="18">
        <f t="shared" si="27"/>
        <v>0</v>
      </c>
      <c r="J100" s="18">
        <f t="shared" si="28"/>
        <v>93.216494845360842</v>
      </c>
      <c r="K100" s="18">
        <f t="shared" si="29"/>
        <v>0</v>
      </c>
      <c r="L100" s="18">
        <f t="shared" si="30"/>
        <v>77.567010309278373</v>
      </c>
      <c r="M100" s="18">
        <f t="shared" si="31"/>
        <v>0</v>
      </c>
      <c r="N100" s="18">
        <f t="shared" si="32"/>
        <v>69.402061855670127</v>
      </c>
      <c r="O100" s="18">
        <f t="shared" si="33"/>
        <v>0</v>
      </c>
      <c r="P100" s="18">
        <f t="shared" si="34"/>
        <v>62.938144329896915</v>
      </c>
      <c r="Q100" s="18">
        <f t="shared" si="35"/>
        <v>0</v>
      </c>
      <c r="R100" s="743"/>
      <c r="S100" s="547"/>
    </row>
    <row r="101" spans="1:19" s="244" customFormat="1" ht="13.5" thickBot="1">
      <c r="A101" s="1340"/>
      <c r="B101" s="548"/>
      <c r="C101" s="551" t="s">
        <v>3830</v>
      </c>
      <c r="D101" s="552" t="s">
        <v>3846</v>
      </c>
      <c r="E101" s="557">
        <v>5365.9793814432987</v>
      </c>
      <c r="F101" s="13">
        <f t="shared" si="24"/>
        <v>2951.2886597938145</v>
      </c>
      <c r="G101" s="17">
        <f t="shared" si="25"/>
        <v>0</v>
      </c>
      <c r="H101" s="18">
        <f t="shared" si="26"/>
        <v>92.581925257731967</v>
      </c>
      <c r="I101" s="18">
        <f t="shared" si="27"/>
        <v>0</v>
      </c>
      <c r="J101" s="18">
        <f t="shared" si="28"/>
        <v>80.865309278350523</v>
      </c>
      <c r="K101" s="18">
        <f t="shared" si="29"/>
        <v>0</v>
      </c>
      <c r="L101" s="18">
        <f t="shared" si="30"/>
        <v>67.289381443298979</v>
      </c>
      <c r="M101" s="18">
        <f t="shared" si="31"/>
        <v>0</v>
      </c>
      <c r="N101" s="18">
        <f t="shared" si="32"/>
        <v>60.20628865979382</v>
      </c>
      <c r="O101" s="18">
        <f t="shared" si="33"/>
        <v>0</v>
      </c>
      <c r="P101" s="18">
        <f t="shared" si="34"/>
        <v>54.598840206185564</v>
      </c>
      <c r="Q101" s="18">
        <f t="shared" si="35"/>
        <v>0</v>
      </c>
      <c r="R101" s="743"/>
      <c r="S101" s="547"/>
    </row>
    <row r="102" spans="1:19" s="244" customFormat="1" ht="13.5" thickBot="1">
      <c r="A102" s="1340"/>
      <c r="B102" s="548"/>
      <c r="C102" s="549">
        <v>7718800</v>
      </c>
      <c r="D102" s="550" t="s">
        <v>3949</v>
      </c>
      <c r="E102" s="557">
        <v>21423.298969072162</v>
      </c>
      <c r="F102" s="13">
        <f t="shared" si="24"/>
        <v>11782.81443298969</v>
      </c>
      <c r="G102" s="17">
        <f t="shared" si="25"/>
        <v>0</v>
      </c>
      <c r="H102" s="18">
        <f t="shared" si="26"/>
        <v>369.62688876288661</v>
      </c>
      <c r="I102" s="18">
        <f t="shared" si="27"/>
        <v>0</v>
      </c>
      <c r="J102" s="18">
        <f t="shared" si="28"/>
        <v>322.84911546391749</v>
      </c>
      <c r="K102" s="18">
        <f t="shared" si="29"/>
        <v>0</v>
      </c>
      <c r="L102" s="18">
        <f t="shared" si="30"/>
        <v>268.64816907216493</v>
      </c>
      <c r="M102" s="18">
        <f t="shared" si="31"/>
        <v>0</v>
      </c>
      <c r="N102" s="18">
        <f t="shared" si="32"/>
        <v>240.36941443298969</v>
      </c>
      <c r="O102" s="18">
        <f t="shared" si="33"/>
        <v>0</v>
      </c>
      <c r="P102" s="18">
        <f t="shared" si="34"/>
        <v>217.98206701030924</v>
      </c>
      <c r="Q102" s="18">
        <f t="shared" si="35"/>
        <v>0</v>
      </c>
      <c r="R102" s="743"/>
      <c r="S102" s="547"/>
    </row>
    <row r="103" spans="1:19" s="244" customFormat="1" ht="13.5" thickBot="1">
      <c r="A103" s="1340"/>
      <c r="B103" s="548"/>
      <c r="C103" s="551">
        <v>7723000</v>
      </c>
      <c r="D103" s="552" t="s">
        <v>782</v>
      </c>
      <c r="E103" s="557">
        <v>47026.350515463913</v>
      </c>
      <c r="F103" s="13">
        <f t="shared" si="24"/>
        <v>25864.492783505153</v>
      </c>
      <c r="G103" s="17">
        <f t="shared" si="25"/>
        <v>0</v>
      </c>
      <c r="H103" s="18">
        <f t="shared" si="26"/>
        <v>811.36913861855669</v>
      </c>
      <c r="I103" s="18">
        <f t="shared" si="27"/>
        <v>0</v>
      </c>
      <c r="J103" s="18">
        <f t="shared" si="28"/>
        <v>708.68710226804126</v>
      </c>
      <c r="K103" s="18">
        <f t="shared" si="29"/>
        <v>0</v>
      </c>
      <c r="L103" s="18">
        <f t="shared" si="30"/>
        <v>589.71043546391752</v>
      </c>
      <c r="M103" s="18">
        <f t="shared" si="31"/>
        <v>0</v>
      </c>
      <c r="N103" s="18">
        <f t="shared" si="32"/>
        <v>527.63565278350518</v>
      </c>
      <c r="O103" s="18">
        <f t="shared" si="33"/>
        <v>0</v>
      </c>
      <c r="P103" s="18">
        <f t="shared" si="34"/>
        <v>478.49311649484531</v>
      </c>
      <c r="Q103" s="18">
        <f t="shared" si="35"/>
        <v>0</v>
      </c>
      <c r="R103" s="743"/>
      <c r="S103" s="547"/>
    </row>
    <row r="104" spans="1:19" s="244" customFormat="1" ht="13.5" thickBot="1">
      <c r="A104" s="1340"/>
      <c r="B104" s="548"/>
      <c r="C104" s="551">
        <v>45150140</v>
      </c>
      <c r="D104" s="552" t="s">
        <v>3980</v>
      </c>
      <c r="E104" s="557">
        <v>1237.1134020618556</v>
      </c>
      <c r="F104" s="13">
        <f t="shared" si="24"/>
        <v>680.41237113402065</v>
      </c>
      <c r="G104" s="17">
        <f t="shared" si="25"/>
        <v>0</v>
      </c>
      <c r="H104" s="18">
        <f t="shared" si="26"/>
        <v>21.344536082474228</v>
      </c>
      <c r="I104" s="18">
        <f t="shared" si="27"/>
        <v>0</v>
      </c>
      <c r="J104" s="18">
        <f t="shared" si="28"/>
        <v>18.643298969072166</v>
      </c>
      <c r="K104" s="18">
        <f t="shared" si="29"/>
        <v>0</v>
      </c>
      <c r="L104" s="18">
        <f t="shared" si="30"/>
        <v>15.513402061855672</v>
      </c>
      <c r="M104" s="18">
        <f t="shared" si="31"/>
        <v>0</v>
      </c>
      <c r="N104" s="18">
        <f t="shared" si="32"/>
        <v>13.880412371134023</v>
      </c>
      <c r="O104" s="18">
        <f t="shared" si="33"/>
        <v>0</v>
      </c>
      <c r="P104" s="18">
        <f t="shared" si="34"/>
        <v>12.587628865979381</v>
      </c>
      <c r="Q104" s="18">
        <f t="shared" si="35"/>
        <v>0</v>
      </c>
      <c r="R104" s="743"/>
      <c r="S104" s="547"/>
    </row>
    <row r="105" spans="1:19" s="244" customFormat="1" ht="13.5" thickBot="1">
      <c r="A105" s="1340"/>
      <c r="B105" s="548"/>
      <c r="C105" s="551" t="s">
        <v>575</v>
      </c>
      <c r="D105" s="552" t="s">
        <v>3962</v>
      </c>
      <c r="E105" s="557">
        <v>10927.835051546392</v>
      </c>
      <c r="F105" s="13">
        <f t="shared" si="24"/>
        <v>6010.3092783505163</v>
      </c>
      <c r="G105" s="17">
        <f t="shared" si="25"/>
        <v>0</v>
      </c>
      <c r="H105" s="18">
        <f t="shared" si="26"/>
        <v>188.54340206185572</v>
      </c>
      <c r="I105" s="18">
        <f t="shared" si="27"/>
        <v>0</v>
      </c>
      <c r="J105" s="18">
        <f t="shared" si="28"/>
        <v>164.68247422680415</v>
      </c>
      <c r="K105" s="18">
        <f t="shared" si="29"/>
        <v>0</v>
      </c>
      <c r="L105" s="18">
        <f t="shared" si="30"/>
        <v>137.03505154639177</v>
      </c>
      <c r="M105" s="18">
        <f t="shared" si="31"/>
        <v>0</v>
      </c>
      <c r="N105" s="18">
        <f t="shared" si="32"/>
        <v>122.61030927835054</v>
      </c>
      <c r="O105" s="18">
        <f t="shared" si="33"/>
        <v>0</v>
      </c>
      <c r="P105" s="18">
        <f t="shared" si="34"/>
        <v>111.19072164948454</v>
      </c>
      <c r="Q105" s="18">
        <f t="shared" si="35"/>
        <v>0</v>
      </c>
      <c r="R105" s="743"/>
      <c r="S105" s="547"/>
    </row>
    <row r="106" spans="1:19" s="244" customFormat="1" ht="13.5" thickBot="1">
      <c r="A106" s="1340"/>
      <c r="B106" s="548"/>
      <c r="C106" s="551" t="s">
        <v>64</v>
      </c>
      <c r="D106" s="552" t="s">
        <v>3855</v>
      </c>
      <c r="E106" s="557">
        <v>1376.9072164948452</v>
      </c>
      <c r="F106" s="13">
        <v>741.40000000000009</v>
      </c>
      <c r="G106" s="17">
        <v>0</v>
      </c>
      <c r="H106" s="18">
        <f t="shared" si="26"/>
        <v>23.257718000000004</v>
      </c>
      <c r="I106" s="18">
        <f t="shared" si="27"/>
        <v>0</v>
      </c>
      <c r="J106" s="18">
        <f t="shared" si="28"/>
        <v>20.314360000000004</v>
      </c>
      <c r="K106" s="18">
        <f t="shared" si="29"/>
        <v>0</v>
      </c>
      <c r="L106" s="18">
        <f t="shared" si="30"/>
        <v>16.903920000000003</v>
      </c>
      <c r="M106" s="18">
        <f t="shared" si="31"/>
        <v>0</v>
      </c>
      <c r="N106" s="18">
        <f t="shared" si="32"/>
        <v>15.124560000000002</v>
      </c>
      <c r="O106" s="18">
        <f t="shared" si="33"/>
        <v>0</v>
      </c>
      <c r="P106" s="18">
        <f t="shared" si="34"/>
        <v>13.715900000000001</v>
      </c>
      <c r="Q106" s="18">
        <f t="shared" si="35"/>
        <v>0</v>
      </c>
      <c r="R106" s="743"/>
      <c r="S106" s="547"/>
    </row>
    <row r="107" spans="1:19" s="244" customFormat="1" ht="13.5" thickBot="1">
      <c r="A107" s="1340"/>
      <c r="B107" s="548"/>
      <c r="C107" s="551" t="s">
        <v>620</v>
      </c>
      <c r="D107" s="552" t="s">
        <v>3858</v>
      </c>
      <c r="E107" s="557">
        <v>2180.103092783505</v>
      </c>
      <c r="F107" s="13">
        <f t="shared" ref="F107:F138" si="36">E107*(1-45%)</f>
        <v>1199.0567010309278</v>
      </c>
      <c r="G107" s="17">
        <f t="shared" ref="G107:G138" si="37">F107*B107</f>
        <v>0</v>
      </c>
      <c r="H107" s="18">
        <f t="shared" si="26"/>
        <v>37.614408711340211</v>
      </c>
      <c r="I107" s="18">
        <f t="shared" si="27"/>
        <v>0</v>
      </c>
      <c r="J107" s="18">
        <f t="shared" si="28"/>
        <v>32.854153608247422</v>
      </c>
      <c r="K107" s="18">
        <f t="shared" si="29"/>
        <v>0</v>
      </c>
      <c r="L107" s="18">
        <f t="shared" si="30"/>
        <v>27.338492783505156</v>
      </c>
      <c r="M107" s="18">
        <f t="shared" si="31"/>
        <v>0</v>
      </c>
      <c r="N107" s="18">
        <f t="shared" si="32"/>
        <v>24.460756701030927</v>
      </c>
      <c r="O107" s="18">
        <f t="shared" si="33"/>
        <v>0</v>
      </c>
      <c r="P107" s="18">
        <f t="shared" si="34"/>
        <v>22.182548969072162</v>
      </c>
      <c r="Q107" s="18">
        <f t="shared" si="35"/>
        <v>0</v>
      </c>
      <c r="R107" s="743"/>
      <c r="S107" s="547"/>
    </row>
    <row r="108" spans="1:19" s="244" customFormat="1" ht="13.5" thickBot="1">
      <c r="A108" s="1340"/>
      <c r="B108" s="548"/>
      <c r="C108" s="551" t="s">
        <v>576</v>
      </c>
      <c r="D108" s="552" t="s">
        <v>3859</v>
      </c>
      <c r="E108" s="557">
        <v>2404.1237113402062</v>
      </c>
      <c r="F108" s="13">
        <f t="shared" si="36"/>
        <v>1322.2680412371135</v>
      </c>
      <c r="G108" s="17">
        <f t="shared" si="37"/>
        <v>0</v>
      </c>
      <c r="H108" s="18">
        <f t="shared" si="26"/>
        <v>41.479548453608253</v>
      </c>
      <c r="I108" s="18">
        <f t="shared" si="27"/>
        <v>0</v>
      </c>
      <c r="J108" s="18">
        <f t="shared" si="28"/>
        <v>36.230144329896909</v>
      </c>
      <c r="K108" s="18">
        <f t="shared" si="29"/>
        <v>0</v>
      </c>
      <c r="L108" s="18">
        <f t="shared" si="30"/>
        <v>30.14771134020619</v>
      </c>
      <c r="M108" s="18">
        <f t="shared" si="31"/>
        <v>0</v>
      </c>
      <c r="N108" s="18">
        <f t="shared" si="32"/>
        <v>26.974268041237117</v>
      </c>
      <c r="O108" s="18">
        <f t="shared" si="33"/>
        <v>0</v>
      </c>
      <c r="P108" s="18">
        <f t="shared" si="34"/>
        <v>24.461958762886599</v>
      </c>
      <c r="Q108" s="18">
        <f t="shared" si="35"/>
        <v>0</v>
      </c>
      <c r="R108" s="743"/>
      <c r="S108" s="547"/>
    </row>
    <row r="109" spans="1:19" s="244" customFormat="1" ht="13.5" thickBot="1">
      <c r="A109" s="1340"/>
      <c r="B109" s="548"/>
      <c r="C109" s="551" t="s">
        <v>267</v>
      </c>
      <c r="D109" s="552" t="s">
        <v>3850</v>
      </c>
      <c r="E109" s="557">
        <v>257.73195876288662</v>
      </c>
      <c r="F109" s="13">
        <f t="shared" si="36"/>
        <v>141.75257731958766</v>
      </c>
      <c r="G109" s="17">
        <f t="shared" si="37"/>
        <v>0</v>
      </c>
      <c r="H109" s="18">
        <f t="shared" si="26"/>
        <v>4.4467783505154648</v>
      </c>
      <c r="I109" s="18">
        <f t="shared" si="27"/>
        <v>0</v>
      </c>
      <c r="J109" s="18">
        <f t="shared" si="28"/>
        <v>3.8840206185567019</v>
      </c>
      <c r="K109" s="18">
        <f t="shared" si="29"/>
        <v>0</v>
      </c>
      <c r="L109" s="18">
        <f t="shared" si="30"/>
        <v>3.2319587628865989</v>
      </c>
      <c r="M109" s="18">
        <f t="shared" si="31"/>
        <v>0</v>
      </c>
      <c r="N109" s="18">
        <f t="shared" si="32"/>
        <v>2.8917525773195885</v>
      </c>
      <c r="O109" s="18">
        <f t="shared" si="33"/>
        <v>0</v>
      </c>
      <c r="P109" s="18">
        <f t="shared" si="34"/>
        <v>2.6224226804123716</v>
      </c>
      <c r="Q109" s="18">
        <f t="shared" si="35"/>
        <v>0</v>
      </c>
      <c r="R109" s="743"/>
      <c r="S109" s="547"/>
    </row>
    <row r="110" spans="1:19" s="244" customFormat="1" ht="13.5" thickBot="1">
      <c r="A110" s="1340"/>
      <c r="B110" s="548"/>
      <c r="C110" s="551" t="s">
        <v>618</v>
      </c>
      <c r="D110" s="552" t="s">
        <v>3856</v>
      </c>
      <c r="E110" s="557">
        <v>1830.9278350515465</v>
      </c>
      <c r="F110" s="13">
        <f t="shared" si="36"/>
        <v>1007.0103092783506</v>
      </c>
      <c r="G110" s="17">
        <f t="shared" si="37"/>
        <v>0</v>
      </c>
      <c r="H110" s="18">
        <f t="shared" si="26"/>
        <v>31.58991340206186</v>
      </c>
      <c r="I110" s="18">
        <f t="shared" si="27"/>
        <v>0</v>
      </c>
      <c r="J110" s="18">
        <f t="shared" si="28"/>
        <v>27.592082474226807</v>
      </c>
      <c r="K110" s="18">
        <f t="shared" si="29"/>
        <v>0</v>
      </c>
      <c r="L110" s="18">
        <f t="shared" si="30"/>
        <v>22.959835051546396</v>
      </c>
      <c r="M110" s="18">
        <f t="shared" si="31"/>
        <v>0</v>
      </c>
      <c r="N110" s="18">
        <f t="shared" si="32"/>
        <v>20.543010309278355</v>
      </c>
      <c r="O110" s="18">
        <f t="shared" si="33"/>
        <v>0</v>
      </c>
      <c r="P110" s="18">
        <f t="shared" si="34"/>
        <v>18.629690721649485</v>
      </c>
      <c r="Q110" s="18">
        <f t="shared" si="35"/>
        <v>0</v>
      </c>
      <c r="R110" s="743"/>
      <c r="S110" s="547"/>
    </row>
    <row r="111" spans="1:19" s="244" customFormat="1" ht="13.5" thickBot="1">
      <c r="A111" s="1340"/>
      <c r="B111" s="548"/>
      <c r="C111" s="549" t="s">
        <v>3908</v>
      </c>
      <c r="D111" s="550" t="s">
        <v>3988</v>
      </c>
      <c r="E111" s="557">
        <v>31435.051546391755</v>
      </c>
      <c r="F111" s="13">
        <f t="shared" si="36"/>
        <v>17289.278350515466</v>
      </c>
      <c r="G111" s="17">
        <f t="shared" si="37"/>
        <v>0</v>
      </c>
      <c r="H111" s="18">
        <f t="shared" si="26"/>
        <v>542.36466185567019</v>
      </c>
      <c r="I111" s="18">
        <f t="shared" si="27"/>
        <v>0</v>
      </c>
      <c r="J111" s="18">
        <f t="shared" si="28"/>
        <v>473.72622680412377</v>
      </c>
      <c r="K111" s="18">
        <f t="shared" si="29"/>
        <v>0</v>
      </c>
      <c r="L111" s="18">
        <f t="shared" si="30"/>
        <v>394.19554639175266</v>
      </c>
      <c r="M111" s="18">
        <f t="shared" si="31"/>
        <v>0</v>
      </c>
      <c r="N111" s="18">
        <f t="shared" si="32"/>
        <v>352.70127835051551</v>
      </c>
      <c r="O111" s="18">
        <f t="shared" si="33"/>
        <v>0</v>
      </c>
      <c r="P111" s="18">
        <f t="shared" si="34"/>
        <v>319.8516494845361</v>
      </c>
      <c r="Q111" s="18">
        <f t="shared" si="35"/>
        <v>0</v>
      </c>
      <c r="R111" s="743"/>
      <c r="S111" s="547"/>
    </row>
    <row r="112" spans="1:19" s="244" customFormat="1" ht="13.5" thickBot="1">
      <c r="A112" s="1340"/>
      <c r="B112" s="548"/>
      <c r="C112" s="549" t="s">
        <v>3835</v>
      </c>
      <c r="D112" s="550" t="s">
        <v>3884</v>
      </c>
      <c r="E112" s="557">
        <v>9278.350515463917</v>
      </c>
      <c r="F112" s="13">
        <f t="shared" si="36"/>
        <v>5103.0927835051543</v>
      </c>
      <c r="G112" s="17">
        <f t="shared" si="37"/>
        <v>0</v>
      </c>
      <c r="H112" s="18">
        <f t="shared" si="26"/>
        <v>160.08402061855671</v>
      </c>
      <c r="I112" s="18">
        <f t="shared" si="27"/>
        <v>0</v>
      </c>
      <c r="J112" s="18">
        <f t="shared" si="28"/>
        <v>139.82474226804123</v>
      </c>
      <c r="K112" s="18">
        <f t="shared" si="29"/>
        <v>0</v>
      </c>
      <c r="L112" s="18">
        <f t="shared" si="30"/>
        <v>116.35051546391752</v>
      </c>
      <c r="M112" s="18">
        <f t="shared" si="31"/>
        <v>0</v>
      </c>
      <c r="N112" s="18">
        <f t="shared" si="32"/>
        <v>104.10309278350516</v>
      </c>
      <c r="O112" s="18">
        <f t="shared" si="33"/>
        <v>0</v>
      </c>
      <c r="P112" s="18">
        <f t="shared" si="34"/>
        <v>94.407216494845343</v>
      </c>
      <c r="Q112" s="18">
        <f t="shared" si="35"/>
        <v>0</v>
      </c>
      <c r="R112" s="743"/>
      <c r="S112" s="547"/>
    </row>
    <row r="113" spans="1:19" s="244" customFormat="1" ht="13.5" thickBot="1">
      <c r="A113" s="1340"/>
      <c r="B113" s="548"/>
      <c r="C113" s="549" t="s">
        <v>3909</v>
      </c>
      <c r="D113" s="550" t="s">
        <v>3989</v>
      </c>
      <c r="E113" s="557">
        <v>7113.4020618556706</v>
      </c>
      <c r="F113" s="13">
        <f t="shared" si="36"/>
        <v>3912.3711340206191</v>
      </c>
      <c r="G113" s="17">
        <f t="shared" si="37"/>
        <v>0</v>
      </c>
      <c r="H113" s="18">
        <f t="shared" si="26"/>
        <v>122.73108247422682</v>
      </c>
      <c r="I113" s="18">
        <f t="shared" si="27"/>
        <v>0</v>
      </c>
      <c r="J113" s="18">
        <f t="shared" si="28"/>
        <v>107.19896907216497</v>
      </c>
      <c r="K113" s="18">
        <f t="shared" si="29"/>
        <v>0</v>
      </c>
      <c r="L113" s="18">
        <f t="shared" si="30"/>
        <v>89.202061855670124</v>
      </c>
      <c r="M113" s="18">
        <f t="shared" si="31"/>
        <v>0</v>
      </c>
      <c r="N113" s="18">
        <f t="shared" si="32"/>
        <v>79.812371134020637</v>
      </c>
      <c r="O113" s="18">
        <f t="shared" si="33"/>
        <v>0</v>
      </c>
      <c r="P113" s="18">
        <f t="shared" si="34"/>
        <v>72.378865979381445</v>
      </c>
      <c r="Q113" s="18">
        <f t="shared" si="35"/>
        <v>0</v>
      </c>
      <c r="R113" s="743"/>
      <c r="S113" s="547"/>
    </row>
    <row r="114" spans="1:19" s="244" customFormat="1" ht="13.5" thickBot="1">
      <c r="A114" s="1340"/>
      <c r="B114" s="548"/>
      <c r="C114" s="549" t="s">
        <v>3832</v>
      </c>
      <c r="D114" s="550" t="s">
        <v>3865</v>
      </c>
      <c r="E114" s="557">
        <v>1608.2474226804125</v>
      </c>
      <c r="F114" s="13">
        <f t="shared" si="36"/>
        <v>884.53608247422687</v>
      </c>
      <c r="G114" s="17">
        <f t="shared" si="37"/>
        <v>0</v>
      </c>
      <c r="H114" s="18">
        <f t="shared" si="26"/>
        <v>27.7478969072165</v>
      </c>
      <c r="I114" s="18">
        <f t="shared" si="27"/>
        <v>0</v>
      </c>
      <c r="J114" s="18">
        <f t="shared" si="28"/>
        <v>24.236288659793818</v>
      </c>
      <c r="K114" s="18">
        <f t="shared" si="29"/>
        <v>0</v>
      </c>
      <c r="L114" s="18">
        <f t="shared" si="30"/>
        <v>20.167422680412372</v>
      </c>
      <c r="M114" s="18">
        <f t="shared" si="31"/>
        <v>0</v>
      </c>
      <c r="N114" s="18">
        <f t="shared" si="32"/>
        <v>18.044536082474231</v>
      </c>
      <c r="O114" s="18">
        <f t="shared" si="33"/>
        <v>0</v>
      </c>
      <c r="P114" s="18">
        <f t="shared" si="34"/>
        <v>16.363917525773196</v>
      </c>
      <c r="Q114" s="18">
        <f t="shared" si="35"/>
        <v>0</v>
      </c>
      <c r="R114" s="743"/>
      <c r="S114" s="547"/>
    </row>
    <row r="115" spans="1:19" s="244" customFormat="1" ht="13.5" thickBot="1">
      <c r="A115" s="1340"/>
      <c r="B115" s="548"/>
      <c r="C115" s="549" t="s">
        <v>577</v>
      </c>
      <c r="D115" s="550" t="s">
        <v>3960</v>
      </c>
      <c r="E115" s="557">
        <v>18556.701030927834</v>
      </c>
      <c r="F115" s="13">
        <f t="shared" si="36"/>
        <v>10206.185567010309</v>
      </c>
      <c r="G115" s="17">
        <f t="shared" si="37"/>
        <v>0</v>
      </c>
      <c r="H115" s="18">
        <f t="shared" si="26"/>
        <v>320.16804123711341</v>
      </c>
      <c r="I115" s="18">
        <f t="shared" si="27"/>
        <v>0</v>
      </c>
      <c r="J115" s="18">
        <f t="shared" si="28"/>
        <v>279.64948453608247</v>
      </c>
      <c r="K115" s="18">
        <f t="shared" si="29"/>
        <v>0</v>
      </c>
      <c r="L115" s="18">
        <f t="shared" si="30"/>
        <v>232.70103092783503</v>
      </c>
      <c r="M115" s="18">
        <f t="shared" si="31"/>
        <v>0</v>
      </c>
      <c r="N115" s="18">
        <f t="shared" si="32"/>
        <v>208.20618556701032</v>
      </c>
      <c r="O115" s="18">
        <f t="shared" si="33"/>
        <v>0</v>
      </c>
      <c r="P115" s="18">
        <f t="shared" si="34"/>
        <v>188.81443298969069</v>
      </c>
      <c r="Q115" s="18">
        <f t="shared" si="35"/>
        <v>0</v>
      </c>
      <c r="R115" s="743"/>
      <c r="S115" s="547"/>
    </row>
    <row r="116" spans="1:19" s="244" customFormat="1" ht="13.5" thickBot="1">
      <c r="A116" s="1340"/>
      <c r="B116" s="548"/>
      <c r="C116" s="551" t="s">
        <v>3746</v>
      </c>
      <c r="D116" s="552" t="s">
        <v>3971</v>
      </c>
      <c r="E116" s="557">
        <v>1154.6391752577319</v>
      </c>
      <c r="F116" s="13">
        <f t="shared" si="36"/>
        <v>635.05154639175259</v>
      </c>
      <c r="G116" s="17">
        <f t="shared" si="37"/>
        <v>0</v>
      </c>
      <c r="H116" s="18">
        <f t="shared" si="26"/>
        <v>19.921567010309282</v>
      </c>
      <c r="I116" s="18">
        <f t="shared" si="27"/>
        <v>0</v>
      </c>
      <c r="J116" s="18">
        <f t="shared" si="28"/>
        <v>17.400412371134021</v>
      </c>
      <c r="K116" s="18">
        <f t="shared" si="29"/>
        <v>0</v>
      </c>
      <c r="L116" s="18">
        <f t="shared" si="30"/>
        <v>14.47917525773196</v>
      </c>
      <c r="M116" s="18">
        <f t="shared" si="31"/>
        <v>0</v>
      </c>
      <c r="N116" s="18">
        <f t="shared" si="32"/>
        <v>12.955051546391754</v>
      </c>
      <c r="O116" s="18">
        <f t="shared" si="33"/>
        <v>0</v>
      </c>
      <c r="P116" s="18">
        <f t="shared" si="34"/>
        <v>11.748453608247422</v>
      </c>
      <c r="Q116" s="18">
        <f t="shared" si="35"/>
        <v>0</v>
      </c>
      <c r="R116" s="743"/>
      <c r="S116" s="547"/>
    </row>
    <row r="117" spans="1:19" s="244" customFormat="1" ht="13.5" thickBot="1">
      <c r="A117" s="1340"/>
      <c r="B117" s="548"/>
      <c r="C117" s="551" t="s">
        <v>3742</v>
      </c>
      <c r="D117" s="552" t="s">
        <v>3967</v>
      </c>
      <c r="E117" s="557">
        <v>917.93814432989689</v>
      </c>
      <c r="F117" s="13">
        <f t="shared" si="36"/>
        <v>504.86597938144331</v>
      </c>
      <c r="G117" s="17">
        <f t="shared" si="37"/>
        <v>0</v>
      </c>
      <c r="H117" s="18">
        <f t="shared" si="26"/>
        <v>15.837645773195877</v>
      </c>
      <c r="I117" s="18">
        <f t="shared" si="27"/>
        <v>0</v>
      </c>
      <c r="J117" s="18">
        <f t="shared" si="28"/>
        <v>13.833327835051547</v>
      </c>
      <c r="K117" s="18">
        <f t="shared" si="29"/>
        <v>0</v>
      </c>
      <c r="L117" s="18">
        <f t="shared" si="30"/>
        <v>11.510944329896908</v>
      </c>
      <c r="M117" s="18">
        <f t="shared" si="31"/>
        <v>0</v>
      </c>
      <c r="N117" s="18">
        <f t="shared" si="32"/>
        <v>10.299265979381444</v>
      </c>
      <c r="O117" s="18">
        <f t="shared" si="33"/>
        <v>0</v>
      </c>
      <c r="P117" s="18">
        <f t="shared" si="34"/>
        <v>9.3400206185567001</v>
      </c>
      <c r="Q117" s="18">
        <f t="shared" si="35"/>
        <v>0</v>
      </c>
      <c r="R117" s="743"/>
      <c r="S117" s="547"/>
    </row>
    <row r="118" spans="1:19" s="244" customFormat="1" ht="13.5" thickBot="1">
      <c r="A118" s="1340"/>
      <c r="B118" s="548"/>
      <c r="C118" s="551" t="s">
        <v>799</v>
      </c>
      <c r="D118" s="552" t="s">
        <v>3843</v>
      </c>
      <c r="E118" s="557">
        <v>396.67010309278351</v>
      </c>
      <c r="F118" s="13">
        <f t="shared" si="36"/>
        <v>218.16855670103095</v>
      </c>
      <c r="G118" s="17">
        <f t="shared" si="37"/>
        <v>0</v>
      </c>
      <c r="H118" s="18">
        <f t="shared" si="26"/>
        <v>6.8439476237113412</v>
      </c>
      <c r="I118" s="18">
        <f t="shared" si="27"/>
        <v>0</v>
      </c>
      <c r="J118" s="18">
        <f t="shared" si="28"/>
        <v>5.9778184536082479</v>
      </c>
      <c r="K118" s="18">
        <f t="shared" si="29"/>
        <v>0</v>
      </c>
      <c r="L118" s="18">
        <f t="shared" si="30"/>
        <v>4.9742430927835057</v>
      </c>
      <c r="M118" s="18">
        <f t="shared" si="31"/>
        <v>0</v>
      </c>
      <c r="N118" s="18">
        <f t="shared" si="32"/>
        <v>4.4506385567010316</v>
      </c>
      <c r="O118" s="18">
        <f t="shared" si="33"/>
        <v>0</v>
      </c>
      <c r="P118" s="18">
        <f t="shared" si="34"/>
        <v>4.0361182989690727</v>
      </c>
      <c r="Q118" s="18">
        <f t="shared" si="35"/>
        <v>0</v>
      </c>
      <c r="R118" s="743"/>
      <c r="S118" s="547"/>
    </row>
    <row r="119" spans="1:19" s="244" customFormat="1" ht="13.5" thickBot="1">
      <c r="A119" s="1340"/>
      <c r="B119" s="548"/>
      <c r="C119" s="551" t="s">
        <v>3737</v>
      </c>
      <c r="D119" s="552" t="s">
        <v>3963</v>
      </c>
      <c r="E119" s="557">
        <v>21598.969072164949</v>
      </c>
      <c r="F119" s="13">
        <f t="shared" si="36"/>
        <v>11879.432989690724</v>
      </c>
      <c r="G119" s="17">
        <f t="shared" si="37"/>
        <v>0</v>
      </c>
      <c r="H119" s="18">
        <f t="shared" si="26"/>
        <v>372.65781288659804</v>
      </c>
      <c r="I119" s="18">
        <f t="shared" si="27"/>
        <v>0</v>
      </c>
      <c r="J119" s="18">
        <f t="shared" si="28"/>
        <v>325.49646391752583</v>
      </c>
      <c r="K119" s="18">
        <f t="shared" si="29"/>
        <v>0</v>
      </c>
      <c r="L119" s="18">
        <f t="shared" si="30"/>
        <v>270.8510721649485</v>
      </c>
      <c r="M119" s="18">
        <f t="shared" si="31"/>
        <v>0</v>
      </c>
      <c r="N119" s="18">
        <f t="shared" si="32"/>
        <v>242.34043298969078</v>
      </c>
      <c r="O119" s="18">
        <f t="shared" si="33"/>
        <v>0</v>
      </c>
      <c r="P119" s="18">
        <f t="shared" si="34"/>
        <v>219.76951030927839</v>
      </c>
      <c r="Q119" s="18">
        <f t="shared" si="35"/>
        <v>0</v>
      </c>
      <c r="R119" s="743"/>
      <c r="S119" s="547"/>
    </row>
    <row r="120" spans="1:19" s="244" customFormat="1" ht="13.5" thickBot="1">
      <c r="A120" s="1340"/>
      <c r="B120" s="548"/>
      <c r="C120" s="549" t="s">
        <v>544</v>
      </c>
      <c r="D120" s="550" t="s">
        <v>3854</v>
      </c>
      <c r="E120" s="557">
        <v>3671.7525773195875</v>
      </c>
      <c r="F120" s="13">
        <f t="shared" si="36"/>
        <v>2019.4639175257732</v>
      </c>
      <c r="G120" s="17">
        <f t="shared" si="37"/>
        <v>0</v>
      </c>
      <c r="H120" s="18">
        <f t="shared" si="26"/>
        <v>63.350583092783509</v>
      </c>
      <c r="I120" s="18">
        <f t="shared" si="27"/>
        <v>0</v>
      </c>
      <c r="J120" s="18">
        <f t="shared" si="28"/>
        <v>55.333311340206187</v>
      </c>
      <c r="K120" s="18">
        <f t="shared" si="29"/>
        <v>0</v>
      </c>
      <c r="L120" s="18">
        <f t="shared" si="30"/>
        <v>46.043777319587633</v>
      </c>
      <c r="M120" s="18">
        <f t="shared" si="31"/>
        <v>0</v>
      </c>
      <c r="N120" s="18">
        <f t="shared" si="32"/>
        <v>41.197063917525774</v>
      </c>
      <c r="O120" s="18">
        <f t="shared" si="33"/>
        <v>0</v>
      </c>
      <c r="P120" s="18">
        <f t="shared" si="34"/>
        <v>37.3600824742268</v>
      </c>
      <c r="Q120" s="18">
        <f t="shared" si="35"/>
        <v>0</v>
      </c>
      <c r="R120" s="743"/>
      <c r="S120" s="547"/>
    </row>
    <row r="121" spans="1:19" s="244" customFormat="1" ht="13.5" thickBot="1">
      <c r="A121" s="1340"/>
      <c r="B121" s="548"/>
      <c r="C121" s="551" t="s">
        <v>589</v>
      </c>
      <c r="D121" s="552" t="s">
        <v>3863</v>
      </c>
      <c r="E121" s="557">
        <v>5670.1030927835054</v>
      </c>
      <c r="F121" s="13">
        <f t="shared" si="36"/>
        <v>3118.5567010309283</v>
      </c>
      <c r="G121" s="17">
        <f t="shared" si="37"/>
        <v>0</v>
      </c>
      <c r="H121" s="18">
        <f t="shared" si="26"/>
        <v>97.82912371134023</v>
      </c>
      <c r="I121" s="18">
        <f t="shared" si="27"/>
        <v>0</v>
      </c>
      <c r="J121" s="18">
        <f t="shared" si="28"/>
        <v>85.448453608247434</v>
      </c>
      <c r="K121" s="18">
        <f t="shared" si="29"/>
        <v>0</v>
      </c>
      <c r="L121" s="18">
        <f t="shared" si="30"/>
        <v>71.103092783505161</v>
      </c>
      <c r="M121" s="18">
        <f t="shared" si="31"/>
        <v>0</v>
      </c>
      <c r="N121" s="18">
        <f t="shared" si="32"/>
        <v>63.61855670103094</v>
      </c>
      <c r="O121" s="18">
        <f t="shared" si="33"/>
        <v>0</v>
      </c>
      <c r="P121" s="18">
        <f t="shared" si="34"/>
        <v>57.693298969072167</v>
      </c>
      <c r="Q121" s="18">
        <f t="shared" si="35"/>
        <v>0</v>
      </c>
      <c r="R121" s="743"/>
      <c r="S121" s="547"/>
    </row>
    <row r="122" spans="1:19" s="244" customFormat="1" ht="13.5" thickBot="1">
      <c r="A122" s="1340"/>
      <c r="B122" s="548"/>
      <c r="C122" s="551" t="s">
        <v>621</v>
      </c>
      <c r="D122" s="552" t="s">
        <v>3864</v>
      </c>
      <c r="E122" s="557">
        <v>4561.855670103093</v>
      </c>
      <c r="F122" s="13">
        <f t="shared" si="36"/>
        <v>2509.0206185567013</v>
      </c>
      <c r="G122" s="17">
        <f t="shared" si="37"/>
        <v>0</v>
      </c>
      <c r="H122" s="18">
        <f t="shared" si="26"/>
        <v>78.707976804123717</v>
      </c>
      <c r="I122" s="18">
        <f t="shared" si="27"/>
        <v>0</v>
      </c>
      <c r="J122" s="18">
        <f t="shared" si="28"/>
        <v>68.747164948453616</v>
      </c>
      <c r="K122" s="18">
        <f t="shared" si="29"/>
        <v>0</v>
      </c>
      <c r="L122" s="18">
        <f t="shared" si="30"/>
        <v>57.205670103092793</v>
      </c>
      <c r="M122" s="18">
        <f t="shared" si="31"/>
        <v>0</v>
      </c>
      <c r="N122" s="18">
        <f t="shared" si="32"/>
        <v>51.184020618556708</v>
      </c>
      <c r="O122" s="18">
        <f t="shared" si="33"/>
        <v>0</v>
      </c>
      <c r="P122" s="18">
        <f t="shared" si="34"/>
        <v>46.416881443298969</v>
      </c>
      <c r="Q122" s="18">
        <f t="shared" si="35"/>
        <v>0</v>
      </c>
      <c r="R122" s="743"/>
      <c r="S122" s="547"/>
    </row>
    <row r="123" spans="1:19" s="244" customFormat="1" ht="13.5" thickBot="1">
      <c r="A123" s="1340"/>
      <c r="B123" s="548"/>
      <c r="C123" s="549" t="s">
        <v>3833</v>
      </c>
      <c r="D123" s="550" t="s">
        <v>3866</v>
      </c>
      <c r="E123" s="557">
        <v>600</v>
      </c>
      <c r="F123" s="13">
        <f t="shared" si="36"/>
        <v>330</v>
      </c>
      <c r="G123" s="17">
        <f t="shared" si="37"/>
        <v>0</v>
      </c>
      <c r="H123" s="18">
        <f t="shared" si="26"/>
        <v>10.3521</v>
      </c>
      <c r="I123" s="18">
        <f t="shared" si="27"/>
        <v>0</v>
      </c>
      <c r="J123" s="18">
        <f t="shared" si="28"/>
        <v>9.0419999999999998</v>
      </c>
      <c r="K123" s="18">
        <f t="shared" si="29"/>
        <v>0</v>
      </c>
      <c r="L123" s="18">
        <f t="shared" si="30"/>
        <v>7.524</v>
      </c>
      <c r="M123" s="18">
        <f t="shared" si="31"/>
        <v>0</v>
      </c>
      <c r="N123" s="18">
        <f t="shared" si="32"/>
        <v>6.7320000000000002</v>
      </c>
      <c r="O123" s="18">
        <f t="shared" si="33"/>
        <v>0</v>
      </c>
      <c r="P123" s="18">
        <f t="shared" si="34"/>
        <v>6.1049999999999995</v>
      </c>
      <c r="Q123" s="18">
        <f t="shared" si="35"/>
        <v>0</v>
      </c>
      <c r="R123" s="743"/>
      <c r="S123" s="547"/>
    </row>
    <row r="124" spans="1:19" s="244" customFormat="1" ht="13.5" thickBot="1">
      <c r="A124" s="1340"/>
      <c r="B124" s="548"/>
      <c r="C124" s="551" t="s">
        <v>56</v>
      </c>
      <c r="D124" s="552" t="s">
        <v>3848</v>
      </c>
      <c r="E124" s="557">
        <v>458.76288659793818</v>
      </c>
      <c r="F124" s="13">
        <f t="shared" si="36"/>
        <v>252.31958762886603</v>
      </c>
      <c r="G124" s="17">
        <f t="shared" si="37"/>
        <v>0</v>
      </c>
      <c r="H124" s="18">
        <f t="shared" si="26"/>
        <v>7.9152654639175282</v>
      </c>
      <c r="I124" s="18">
        <f t="shared" si="27"/>
        <v>0</v>
      </c>
      <c r="J124" s="18">
        <f t="shared" si="28"/>
        <v>6.9135567010309291</v>
      </c>
      <c r="K124" s="18">
        <f t="shared" si="29"/>
        <v>0</v>
      </c>
      <c r="L124" s="18">
        <f t="shared" si="30"/>
        <v>5.7528865979381454</v>
      </c>
      <c r="M124" s="18">
        <f t="shared" si="31"/>
        <v>0</v>
      </c>
      <c r="N124" s="18">
        <f t="shared" si="32"/>
        <v>5.1473195876288678</v>
      </c>
      <c r="O124" s="18">
        <f t="shared" si="33"/>
        <v>0</v>
      </c>
      <c r="P124" s="18">
        <f t="shared" si="34"/>
        <v>4.6679123711340216</v>
      </c>
      <c r="Q124" s="18">
        <f t="shared" si="35"/>
        <v>0</v>
      </c>
      <c r="R124" s="743"/>
      <c r="S124" s="547"/>
    </row>
    <row r="125" spans="1:19" s="244" customFormat="1" ht="13.5" thickBot="1">
      <c r="A125" s="1340"/>
      <c r="B125" s="548"/>
      <c r="C125" s="551" t="s">
        <v>578</v>
      </c>
      <c r="D125" s="552" t="s">
        <v>3958</v>
      </c>
      <c r="E125" s="557">
        <v>1469.0721649484537</v>
      </c>
      <c r="F125" s="13">
        <f t="shared" si="36"/>
        <v>807.98969072164959</v>
      </c>
      <c r="G125" s="17">
        <f t="shared" si="37"/>
        <v>0</v>
      </c>
      <c r="H125" s="18">
        <f t="shared" si="26"/>
        <v>25.346636597938151</v>
      </c>
      <c r="I125" s="18">
        <f t="shared" si="27"/>
        <v>0</v>
      </c>
      <c r="J125" s="18">
        <f t="shared" si="28"/>
        <v>22.138917525773198</v>
      </c>
      <c r="K125" s="18">
        <f t="shared" si="29"/>
        <v>0</v>
      </c>
      <c r="L125" s="18">
        <f t="shared" si="30"/>
        <v>18.422164948453613</v>
      </c>
      <c r="M125" s="18">
        <f t="shared" si="31"/>
        <v>0</v>
      </c>
      <c r="N125" s="18">
        <f t="shared" si="32"/>
        <v>16.482989690721652</v>
      </c>
      <c r="O125" s="18">
        <f t="shared" si="33"/>
        <v>0</v>
      </c>
      <c r="P125" s="18">
        <f t="shared" si="34"/>
        <v>14.947809278350517</v>
      </c>
      <c r="Q125" s="18">
        <f t="shared" si="35"/>
        <v>0</v>
      </c>
      <c r="R125" s="743"/>
      <c r="S125" s="547"/>
    </row>
    <row r="126" spans="1:19" s="244" customFormat="1" ht="13.5" thickBot="1">
      <c r="A126" s="1340"/>
      <c r="B126" s="548"/>
      <c r="C126" s="551" t="s">
        <v>546</v>
      </c>
      <c r="D126" s="552" t="s">
        <v>3862</v>
      </c>
      <c r="E126" s="557">
        <v>618.5567010309278</v>
      </c>
      <c r="F126" s="13">
        <f t="shared" si="36"/>
        <v>340.20618556701032</v>
      </c>
      <c r="G126" s="17">
        <f t="shared" si="37"/>
        <v>0</v>
      </c>
      <c r="H126" s="18">
        <f t="shared" si="26"/>
        <v>10.672268041237114</v>
      </c>
      <c r="I126" s="18">
        <f t="shared" si="27"/>
        <v>0</v>
      </c>
      <c r="J126" s="18">
        <f t="shared" si="28"/>
        <v>9.3216494845360831</v>
      </c>
      <c r="K126" s="18">
        <f t="shared" si="29"/>
        <v>0</v>
      </c>
      <c r="L126" s="18">
        <f t="shared" si="30"/>
        <v>7.7567010309278359</v>
      </c>
      <c r="M126" s="18">
        <f t="shared" si="31"/>
        <v>0</v>
      </c>
      <c r="N126" s="18">
        <f t="shared" si="32"/>
        <v>6.9402061855670114</v>
      </c>
      <c r="O126" s="18">
        <f t="shared" si="33"/>
        <v>0</v>
      </c>
      <c r="P126" s="18">
        <f t="shared" si="34"/>
        <v>6.2938144329896906</v>
      </c>
      <c r="Q126" s="18">
        <f t="shared" si="35"/>
        <v>0</v>
      </c>
      <c r="R126" s="743"/>
      <c r="S126" s="547"/>
    </row>
    <row r="127" spans="1:19" s="244" customFormat="1" ht="13.5" thickBot="1">
      <c r="A127" s="1340"/>
      <c r="B127" s="548"/>
      <c r="C127" s="549" t="s">
        <v>3755</v>
      </c>
      <c r="D127" s="550" t="s">
        <v>3868</v>
      </c>
      <c r="E127" s="557">
        <v>505.15463917525773</v>
      </c>
      <c r="F127" s="13">
        <f t="shared" si="36"/>
        <v>277.83505154639175</v>
      </c>
      <c r="G127" s="17">
        <f t="shared" si="37"/>
        <v>0</v>
      </c>
      <c r="H127" s="18">
        <f t="shared" si="26"/>
        <v>8.7156855670103095</v>
      </c>
      <c r="I127" s="18">
        <f t="shared" si="27"/>
        <v>0</v>
      </c>
      <c r="J127" s="18">
        <f t="shared" si="28"/>
        <v>7.6126804123711347</v>
      </c>
      <c r="K127" s="18">
        <f t="shared" si="29"/>
        <v>0</v>
      </c>
      <c r="L127" s="18">
        <f t="shared" si="30"/>
        <v>6.334639175257732</v>
      </c>
      <c r="M127" s="18">
        <f t="shared" si="31"/>
        <v>0</v>
      </c>
      <c r="N127" s="18">
        <f t="shared" si="32"/>
        <v>5.6678350515463922</v>
      </c>
      <c r="O127" s="18">
        <f t="shared" si="33"/>
        <v>0</v>
      </c>
      <c r="P127" s="18">
        <f t="shared" si="34"/>
        <v>5.1399484536082474</v>
      </c>
      <c r="Q127" s="18">
        <f t="shared" si="35"/>
        <v>0</v>
      </c>
      <c r="R127" s="743"/>
      <c r="S127" s="547"/>
    </row>
    <row r="128" spans="1:19" s="244" customFormat="1" ht="13.5" thickBot="1">
      <c r="A128" s="1340"/>
      <c r="B128" s="548"/>
      <c r="C128" s="549" t="s">
        <v>3756</v>
      </c>
      <c r="D128" s="550" t="s">
        <v>3869</v>
      </c>
      <c r="E128" s="557">
        <v>793.81443298969077</v>
      </c>
      <c r="F128" s="13">
        <f t="shared" si="36"/>
        <v>436.59793814432999</v>
      </c>
      <c r="G128" s="17">
        <f t="shared" si="37"/>
        <v>0</v>
      </c>
      <c r="H128" s="18">
        <f t="shared" ref="H128:H159" si="38">F128*0.03137</f>
        <v>13.696077319587632</v>
      </c>
      <c r="I128" s="18">
        <f t="shared" ref="I128:I159" si="39">H128*B128</f>
        <v>0</v>
      </c>
      <c r="J128" s="18">
        <f t="shared" ref="J128:J143" si="40">F128*0.0274</f>
        <v>11.962783505154642</v>
      </c>
      <c r="K128" s="18">
        <f t="shared" ref="K128:K159" si="41">J128*B128</f>
        <v>0</v>
      </c>
      <c r="L128" s="18">
        <f t="shared" ref="L128:L146" si="42">F128*0.0228</f>
        <v>9.9544329896907247</v>
      </c>
      <c r="M128" s="18">
        <f t="shared" ref="M128:M159" si="43">L128*B128</f>
        <v>0</v>
      </c>
      <c r="N128" s="18">
        <f t="shared" ref="N128:N159" si="44">F128*0.0204</f>
        <v>8.9065979381443316</v>
      </c>
      <c r="O128" s="18">
        <f t="shared" ref="O128:O159" si="45">N128*B128</f>
        <v>0</v>
      </c>
      <c r="P128" s="18">
        <f t="shared" ref="P128:P159" si="46">F128*0.0185</f>
        <v>8.0770618556701042</v>
      </c>
      <c r="Q128" s="18">
        <f t="shared" ref="Q128:Q159" si="47">P128*B128</f>
        <v>0</v>
      </c>
      <c r="R128" s="743"/>
      <c r="S128" s="547"/>
    </row>
    <row r="129" spans="1:19" s="244" customFormat="1" ht="13.5" thickBot="1">
      <c r="A129" s="1340"/>
      <c r="B129" s="548"/>
      <c r="C129" s="549" t="s">
        <v>3745</v>
      </c>
      <c r="D129" s="550" t="s">
        <v>3970</v>
      </c>
      <c r="E129" s="557">
        <v>4322.6804123711345</v>
      </c>
      <c r="F129" s="13">
        <f t="shared" si="36"/>
        <v>2377.4742268041241</v>
      </c>
      <c r="G129" s="17">
        <f t="shared" si="37"/>
        <v>0</v>
      </c>
      <c r="H129" s="18">
        <f t="shared" si="38"/>
        <v>74.581366494845383</v>
      </c>
      <c r="I129" s="18">
        <f t="shared" si="39"/>
        <v>0</v>
      </c>
      <c r="J129" s="18">
        <f t="shared" si="40"/>
        <v>65.142793814433006</v>
      </c>
      <c r="K129" s="18">
        <f t="shared" si="41"/>
        <v>0</v>
      </c>
      <c r="L129" s="18">
        <f t="shared" si="42"/>
        <v>54.206412371134029</v>
      </c>
      <c r="M129" s="18">
        <f t="shared" si="43"/>
        <v>0</v>
      </c>
      <c r="N129" s="18">
        <f t="shared" si="44"/>
        <v>48.500474226804137</v>
      </c>
      <c r="O129" s="18">
        <f t="shared" si="45"/>
        <v>0</v>
      </c>
      <c r="P129" s="18">
        <f t="shared" si="46"/>
        <v>43.983273195876293</v>
      </c>
      <c r="Q129" s="18">
        <f t="shared" si="47"/>
        <v>0</v>
      </c>
      <c r="R129" s="743"/>
      <c r="S129" s="547"/>
    </row>
    <row r="130" spans="1:19" s="244" customFormat="1" ht="13.5" thickBot="1">
      <c r="A130" s="1341"/>
      <c r="B130" s="548"/>
      <c r="C130" s="551" t="s">
        <v>3903</v>
      </c>
      <c r="D130" s="552" t="s">
        <v>3974</v>
      </c>
      <c r="E130" s="557">
        <v>3460.8247422680415</v>
      </c>
      <c r="F130" s="13">
        <f t="shared" si="36"/>
        <v>1903.4536082474231</v>
      </c>
      <c r="G130" s="17">
        <f t="shared" si="37"/>
        <v>0</v>
      </c>
      <c r="H130" s="18">
        <f t="shared" si="38"/>
        <v>59.711339690721665</v>
      </c>
      <c r="I130" s="18">
        <f t="shared" si="39"/>
        <v>0</v>
      </c>
      <c r="J130" s="18">
        <f t="shared" si="40"/>
        <v>52.15462886597939</v>
      </c>
      <c r="K130" s="18">
        <f t="shared" si="41"/>
        <v>0</v>
      </c>
      <c r="L130" s="18">
        <f t="shared" si="42"/>
        <v>43.398742268041246</v>
      </c>
      <c r="M130" s="18">
        <f t="shared" si="43"/>
        <v>0</v>
      </c>
      <c r="N130" s="18">
        <f t="shared" si="44"/>
        <v>38.830453608247431</v>
      </c>
      <c r="O130" s="18">
        <f t="shared" si="45"/>
        <v>0</v>
      </c>
      <c r="P130" s="18">
        <f t="shared" si="46"/>
        <v>35.213891752577325</v>
      </c>
      <c r="Q130" s="18">
        <f t="shared" si="47"/>
        <v>0</v>
      </c>
      <c r="R130" s="743"/>
      <c r="S130" s="547"/>
    </row>
    <row r="131" spans="1:19" s="244" customFormat="1" ht="13.5" thickBot="1">
      <c r="A131" s="1341"/>
      <c r="B131" s="548"/>
      <c r="C131" s="551" t="s">
        <v>69</v>
      </c>
      <c r="D131" s="552" t="s">
        <v>3839</v>
      </c>
      <c r="E131" s="557">
        <v>96.907216494845358</v>
      </c>
      <c r="F131" s="13">
        <f t="shared" si="36"/>
        <v>53.298969072164951</v>
      </c>
      <c r="G131" s="17">
        <f t="shared" si="37"/>
        <v>0</v>
      </c>
      <c r="H131" s="18">
        <f t="shared" si="38"/>
        <v>1.6719886597938147</v>
      </c>
      <c r="I131" s="18">
        <f t="shared" si="39"/>
        <v>0</v>
      </c>
      <c r="J131" s="18">
        <f t="shared" si="40"/>
        <v>1.4603917525773198</v>
      </c>
      <c r="K131" s="18">
        <f t="shared" si="41"/>
        <v>0</v>
      </c>
      <c r="L131" s="18">
        <f t="shared" si="42"/>
        <v>1.215216494845361</v>
      </c>
      <c r="M131" s="18">
        <f t="shared" si="43"/>
        <v>0</v>
      </c>
      <c r="N131" s="18">
        <f t="shared" si="44"/>
        <v>1.0872989690721651</v>
      </c>
      <c r="O131" s="18">
        <f t="shared" si="45"/>
        <v>0</v>
      </c>
      <c r="P131" s="18">
        <f t="shared" si="46"/>
        <v>0.98603092783505153</v>
      </c>
      <c r="Q131" s="18">
        <f t="shared" si="47"/>
        <v>0</v>
      </c>
      <c r="R131" s="743"/>
      <c r="S131" s="547"/>
    </row>
    <row r="132" spans="1:19" s="244" customFormat="1" ht="13.5" thickBot="1">
      <c r="A132" s="1341"/>
      <c r="B132" s="548"/>
      <c r="C132" s="549" t="s">
        <v>547</v>
      </c>
      <c r="D132" s="550" t="s">
        <v>3844</v>
      </c>
      <c r="E132" s="557">
        <v>711.40206185567001</v>
      </c>
      <c r="F132" s="13">
        <f t="shared" si="36"/>
        <v>391.27113402061855</v>
      </c>
      <c r="G132" s="17">
        <f t="shared" si="37"/>
        <v>0</v>
      </c>
      <c r="H132" s="18">
        <f t="shared" si="38"/>
        <v>12.274175474226805</v>
      </c>
      <c r="I132" s="18">
        <f t="shared" si="39"/>
        <v>0</v>
      </c>
      <c r="J132" s="18">
        <f t="shared" si="40"/>
        <v>10.720829072164948</v>
      </c>
      <c r="K132" s="18">
        <f t="shared" si="41"/>
        <v>0</v>
      </c>
      <c r="L132" s="18">
        <f t="shared" si="42"/>
        <v>8.920981855670103</v>
      </c>
      <c r="M132" s="18">
        <f t="shared" si="43"/>
        <v>0</v>
      </c>
      <c r="N132" s="18">
        <f t="shared" si="44"/>
        <v>7.9819311340206189</v>
      </c>
      <c r="O132" s="18">
        <f t="shared" si="45"/>
        <v>0</v>
      </c>
      <c r="P132" s="18">
        <f t="shared" si="46"/>
        <v>7.2385159793814431</v>
      </c>
      <c r="Q132" s="18">
        <f t="shared" si="47"/>
        <v>0</v>
      </c>
      <c r="R132" s="743"/>
      <c r="S132" s="547"/>
    </row>
    <row r="133" spans="1:19" s="244" customFormat="1" ht="13.5" thickBot="1">
      <c r="A133" s="1341"/>
      <c r="B133" s="548"/>
      <c r="C133" s="551" t="s">
        <v>3741</v>
      </c>
      <c r="D133" s="552" t="s">
        <v>3852</v>
      </c>
      <c r="E133" s="557">
        <v>3915.4639175257735</v>
      </c>
      <c r="F133" s="13">
        <f t="shared" si="36"/>
        <v>2153.5051546391755</v>
      </c>
      <c r="G133" s="17">
        <f t="shared" si="37"/>
        <v>0</v>
      </c>
      <c r="H133" s="18">
        <f t="shared" si="38"/>
        <v>67.555456701030934</v>
      </c>
      <c r="I133" s="18">
        <f t="shared" si="39"/>
        <v>0</v>
      </c>
      <c r="J133" s="18">
        <f t="shared" si="40"/>
        <v>59.006041237113415</v>
      </c>
      <c r="K133" s="18">
        <f t="shared" si="41"/>
        <v>0</v>
      </c>
      <c r="L133" s="18">
        <f t="shared" si="42"/>
        <v>49.099917525773208</v>
      </c>
      <c r="M133" s="18">
        <f t="shared" si="43"/>
        <v>0</v>
      </c>
      <c r="N133" s="18">
        <f t="shared" si="44"/>
        <v>43.931505154639183</v>
      </c>
      <c r="O133" s="18">
        <f t="shared" si="45"/>
        <v>0</v>
      </c>
      <c r="P133" s="18">
        <f t="shared" si="46"/>
        <v>39.839845360824746</v>
      </c>
      <c r="Q133" s="18">
        <f t="shared" si="47"/>
        <v>0</v>
      </c>
      <c r="R133" s="743"/>
      <c r="S133" s="547"/>
    </row>
    <row r="134" spans="1:19" s="244" customFormat="1" ht="13.5" thickBot="1">
      <c r="A134" s="1341"/>
      <c r="B134" s="548"/>
      <c r="C134" s="549" t="s">
        <v>3730</v>
      </c>
      <c r="D134" s="550" t="s">
        <v>3952</v>
      </c>
      <c r="E134" s="557">
        <v>46224.742268041242</v>
      </c>
      <c r="F134" s="13">
        <f t="shared" si="36"/>
        <v>25423.608247422686</v>
      </c>
      <c r="G134" s="17">
        <f t="shared" si="37"/>
        <v>0</v>
      </c>
      <c r="H134" s="18">
        <f t="shared" si="38"/>
        <v>797.53859072164971</v>
      </c>
      <c r="I134" s="18">
        <f t="shared" si="39"/>
        <v>0</v>
      </c>
      <c r="J134" s="18">
        <f t="shared" si="40"/>
        <v>696.60686597938161</v>
      </c>
      <c r="K134" s="18">
        <f t="shared" si="41"/>
        <v>0</v>
      </c>
      <c r="L134" s="18">
        <f t="shared" si="42"/>
        <v>579.65826804123731</v>
      </c>
      <c r="M134" s="18">
        <f t="shared" si="43"/>
        <v>0</v>
      </c>
      <c r="N134" s="18">
        <f t="shared" si="44"/>
        <v>518.64160824742282</v>
      </c>
      <c r="O134" s="18">
        <f t="shared" si="45"/>
        <v>0</v>
      </c>
      <c r="P134" s="18">
        <f t="shared" si="46"/>
        <v>470.33675257731966</v>
      </c>
      <c r="Q134" s="18">
        <f t="shared" si="47"/>
        <v>0</v>
      </c>
      <c r="R134" s="743"/>
      <c r="S134" s="547"/>
    </row>
    <row r="135" spans="1:19" s="244" customFormat="1" ht="13.5" thickBot="1">
      <c r="A135" s="1341"/>
      <c r="B135" s="548"/>
      <c r="C135" s="551" t="s">
        <v>3904</v>
      </c>
      <c r="D135" s="552" t="s">
        <v>3975</v>
      </c>
      <c r="E135" s="557">
        <v>5773.1958762886597</v>
      </c>
      <c r="F135" s="13">
        <f t="shared" si="36"/>
        <v>3175.2577319587631</v>
      </c>
      <c r="G135" s="17">
        <f t="shared" si="37"/>
        <v>0</v>
      </c>
      <c r="H135" s="18">
        <f t="shared" si="38"/>
        <v>99.607835051546402</v>
      </c>
      <c r="I135" s="18">
        <f t="shared" si="39"/>
        <v>0</v>
      </c>
      <c r="J135" s="18">
        <f t="shared" si="40"/>
        <v>87.002061855670107</v>
      </c>
      <c r="K135" s="18">
        <f t="shared" si="41"/>
        <v>0</v>
      </c>
      <c r="L135" s="18">
        <f t="shared" si="42"/>
        <v>72.395876288659807</v>
      </c>
      <c r="M135" s="18">
        <f t="shared" si="43"/>
        <v>0</v>
      </c>
      <c r="N135" s="18">
        <f t="shared" si="44"/>
        <v>64.775257731958774</v>
      </c>
      <c r="O135" s="18">
        <f t="shared" si="45"/>
        <v>0</v>
      </c>
      <c r="P135" s="18">
        <f t="shared" si="46"/>
        <v>58.742268041237111</v>
      </c>
      <c r="Q135" s="18">
        <f t="shared" si="47"/>
        <v>0</v>
      </c>
      <c r="R135" s="743"/>
      <c r="S135" s="547"/>
    </row>
    <row r="136" spans="1:19" s="244" customFormat="1" ht="13.5" thickBot="1">
      <c r="A136" s="1341"/>
      <c r="B136" s="548"/>
      <c r="C136" s="551" t="s">
        <v>3905</v>
      </c>
      <c r="D136" s="552" t="s">
        <v>3976</v>
      </c>
      <c r="E136" s="557">
        <v>4041.2371134020618</v>
      </c>
      <c r="F136" s="13">
        <f t="shared" si="36"/>
        <v>2222.680412371134</v>
      </c>
      <c r="G136" s="17">
        <f t="shared" si="37"/>
        <v>0</v>
      </c>
      <c r="H136" s="18">
        <f t="shared" si="38"/>
        <v>69.725484536082476</v>
      </c>
      <c r="I136" s="18">
        <f t="shared" si="39"/>
        <v>0</v>
      </c>
      <c r="J136" s="18">
        <f t="shared" si="40"/>
        <v>60.901443298969077</v>
      </c>
      <c r="K136" s="18">
        <f t="shared" si="41"/>
        <v>0</v>
      </c>
      <c r="L136" s="18">
        <f t="shared" si="42"/>
        <v>50.677113402061856</v>
      </c>
      <c r="M136" s="18">
        <f t="shared" si="43"/>
        <v>0</v>
      </c>
      <c r="N136" s="18">
        <f t="shared" si="44"/>
        <v>45.342680412371138</v>
      </c>
      <c r="O136" s="18">
        <f t="shared" si="45"/>
        <v>0</v>
      </c>
      <c r="P136" s="18">
        <f t="shared" si="46"/>
        <v>41.119587628865979</v>
      </c>
      <c r="Q136" s="18">
        <f t="shared" si="47"/>
        <v>0</v>
      </c>
      <c r="R136" s="743"/>
      <c r="S136" s="547"/>
    </row>
    <row r="137" spans="1:19" s="244" customFormat="1" ht="13.5" thickBot="1">
      <c r="A137" s="1341"/>
      <c r="B137" s="548"/>
      <c r="C137" s="551" t="s">
        <v>619</v>
      </c>
      <c r="D137" s="552" t="s">
        <v>3857</v>
      </c>
      <c r="E137" s="557">
        <v>6655.0515463917527</v>
      </c>
      <c r="F137" s="13">
        <f t="shared" si="36"/>
        <v>3660.2783505154644</v>
      </c>
      <c r="G137" s="17">
        <f t="shared" si="37"/>
        <v>0</v>
      </c>
      <c r="H137" s="18">
        <f t="shared" si="38"/>
        <v>114.82293185567012</v>
      </c>
      <c r="I137" s="18">
        <f t="shared" si="39"/>
        <v>0</v>
      </c>
      <c r="J137" s="18">
        <f t="shared" si="40"/>
        <v>100.29162680412372</v>
      </c>
      <c r="K137" s="18">
        <f t="shared" si="41"/>
        <v>0</v>
      </c>
      <c r="L137" s="18">
        <f t="shared" si="42"/>
        <v>83.454346391752594</v>
      </c>
      <c r="M137" s="18">
        <f t="shared" si="43"/>
        <v>0</v>
      </c>
      <c r="N137" s="18">
        <f t="shared" si="44"/>
        <v>74.669678350515483</v>
      </c>
      <c r="O137" s="18">
        <f t="shared" si="45"/>
        <v>0</v>
      </c>
      <c r="P137" s="18">
        <f t="shared" si="46"/>
        <v>67.715149484536084</v>
      </c>
      <c r="Q137" s="18">
        <f t="shared" si="47"/>
        <v>0</v>
      </c>
      <c r="R137" s="743"/>
      <c r="S137" s="547"/>
    </row>
    <row r="138" spans="1:19" s="244" customFormat="1" ht="13.5" thickBot="1">
      <c r="A138" s="1341"/>
      <c r="B138" s="548"/>
      <c r="C138" s="551" t="s">
        <v>3831</v>
      </c>
      <c r="D138" s="552" t="s">
        <v>3860</v>
      </c>
      <c r="E138" s="557">
        <v>11051.546391752578</v>
      </c>
      <c r="F138" s="13">
        <f t="shared" si="36"/>
        <v>6078.3505154639179</v>
      </c>
      <c r="G138" s="17">
        <f t="shared" si="37"/>
        <v>0</v>
      </c>
      <c r="H138" s="18">
        <f t="shared" si="38"/>
        <v>190.67785567010313</v>
      </c>
      <c r="I138" s="18">
        <f t="shared" si="39"/>
        <v>0</v>
      </c>
      <c r="J138" s="18">
        <f t="shared" si="40"/>
        <v>166.54680412371135</v>
      </c>
      <c r="K138" s="18">
        <f t="shared" si="41"/>
        <v>0</v>
      </c>
      <c r="L138" s="18">
        <f t="shared" si="42"/>
        <v>138.58639175257733</v>
      </c>
      <c r="M138" s="18">
        <f t="shared" si="43"/>
        <v>0</v>
      </c>
      <c r="N138" s="18">
        <f t="shared" si="44"/>
        <v>123.99835051546394</v>
      </c>
      <c r="O138" s="18">
        <f t="shared" si="45"/>
        <v>0</v>
      </c>
      <c r="P138" s="18">
        <f t="shared" si="46"/>
        <v>112.44948453608248</v>
      </c>
      <c r="Q138" s="18">
        <f t="shared" si="47"/>
        <v>0</v>
      </c>
      <c r="R138" s="743"/>
      <c r="S138" s="547"/>
    </row>
    <row r="139" spans="1:19" s="244" customFormat="1" ht="13.5" thickBot="1">
      <c r="A139" s="1341"/>
      <c r="B139" s="548"/>
      <c r="C139" s="551" t="s">
        <v>158</v>
      </c>
      <c r="D139" s="552" t="s">
        <v>3845</v>
      </c>
      <c r="E139" s="557">
        <v>1147.4226804123712</v>
      </c>
      <c r="F139" s="13">
        <f t="shared" ref="F139:F167" si="48">E139*(1-45%)</f>
        <v>631.08247422680415</v>
      </c>
      <c r="G139" s="17">
        <f t="shared" ref="G139:G167" si="49">F139*B139</f>
        <v>0</v>
      </c>
      <c r="H139" s="18">
        <f t="shared" si="38"/>
        <v>19.797057216494849</v>
      </c>
      <c r="I139" s="18">
        <f t="shared" si="39"/>
        <v>0</v>
      </c>
      <c r="J139" s="18">
        <f t="shared" si="40"/>
        <v>17.291659793814436</v>
      </c>
      <c r="K139" s="18">
        <f t="shared" si="41"/>
        <v>0</v>
      </c>
      <c r="L139" s="18">
        <f t="shared" si="42"/>
        <v>14.388680412371135</v>
      </c>
      <c r="M139" s="18">
        <f t="shared" si="43"/>
        <v>0</v>
      </c>
      <c r="N139" s="18">
        <f t="shared" si="44"/>
        <v>12.874082474226805</v>
      </c>
      <c r="O139" s="18">
        <f t="shared" si="45"/>
        <v>0</v>
      </c>
      <c r="P139" s="18">
        <f t="shared" si="46"/>
        <v>11.675025773195877</v>
      </c>
      <c r="Q139" s="18">
        <f t="shared" si="47"/>
        <v>0</v>
      </c>
      <c r="R139" s="743"/>
      <c r="S139" s="547"/>
    </row>
    <row r="140" spans="1:19" s="244" customFormat="1" ht="13.5" thickBot="1">
      <c r="A140" s="1341"/>
      <c r="B140" s="548"/>
      <c r="C140" s="551" t="s">
        <v>3740</v>
      </c>
      <c r="D140" s="552" t="s">
        <v>3851</v>
      </c>
      <c r="E140" s="557">
        <v>861.11340206185571</v>
      </c>
      <c r="F140" s="13">
        <f t="shared" si="48"/>
        <v>473.61237113402069</v>
      </c>
      <c r="G140" s="17">
        <f t="shared" si="49"/>
        <v>0</v>
      </c>
      <c r="H140" s="18">
        <f t="shared" si="38"/>
        <v>14.85722008247423</v>
      </c>
      <c r="I140" s="18">
        <f t="shared" si="39"/>
        <v>0</v>
      </c>
      <c r="J140" s="18">
        <f t="shared" si="40"/>
        <v>12.976978969072167</v>
      </c>
      <c r="K140" s="18">
        <f t="shared" si="41"/>
        <v>0</v>
      </c>
      <c r="L140" s="18">
        <f t="shared" si="42"/>
        <v>10.798362061855672</v>
      </c>
      <c r="M140" s="18">
        <f t="shared" si="43"/>
        <v>0</v>
      </c>
      <c r="N140" s="18">
        <f t="shared" si="44"/>
        <v>9.6616923711340235</v>
      </c>
      <c r="O140" s="18">
        <f t="shared" si="45"/>
        <v>0</v>
      </c>
      <c r="P140" s="18">
        <f t="shared" si="46"/>
        <v>8.7618288659793819</v>
      </c>
      <c r="Q140" s="18">
        <f t="shared" si="47"/>
        <v>0</v>
      </c>
      <c r="R140" s="743"/>
      <c r="S140" s="547"/>
    </row>
    <row r="141" spans="1:19" s="244" customFormat="1" ht="13.5" thickBot="1">
      <c r="A141" s="1341"/>
      <c r="B141" s="548"/>
      <c r="C141" s="549">
        <v>10200011</v>
      </c>
      <c r="D141" s="550" t="s">
        <v>3911</v>
      </c>
      <c r="E141" s="557">
        <v>17319.587628865978</v>
      </c>
      <c r="F141" s="13">
        <f t="shared" si="48"/>
        <v>9525.7731958762888</v>
      </c>
      <c r="G141" s="17">
        <f t="shared" si="49"/>
        <v>0</v>
      </c>
      <c r="H141" s="18">
        <f t="shared" si="38"/>
        <v>298.82350515463918</v>
      </c>
      <c r="I141" s="18">
        <f t="shared" si="39"/>
        <v>0</v>
      </c>
      <c r="J141" s="18">
        <f t="shared" si="40"/>
        <v>261.00618556701033</v>
      </c>
      <c r="K141" s="18">
        <f t="shared" si="41"/>
        <v>0</v>
      </c>
      <c r="L141" s="18">
        <f t="shared" si="42"/>
        <v>217.18762886597941</v>
      </c>
      <c r="M141" s="18">
        <f t="shared" si="43"/>
        <v>0</v>
      </c>
      <c r="N141" s="18">
        <f t="shared" si="44"/>
        <v>194.32577319587631</v>
      </c>
      <c r="O141" s="18">
        <f t="shared" si="45"/>
        <v>0</v>
      </c>
      <c r="P141" s="18">
        <f t="shared" si="46"/>
        <v>176.22680412371133</v>
      </c>
      <c r="Q141" s="18">
        <f t="shared" si="47"/>
        <v>0</v>
      </c>
      <c r="R141" s="743"/>
      <c r="S141" s="547"/>
    </row>
    <row r="142" spans="1:19" s="244" customFormat="1" ht="13.5" thickBot="1">
      <c r="A142" s="1341"/>
      <c r="B142" s="548"/>
      <c r="C142" s="549">
        <v>10507000</v>
      </c>
      <c r="D142" s="550" t="s">
        <v>3915</v>
      </c>
      <c r="E142" s="557">
        <v>13402.061855670103</v>
      </c>
      <c r="F142" s="13">
        <f t="shared" si="48"/>
        <v>7371.1340206185569</v>
      </c>
      <c r="G142" s="17">
        <f t="shared" si="49"/>
        <v>0</v>
      </c>
      <c r="H142" s="18">
        <f t="shared" si="38"/>
        <v>231.23247422680416</v>
      </c>
      <c r="I142" s="18">
        <f t="shared" si="39"/>
        <v>0</v>
      </c>
      <c r="J142" s="18">
        <f t="shared" si="40"/>
        <v>201.96907216494847</v>
      </c>
      <c r="K142" s="18">
        <f t="shared" si="41"/>
        <v>0</v>
      </c>
      <c r="L142" s="18">
        <f t="shared" si="42"/>
        <v>168.06185567010311</v>
      </c>
      <c r="M142" s="18">
        <f t="shared" si="43"/>
        <v>0</v>
      </c>
      <c r="N142" s="18">
        <f t="shared" si="44"/>
        <v>150.37113402061857</v>
      </c>
      <c r="O142" s="18">
        <f t="shared" si="45"/>
        <v>0</v>
      </c>
      <c r="P142" s="18">
        <f t="shared" si="46"/>
        <v>136.36597938144328</v>
      </c>
      <c r="Q142" s="18">
        <f t="shared" si="47"/>
        <v>0</v>
      </c>
      <c r="R142" s="743"/>
      <c r="S142" s="547"/>
    </row>
    <row r="143" spans="1:19" s="244" customFormat="1" ht="13.5" thickBot="1">
      <c r="A143" s="1341"/>
      <c r="B143" s="548"/>
      <c r="C143" s="551">
        <v>10407000</v>
      </c>
      <c r="D143" s="552" t="s">
        <v>3914</v>
      </c>
      <c r="E143" s="557">
        <v>5721.649484536083</v>
      </c>
      <c r="F143" s="13">
        <f t="shared" si="48"/>
        <v>3146.9072164948461</v>
      </c>
      <c r="G143" s="17">
        <f t="shared" si="49"/>
        <v>0</v>
      </c>
      <c r="H143" s="18">
        <f t="shared" si="38"/>
        <v>98.718479381443331</v>
      </c>
      <c r="I143" s="18">
        <f t="shared" si="39"/>
        <v>0</v>
      </c>
      <c r="J143" s="18">
        <f t="shared" si="40"/>
        <v>86.225257731958791</v>
      </c>
      <c r="K143" s="18">
        <f t="shared" si="41"/>
        <v>0</v>
      </c>
      <c r="L143" s="18">
        <f t="shared" si="42"/>
        <v>71.749484536082491</v>
      </c>
      <c r="M143" s="18">
        <f t="shared" si="43"/>
        <v>0</v>
      </c>
      <c r="N143" s="18">
        <f t="shared" si="44"/>
        <v>64.196907216494864</v>
      </c>
      <c r="O143" s="18">
        <f t="shared" si="45"/>
        <v>0</v>
      </c>
      <c r="P143" s="18">
        <f t="shared" si="46"/>
        <v>58.21778350515465</v>
      </c>
      <c r="Q143" s="18">
        <f t="shared" si="47"/>
        <v>0</v>
      </c>
      <c r="R143" s="743"/>
      <c r="S143" s="547"/>
    </row>
    <row r="144" spans="1:19" s="244" customFormat="1" ht="13.5" thickBot="1">
      <c r="A144" s="1341"/>
      <c r="B144" s="548"/>
      <c r="C144" s="551">
        <v>10307000</v>
      </c>
      <c r="D144" s="552" t="s">
        <v>3913</v>
      </c>
      <c r="E144" s="557">
        <v>14020.618556701031</v>
      </c>
      <c r="F144" s="13">
        <f t="shared" si="48"/>
        <v>7711.3402061855677</v>
      </c>
      <c r="G144" s="17">
        <f t="shared" si="49"/>
        <v>0</v>
      </c>
      <c r="H144" s="18">
        <f t="shared" si="38"/>
        <v>241.90474226804128</v>
      </c>
      <c r="I144" s="18">
        <f t="shared" si="39"/>
        <v>0</v>
      </c>
      <c r="J144" s="18">
        <f>F144*0.02564</f>
        <v>197.71876288659794</v>
      </c>
      <c r="K144" s="18">
        <f t="shared" si="41"/>
        <v>0</v>
      </c>
      <c r="L144" s="18">
        <f t="shared" si="42"/>
        <v>175.81855670103096</v>
      </c>
      <c r="M144" s="18">
        <f t="shared" si="43"/>
        <v>0</v>
      </c>
      <c r="N144" s="18">
        <f t="shared" si="44"/>
        <v>157.3113402061856</v>
      </c>
      <c r="O144" s="18">
        <f t="shared" si="45"/>
        <v>0</v>
      </c>
      <c r="P144" s="18">
        <f t="shared" si="46"/>
        <v>142.65979381443299</v>
      </c>
      <c r="Q144" s="18">
        <f t="shared" si="47"/>
        <v>0</v>
      </c>
      <c r="R144" s="743"/>
      <c r="S144" s="547"/>
    </row>
    <row r="145" spans="1:19" s="244" customFormat="1" ht="13.5" thickBot="1">
      <c r="A145" s="1341"/>
      <c r="B145" s="548"/>
      <c r="C145" s="551">
        <v>4704000</v>
      </c>
      <c r="D145" s="552" t="s">
        <v>3918</v>
      </c>
      <c r="E145" s="557">
        <v>6597.9381443298971</v>
      </c>
      <c r="F145" s="13">
        <f t="shared" si="48"/>
        <v>3628.8659793814436</v>
      </c>
      <c r="G145" s="17">
        <f t="shared" si="49"/>
        <v>0</v>
      </c>
      <c r="H145" s="18">
        <f t="shared" si="38"/>
        <v>113.83752577319589</v>
      </c>
      <c r="I145" s="18">
        <f t="shared" si="39"/>
        <v>0</v>
      </c>
      <c r="J145" s="18">
        <f>F145*0.0274</f>
        <v>99.430927835051563</v>
      </c>
      <c r="K145" s="18">
        <f t="shared" si="41"/>
        <v>0</v>
      </c>
      <c r="L145" s="18">
        <f t="shared" si="42"/>
        <v>82.738144329896912</v>
      </c>
      <c r="M145" s="18">
        <f t="shared" si="43"/>
        <v>0</v>
      </c>
      <c r="N145" s="18">
        <f t="shared" si="44"/>
        <v>74.02886597938145</v>
      </c>
      <c r="O145" s="18">
        <f t="shared" si="45"/>
        <v>0</v>
      </c>
      <c r="P145" s="18">
        <f t="shared" si="46"/>
        <v>67.134020618556704</v>
      </c>
      <c r="Q145" s="18">
        <f t="shared" si="47"/>
        <v>0</v>
      </c>
      <c r="R145" s="743"/>
      <c r="S145" s="547"/>
    </row>
    <row r="146" spans="1:19" s="244" customFormat="1" ht="13.5" thickBot="1">
      <c r="A146" s="1341"/>
      <c r="B146" s="548"/>
      <c r="C146" s="551">
        <v>12207000</v>
      </c>
      <c r="D146" s="552" t="s">
        <v>3917</v>
      </c>
      <c r="E146" s="557">
        <v>44329.896907216498</v>
      </c>
      <c r="F146" s="13">
        <f t="shared" si="48"/>
        <v>24381.443298969076</v>
      </c>
      <c r="G146" s="17">
        <f t="shared" si="49"/>
        <v>0</v>
      </c>
      <c r="H146" s="18">
        <f t="shared" si="38"/>
        <v>764.84587628865995</v>
      </c>
      <c r="I146" s="18">
        <f t="shared" si="39"/>
        <v>0</v>
      </c>
      <c r="J146" s="18">
        <f>F146*0.0274</f>
        <v>668.05154639175271</v>
      </c>
      <c r="K146" s="18">
        <f t="shared" si="41"/>
        <v>0</v>
      </c>
      <c r="L146" s="18">
        <f t="shared" si="42"/>
        <v>555.89690721649492</v>
      </c>
      <c r="M146" s="18">
        <f t="shared" si="43"/>
        <v>0</v>
      </c>
      <c r="N146" s="18">
        <f t="shared" si="44"/>
        <v>497.3814432989692</v>
      </c>
      <c r="O146" s="18">
        <f t="shared" si="45"/>
        <v>0</v>
      </c>
      <c r="P146" s="18">
        <f t="shared" si="46"/>
        <v>451.05670103092785</v>
      </c>
      <c r="Q146" s="18">
        <f t="shared" si="47"/>
        <v>0</v>
      </c>
      <c r="R146" s="743"/>
      <c r="S146" s="547"/>
    </row>
    <row r="147" spans="1:19" s="244" customFormat="1" ht="13.5" thickBot="1">
      <c r="A147" s="1341"/>
      <c r="B147" s="548"/>
      <c r="C147" s="551">
        <v>10207010</v>
      </c>
      <c r="D147" s="552" t="s">
        <v>3912</v>
      </c>
      <c r="E147" s="557">
        <v>22164.948453608249</v>
      </c>
      <c r="F147" s="13">
        <f t="shared" si="48"/>
        <v>12190.721649484538</v>
      </c>
      <c r="G147" s="17">
        <f t="shared" si="49"/>
        <v>0</v>
      </c>
      <c r="H147" s="18">
        <f t="shared" si="38"/>
        <v>382.42293814432998</v>
      </c>
      <c r="I147" s="18">
        <f t="shared" si="39"/>
        <v>0</v>
      </c>
      <c r="J147" s="18">
        <f>F147*0.02564</f>
        <v>312.57010309278354</v>
      </c>
      <c r="K147" s="18">
        <f t="shared" si="41"/>
        <v>0</v>
      </c>
      <c r="L147" s="18">
        <f>F147*0.0256</f>
        <v>312.08247422680421</v>
      </c>
      <c r="M147" s="18">
        <f t="shared" si="43"/>
        <v>0</v>
      </c>
      <c r="N147" s="18">
        <f t="shared" si="44"/>
        <v>248.6907216494846</v>
      </c>
      <c r="O147" s="18">
        <f t="shared" si="45"/>
        <v>0</v>
      </c>
      <c r="P147" s="18">
        <f t="shared" si="46"/>
        <v>225.52835051546393</v>
      </c>
      <c r="Q147" s="18">
        <f t="shared" si="47"/>
        <v>0</v>
      </c>
      <c r="R147" s="743"/>
      <c r="S147" s="547"/>
    </row>
    <row r="148" spans="1:19" s="244" customFormat="1" ht="13.5" thickBot="1">
      <c r="A148" s="1341"/>
      <c r="B148" s="548"/>
      <c r="C148" s="551">
        <v>12200018</v>
      </c>
      <c r="D148" s="552" t="s">
        <v>3916</v>
      </c>
      <c r="E148" s="557">
        <v>5773.1958762886597</v>
      </c>
      <c r="F148" s="13">
        <f t="shared" si="48"/>
        <v>3175.2577319587631</v>
      </c>
      <c r="G148" s="17">
        <f t="shared" si="49"/>
        <v>0</v>
      </c>
      <c r="H148" s="18">
        <f t="shared" si="38"/>
        <v>99.607835051546402</v>
      </c>
      <c r="I148" s="18">
        <f t="shared" si="39"/>
        <v>0</v>
      </c>
      <c r="J148" s="18">
        <f t="shared" ref="J148:J167" si="50">F148*0.0274</f>
        <v>87.002061855670107</v>
      </c>
      <c r="K148" s="18">
        <f t="shared" si="41"/>
        <v>0</v>
      </c>
      <c r="L148" s="18">
        <f t="shared" ref="L148:L167" si="51">F148*0.0228</f>
        <v>72.395876288659807</v>
      </c>
      <c r="M148" s="18">
        <f t="shared" si="43"/>
        <v>0</v>
      </c>
      <c r="N148" s="18">
        <f t="shared" si="44"/>
        <v>64.775257731958774</v>
      </c>
      <c r="O148" s="18">
        <f t="shared" si="45"/>
        <v>0</v>
      </c>
      <c r="P148" s="18">
        <f t="shared" si="46"/>
        <v>58.742268041237111</v>
      </c>
      <c r="Q148" s="18">
        <f t="shared" si="47"/>
        <v>0</v>
      </c>
      <c r="R148" s="743"/>
      <c r="S148" s="547"/>
    </row>
    <row r="149" spans="1:19" s="244" customFormat="1" ht="13.5" thickBot="1">
      <c r="A149" s="1341"/>
      <c r="B149" s="548"/>
      <c r="C149" s="549" t="s">
        <v>3731</v>
      </c>
      <c r="D149" s="550" t="s">
        <v>3953</v>
      </c>
      <c r="E149" s="557">
        <v>3840.2061855670104</v>
      </c>
      <c r="F149" s="13">
        <f t="shared" si="48"/>
        <v>2112.113402061856</v>
      </c>
      <c r="G149" s="17">
        <f t="shared" si="49"/>
        <v>0</v>
      </c>
      <c r="H149" s="18">
        <f t="shared" si="38"/>
        <v>66.256997422680428</v>
      </c>
      <c r="I149" s="18">
        <f t="shared" si="39"/>
        <v>0</v>
      </c>
      <c r="J149" s="18">
        <f t="shared" si="50"/>
        <v>57.871907216494854</v>
      </c>
      <c r="K149" s="18">
        <f t="shared" si="41"/>
        <v>0</v>
      </c>
      <c r="L149" s="18">
        <f t="shared" si="51"/>
        <v>48.156185567010318</v>
      </c>
      <c r="M149" s="18">
        <f t="shared" si="43"/>
        <v>0</v>
      </c>
      <c r="N149" s="18">
        <f t="shared" si="44"/>
        <v>43.087113402061867</v>
      </c>
      <c r="O149" s="18">
        <f t="shared" si="45"/>
        <v>0</v>
      </c>
      <c r="P149" s="18">
        <f t="shared" si="46"/>
        <v>39.074097938144334</v>
      </c>
      <c r="Q149" s="18">
        <f t="shared" si="47"/>
        <v>0</v>
      </c>
      <c r="R149" s="743"/>
      <c r="S149" s="547"/>
    </row>
    <row r="150" spans="1:19" s="244" customFormat="1" ht="13.5" thickBot="1">
      <c r="A150" s="1341"/>
      <c r="B150" s="548"/>
      <c r="C150" s="551" t="s">
        <v>3736</v>
      </c>
      <c r="D150" s="552" t="s">
        <v>3961</v>
      </c>
      <c r="E150" s="557">
        <v>9072.1649484536083</v>
      </c>
      <c r="F150" s="13">
        <f t="shared" si="48"/>
        <v>4989.6907216494847</v>
      </c>
      <c r="G150" s="17">
        <f t="shared" si="49"/>
        <v>0</v>
      </c>
      <c r="H150" s="18">
        <f t="shared" si="38"/>
        <v>156.52659793814433</v>
      </c>
      <c r="I150" s="18">
        <f t="shared" si="39"/>
        <v>0</v>
      </c>
      <c r="J150" s="18">
        <f t="shared" si="50"/>
        <v>136.71752577319589</v>
      </c>
      <c r="K150" s="18">
        <f t="shared" si="41"/>
        <v>0</v>
      </c>
      <c r="L150" s="18">
        <f t="shared" si="51"/>
        <v>113.76494845360826</v>
      </c>
      <c r="M150" s="18">
        <f t="shared" si="43"/>
        <v>0</v>
      </c>
      <c r="N150" s="18">
        <f t="shared" si="44"/>
        <v>101.78969072164949</v>
      </c>
      <c r="O150" s="18">
        <f t="shared" si="45"/>
        <v>0</v>
      </c>
      <c r="P150" s="18">
        <f t="shared" si="46"/>
        <v>92.309278350515456</v>
      </c>
      <c r="Q150" s="18">
        <f t="shared" si="47"/>
        <v>0</v>
      </c>
      <c r="R150" s="743"/>
      <c r="S150" s="547"/>
    </row>
    <row r="151" spans="1:19" s="244" customFormat="1" ht="13.5" thickBot="1">
      <c r="A151" s="1341"/>
      <c r="B151" s="548"/>
      <c r="C151" s="551" t="s">
        <v>803</v>
      </c>
      <c r="D151" s="552" t="s">
        <v>3966</v>
      </c>
      <c r="E151" s="557">
        <v>5201.0309278350514</v>
      </c>
      <c r="F151" s="13">
        <f t="shared" si="48"/>
        <v>2860.5670103092784</v>
      </c>
      <c r="G151" s="17">
        <f t="shared" si="49"/>
        <v>0</v>
      </c>
      <c r="H151" s="18">
        <f t="shared" si="38"/>
        <v>89.735987113402075</v>
      </c>
      <c r="I151" s="18">
        <f t="shared" si="39"/>
        <v>0</v>
      </c>
      <c r="J151" s="18">
        <f t="shared" si="50"/>
        <v>78.379536082474232</v>
      </c>
      <c r="K151" s="18">
        <f t="shared" si="41"/>
        <v>0</v>
      </c>
      <c r="L151" s="18">
        <f t="shared" si="51"/>
        <v>65.220927835051555</v>
      </c>
      <c r="M151" s="18">
        <f t="shared" si="43"/>
        <v>0</v>
      </c>
      <c r="N151" s="18">
        <f t="shared" si="44"/>
        <v>58.355567010309287</v>
      </c>
      <c r="O151" s="18">
        <f t="shared" si="45"/>
        <v>0</v>
      </c>
      <c r="P151" s="18">
        <f t="shared" si="46"/>
        <v>52.920489690721645</v>
      </c>
      <c r="Q151" s="18">
        <f t="shared" si="47"/>
        <v>0</v>
      </c>
      <c r="R151" s="743"/>
      <c r="S151" s="547"/>
    </row>
    <row r="152" spans="1:19" s="244" customFormat="1" ht="13.5" thickBot="1">
      <c r="A152" s="1341"/>
      <c r="B152" s="548"/>
      <c r="C152" s="551" t="s">
        <v>3729</v>
      </c>
      <c r="D152" s="552" t="s">
        <v>3951</v>
      </c>
      <c r="E152" s="557">
        <v>28685.567010309278</v>
      </c>
      <c r="F152" s="13">
        <f t="shared" si="48"/>
        <v>15777.061855670105</v>
      </c>
      <c r="G152" s="17">
        <f t="shared" si="49"/>
        <v>0</v>
      </c>
      <c r="H152" s="18">
        <f t="shared" si="38"/>
        <v>494.92643041237119</v>
      </c>
      <c r="I152" s="18">
        <f t="shared" si="39"/>
        <v>0</v>
      </c>
      <c r="J152" s="18">
        <f t="shared" si="50"/>
        <v>432.29149484536089</v>
      </c>
      <c r="K152" s="18">
        <f t="shared" si="41"/>
        <v>0</v>
      </c>
      <c r="L152" s="18">
        <f t="shared" si="51"/>
        <v>359.71701030927841</v>
      </c>
      <c r="M152" s="18">
        <f t="shared" si="43"/>
        <v>0</v>
      </c>
      <c r="N152" s="18">
        <f t="shared" si="44"/>
        <v>321.85206185567017</v>
      </c>
      <c r="O152" s="18">
        <f t="shared" si="45"/>
        <v>0</v>
      </c>
      <c r="P152" s="18">
        <f t="shared" si="46"/>
        <v>291.87564432989694</v>
      </c>
      <c r="Q152" s="18">
        <f t="shared" si="47"/>
        <v>0</v>
      </c>
      <c r="R152" s="743"/>
      <c r="S152" s="547"/>
    </row>
    <row r="153" spans="1:19" s="244" customFormat="1" ht="13.5" thickBot="1">
      <c r="A153" s="1341"/>
      <c r="B153" s="548"/>
      <c r="C153" s="551" t="s">
        <v>55</v>
      </c>
      <c r="D153" s="552" t="s">
        <v>3847</v>
      </c>
      <c r="E153" s="557">
        <v>2038.5876288659795</v>
      </c>
      <c r="F153" s="13">
        <f t="shared" si="48"/>
        <v>1121.2231958762889</v>
      </c>
      <c r="G153" s="17">
        <f t="shared" si="49"/>
        <v>0</v>
      </c>
      <c r="H153" s="18">
        <f t="shared" si="38"/>
        <v>35.172771654639185</v>
      </c>
      <c r="I153" s="18">
        <f t="shared" si="39"/>
        <v>0</v>
      </c>
      <c r="J153" s="18">
        <f t="shared" si="50"/>
        <v>30.721515567010314</v>
      </c>
      <c r="K153" s="18">
        <f t="shared" si="41"/>
        <v>0</v>
      </c>
      <c r="L153" s="18">
        <f t="shared" si="51"/>
        <v>25.563888865979386</v>
      </c>
      <c r="M153" s="18">
        <f t="shared" si="43"/>
        <v>0</v>
      </c>
      <c r="N153" s="18">
        <f t="shared" si="44"/>
        <v>22.872953195876295</v>
      </c>
      <c r="O153" s="18">
        <f t="shared" si="45"/>
        <v>0</v>
      </c>
      <c r="P153" s="18">
        <f t="shared" si="46"/>
        <v>20.742629123711342</v>
      </c>
      <c r="Q153" s="18">
        <f t="shared" si="47"/>
        <v>0</v>
      </c>
      <c r="R153" s="743"/>
      <c r="S153" s="547"/>
    </row>
    <row r="154" spans="1:19" s="244" customFormat="1" ht="13.5" thickBot="1">
      <c r="A154" s="1341"/>
      <c r="B154" s="548"/>
      <c r="C154" s="551" t="s">
        <v>3733</v>
      </c>
      <c r="D154" s="552" t="s">
        <v>3954</v>
      </c>
      <c r="E154" s="557">
        <v>16716.494845360827</v>
      </c>
      <c r="F154" s="13">
        <f t="shared" si="48"/>
        <v>9194.0721649484549</v>
      </c>
      <c r="G154" s="17">
        <f t="shared" si="49"/>
        <v>0</v>
      </c>
      <c r="H154" s="18">
        <f t="shared" si="38"/>
        <v>288.41804381443308</v>
      </c>
      <c r="I154" s="18">
        <f t="shared" si="39"/>
        <v>0</v>
      </c>
      <c r="J154" s="18">
        <f t="shared" si="50"/>
        <v>251.91757731958768</v>
      </c>
      <c r="K154" s="18">
        <f t="shared" si="41"/>
        <v>0</v>
      </c>
      <c r="L154" s="18">
        <f t="shared" si="51"/>
        <v>209.62484536082479</v>
      </c>
      <c r="M154" s="18">
        <f t="shared" si="43"/>
        <v>0</v>
      </c>
      <c r="N154" s="18">
        <f t="shared" si="44"/>
        <v>187.5590721649485</v>
      </c>
      <c r="O154" s="18">
        <f t="shared" si="45"/>
        <v>0</v>
      </c>
      <c r="P154" s="18">
        <f t="shared" si="46"/>
        <v>170.09033505154642</v>
      </c>
      <c r="Q154" s="18">
        <f t="shared" si="47"/>
        <v>0</v>
      </c>
      <c r="R154" s="743"/>
      <c r="S154" s="547"/>
    </row>
    <row r="155" spans="1:19" s="244" customFormat="1" ht="13.5" thickBot="1">
      <c r="A155" s="1341"/>
      <c r="B155" s="548"/>
      <c r="C155" s="551" t="s">
        <v>555</v>
      </c>
      <c r="D155" s="552" t="s">
        <v>3959</v>
      </c>
      <c r="E155" s="557">
        <v>16692.917525773195</v>
      </c>
      <c r="F155" s="13">
        <f t="shared" si="48"/>
        <v>9181.1046391752589</v>
      </c>
      <c r="G155" s="17">
        <f t="shared" si="49"/>
        <v>0</v>
      </c>
      <c r="H155" s="18">
        <f t="shared" si="38"/>
        <v>288.01125253092789</v>
      </c>
      <c r="I155" s="18">
        <f t="shared" si="39"/>
        <v>0</v>
      </c>
      <c r="J155" s="18">
        <f t="shared" si="50"/>
        <v>251.5622671134021</v>
      </c>
      <c r="K155" s="18">
        <f t="shared" si="41"/>
        <v>0</v>
      </c>
      <c r="L155" s="18">
        <f t="shared" si="51"/>
        <v>209.32918577319592</v>
      </c>
      <c r="M155" s="18">
        <f t="shared" si="43"/>
        <v>0</v>
      </c>
      <c r="N155" s="18">
        <f t="shared" si="44"/>
        <v>187.29453463917528</v>
      </c>
      <c r="O155" s="18">
        <f t="shared" si="45"/>
        <v>0</v>
      </c>
      <c r="P155" s="18">
        <f t="shared" si="46"/>
        <v>169.85043582474228</v>
      </c>
      <c r="Q155" s="18">
        <f t="shared" si="47"/>
        <v>0</v>
      </c>
      <c r="R155" s="743"/>
      <c r="S155" s="547"/>
    </row>
    <row r="156" spans="1:19" s="244" customFormat="1" ht="13.5" thickBot="1">
      <c r="A156" s="1341"/>
      <c r="B156" s="548"/>
      <c r="C156" s="551" t="s">
        <v>3711</v>
      </c>
      <c r="D156" s="552" t="s">
        <v>3647</v>
      </c>
      <c r="E156" s="557">
        <v>796.90721649484533</v>
      </c>
      <c r="F156" s="13">
        <f t="shared" si="48"/>
        <v>438.29896907216499</v>
      </c>
      <c r="G156" s="17">
        <f t="shared" si="49"/>
        <v>0</v>
      </c>
      <c r="H156" s="18">
        <f t="shared" si="38"/>
        <v>13.749438659793817</v>
      </c>
      <c r="I156" s="18">
        <f t="shared" si="39"/>
        <v>0</v>
      </c>
      <c r="J156" s="18">
        <f t="shared" si="50"/>
        <v>12.00939175257732</v>
      </c>
      <c r="K156" s="18">
        <f t="shared" si="41"/>
        <v>0</v>
      </c>
      <c r="L156" s="18">
        <f t="shared" si="51"/>
        <v>9.9932164948453615</v>
      </c>
      <c r="M156" s="18">
        <f t="shared" si="43"/>
        <v>0</v>
      </c>
      <c r="N156" s="18">
        <f t="shared" si="44"/>
        <v>8.9412989690721663</v>
      </c>
      <c r="O156" s="18">
        <f t="shared" si="45"/>
        <v>0</v>
      </c>
      <c r="P156" s="18">
        <f t="shared" si="46"/>
        <v>8.1085309278350515</v>
      </c>
      <c r="Q156" s="18">
        <f t="shared" si="47"/>
        <v>0</v>
      </c>
      <c r="R156" s="743"/>
      <c r="S156" s="547"/>
    </row>
    <row r="157" spans="1:19" s="244" customFormat="1" ht="13.5" thickBot="1">
      <c r="A157" s="1341"/>
      <c r="B157" s="548"/>
      <c r="C157" s="551" t="s">
        <v>556</v>
      </c>
      <c r="D157" s="552" t="s">
        <v>3956</v>
      </c>
      <c r="E157" s="557">
        <v>16329.896907216495</v>
      </c>
      <c r="F157" s="13">
        <f t="shared" si="48"/>
        <v>8981.4432989690722</v>
      </c>
      <c r="G157" s="17">
        <f t="shared" si="49"/>
        <v>0</v>
      </c>
      <c r="H157" s="18">
        <f t="shared" si="38"/>
        <v>281.74787628865982</v>
      </c>
      <c r="I157" s="18">
        <f t="shared" si="39"/>
        <v>0</v>
      </c>
      <c r="J157" s="18">
        <f t="shared" si="50"/>
        <v>246.09154639175259</v>
      </c>
      <c r="K157" s="18">
        <f t="shared" si="41"/>
        <v>0</v>
      </c>
      <c r="L157" s="18">
        <f t="shared" si="51"/>
        <v>204.77690721649486</v>
      </c>
      <c r="M157" s="18">
        <f t="shared" si="43"/>
        <v>0</v>
      </c>
      <c r="N157" s="18">
        <f t="shared" si="44"/>
        <v>183.22144329896909</v>
      </c>
      <c r="O157" s="18">
        <f t="shared" si="45"/>
        <v>0</v>
      </c>
      <c r="P157" s="18">
        <f t="shared" si="46"/>
        <v>166.15670103092782</v>
      </c>
      <c r="Q157" s="18">
        <f t="shared" si="47"/>
        <v>0</v>
      </c>
      <c r="R157" s="743"/>
      <c r="S157" s="547"/>
    </row>
    <row r="158" spans="1:19" s="244" customFormat="1" ht="13.5" thickBot="1">
      <c r="A158" s="1341"/>
      <c r="B158" s="548"/>
      <c r="C158" s="551" t="s">
        <v>3744</v>
      </c>
      <c r="D158" s="552" t="s">
        <v>3969</v>
      </c>
      <c r="E158" s="557">
        <v>5097.9381443298971</v>
      </c>
      <c r="F158" s="13">
        <f t="shared" si="48"/>
        <v>2803.8659793814436</v>
      </c>
      <c r="G158" s="17">
        <f t="shared" si="49"/>
        <v>0</v>
      </c>
      <c r="H158" s="18">
        <f t="shared" si="38"/>
        <v>87.957275773195889</v>
      </c>
      <c r="I158" s="18">
        <f t="shared" si="39"/>
        <v>0</v>
      </c>
      <c r="J158" s="18">
        <f t="shared" si="50"/>
        <v>76.825927835051559</v>
      </c>
      <c r="K158" s="18">
        <f t="shared" si="41"/>
        <v>0</v>
      </c>
      <c r="L158" s="18">
        <f t="shared" si="51"/>
        <v>63.928144329896917</v>
      </c>
      <c r="M158" s="18">
        <f t="shared" si="43"/>
        <v>0</v>
      </c>
      <c r="N158" s="18">
        <f t="shared" si="44"/>
        <v>57.198865979381452</v>
      </c>
      <c r="O158" s="18">
        <f t="shared" si="45"/>
        <v>0</v>
      </c>
      <c r="P158" s="18">
        <f t="shared" si="46"/>
        <v>51.871520618556701</v>
      </c>
      <c r="Q158" s="18">
        <f t="shared" si="47"/>
        <v>0</v>
      </c>
      <c r="R158" s="743"/>
      <c r="S158" s="547"/>
    </row>
    <row r="159" spans="1:19" s="244" customFormat="1" ht="13.5" thickBot="1">
      <c r="A159" s="1341"/>
      <c r="B159" s="548"/>
      <c r="C159" s="551" t="s">
        <v>3739</v>
      </c>
      <c r="D159" s="552" t="s">
        <v>3964</v>
      </c>
      <c r="E159" s="557">
        <v>29716.494845360827</v>
      </c>
      <c r="F159" s="13">
        <f t="shared" si="48"/>
        <v>16344.072164948457</v>
      </c>
      <c r="G159" s="17">
        <f t="shared" si="49"/>
        <v>0</v>
      </c>
      <c r="H159" s="18">
        <f t="shared" si="38"/>
        <v>512.71354381443314</v>
      </c>
      <c r="I159" s="18">
        <f t="shared" si="39"/>
        <v>0</v>
      </c>
      <c r="J159" s="18">
        <f t="shared" si="50"/>
        <v>447.8275773195877</v>
      </c>
      <c r="K159" s="18">
        <f t="shared" si="41"/>
        <v>0</v>
      </c>
      <c r="L159" s="18">
        <f t="shared" si="51"/>
        <v>372.64484536082483</v>
      </c>
      <c r="M159" s="18">
        <f t="shared" si="43"/>
        <v>0</v>
      </c>
      <c r="N159" s="18">
        <f t="shared" si="44"/>
        <v>333.41907216494855</v>
      </c>
      <c r="O159" s="18">
        <f t="shared" si="45"/>
        <v>0</v>
      </c>
      <c r="P159" s="18">
        <f t="shared" si="46"/>
        <v>302.36533505154642</v>
      </c>
      <c r="Q159" s="18">
        <f t="shared" si="47"/>
        <v>0</v>
      </c>
      <c r="R159" s="743"/>
      <c r="S159" s="547"/>
    </row>
    <row r="160" spans="1:19" s="244" customFormat="1" ht="13.5" thickBot="1">
      <c r="A160" s="1341"/>
      <c r="B160" s="548"/>
      <c r="C160" s="551" t="s">
        <v>3754</v>
      </c>
      <c r="D160" s="552" t="s">
        <v>3841</v>
      </c>
      <c r="E160" s="557">
        <v>2577.319587628866</v>
      </c>
      <c r="F160" s="13">
        <f t="shared" si="48"/>
        <v>1417.5257731958764</v>
      </c>
      <c r="G160" s="17">
        <f t="shared" si="49"/>
        <v>0</v>
      </c>
      <c r="H160" s="18">
        <f t="shared" ref="H160:H167" si="52">F160*0.03137</f>
        <v>44.467783505154642</v>
      </c>
      <c r="I160" s="18">
        <f t="shared" ref="I160:I167" si="53">H160*B160</f>
        <v>0</v>
      </c>
      <c r="J160" s="18">
        <f t="shared" si="50"/>
        <v>38.840206185567013</v>
      </c>
      <c r="K160" s="18">
        <f t="shared" ref="K160:K167" si="54">J160*B160</f>
        <v>0</v>
      </c>
      <c r="L160" s="18">
        <f t="shared" si="51"/>
        <v>32.319587628865982</v>
      </c>
      <c r="M160" s="18">
        <f t="shared" ref="M160:M167" si="55">L160*B160</f>
        <v>0</v>
      </c>
      <c r="N160" s="18">
        <f t="shared" ref="N160:N167" si="56">F160*0.0204</f>
        <v>28.91752577319588</v>
      </c>
      <c r="O160" s="18">
        <f t="shared" ref="O160:O167" si="57">N160*B160</f>
        <v>0</v>
      </c>
      <c r="P160" s="18">
        <f t="shared" ref="P160:P167" si="58">F160*0.0185</f>
        <v>26.22422680412371</v>
      </c>
      <c r="Q160" s="18">
        <f t="shared" ref="Q160:Q167" si="59">P160*B160</f>
        <v>0</v>
      </c>
      <c r="R160" s="743"/>
      <c r="S160" s="547"/>
    </row>
    <row r="161" spans="1:19" s="244" customFormat="1" ht="13.5" thickBot="1">
      <c r="A161" s="1341"/>
      <c r="B161" s="548"/>
      <c r="C161" s="551" t="s">
        <v>3910</v>
      </c>
      <c r="D161" s="552" t="s">
        <v>3990</v>
      </c>
      <c r="E161" s="557">
        <v>927.83505154639181</v>
      </c>
      <c r="F161" s="13">
        <f t="shared" si="48"/>
        <v>510.30927835051551</v>
      </c>
      <c r="G161" s="17">
        <f t="shared" si="49"/>
        <v>0</v>
      </c>
      <c r="H161" s="18">
        <f t="shared" si="52"/>
        <v>16.008402061855673</v>
      </c>
      <c r="I161" s="18">
        <f t="shared" si="53"/>
        <v>0</v>
      </c>
      <c r="J161" s="18">
        <f t="shared" si="50"/>
        <v>13.982474226804126</v>
      </c>
      <c r="K161" s="18">
        <f t="shared" si="54"/>
        <v>0</v>
      </c>
      <c r="L161" s="18">
        <f t="shared" si="51"/>
        <v>11.635051546391754</v>
      </c>
      <c r="M161" s="18">
        <f t="shared" si="55"/>
        <v>0</v>
      </c>
      <c r="N161" s="18">
        <f t="shared" si="56"/>
        <v>10.410309278350518</v>
      </c>
      <c r="O161" s="18">
        <f t="shared" si="57"/>
        <v>0</v>
      </c>
      <c r="P161" s="18">
        <f t="shared" si="58"/>
        <v>9.4407216494845372</v>
      </c>
      <c r="Q161" s="18">
        <f t="shared" si="59"/>
        <v>0</v>
      </c>
      <c r="R161" s="743"/>
      <c r="S161" s="547"/>
    </row>
    <row r="162" spans="1:19" s="244" customFormat="1" ht="13.5" thickBot="1">
      <c r="A162" s="1341"/>
      <c r="B162" s="548"/>
      <c r="C162" s="549" t="s">
        <v>805</v>
      </c>
      <c r="D162" s="550" t="s">
        <v>3965</v>
      </c>
      <c r="E162" s="557">
        <v>8448.4536082474224</v>
      </c>
      <c r="F162" s="13">
        <f t="shared" si="48"/>
        <v>4646.649484536083</v>
      </c>
      <c r="G162" s="17">
        <f t="shared" si="49"/>
        <v>0</v>
      </c>
      <c r="H162" s="18">
        <f t="shared" si="52"/>
        <v>145.76539432989694</v>
      </c>
      <c r="I162" s="18">
        <f t="shared" si="53"/>
        <v>0</v>
      </c>
      <c r="J162" s="18">
        <f t="shared" si="50"/>
        <v>127.31819587628868</v>
      </c>
      <c r="K162" s="18">
        <f t="shared" si="54"/>
        <v>0</v>
      </c>
      <c r="L162" s="18">
        <f t="shared" si="51"/>
        <v>105.9436082474227</v>
      </c>
      <c r="M162" s="18">
        <f t="shared" si="55"/>
        <v>0</v>
      </c>
      <c r="N162" s="18">
        <f t="shared" si="56"/>
        <v>94.791649484536094</v>
      </c>
      <c r="O162" s="18">
        <f t="shared" si="57"/>
        <v>0</v>
      </c>
      <c r="P162" s="18">
        <f t="shared" si="58"/>
        <v>85.963015463917529</v>
      </c>
      <c r="Q162" s="18">
        <f t="shared" si="59"/>
        <v>0</v>
      </c>
      <c r="R162" s="743"/>
      <c r="S162" s="547"/>
    </row>
    <row r="163" spans="1:19" s="244" customFormat="1" ht="13.5" thickBot="1">
      <c r="A163" s="1341"/>
      <c r="B163" s="548"/>
      <c r="C163" s="549" t="s">
        <v>3906</v>
      </c>
      <c r="D163" s="550" t="s">
        <v>3977</v>
      </c>
      <c r="E163" s="557">
        <v>4020.6185567010311</v>
      </c>
      <c r="F163" s="13">
        <f t="shared" si="48"/>
        <v>2211.3402061855672</v>
      </c>
      <c r="G163" s="17">
        <f t="shared" si="49"/>
        <v>0</v>
      </c>
      <c r="H163" s="18">
        <f t="shared" si="52"/>
        <v>69.36974226804125</v>
      </c>
      <c r="I163" s="18">
        <f t="shared" si="53"/>
        <v>0</v>
      </c>
      <c r="J163" s="18">
        <f t="shared" si="50"/>
        <v>60.590721649484543</v>
      </c>
      <c r="K163" s="18">
        <f t="shared" si="54"/>
        <v>0</v>
      </c>
      <c r="L163" s="18">
        <f t="shared" si="51"/>
        <v>50.418556701030937</v>
      </c>
      <c r="M163" s="18">
        <f t="shared" si="55"/>
        <v>0</v>
      </c>
      <c r="N163" s="18">
        <f t="shared" si="56"/>
        <v>45.111340206185574</v>
      </c>
      <c r="O163" s="18">
        <f t="shared" si="57"/>
        <v>0</v>
      </c>
      <c r="P163" s="18">
        <f t="shared" si="58"/>
        <v>40.909793814432994</v>
      </c>
      <c r="Q163" s="18">
        <f t="shared" si="59"/>
        <v>0</v>
      </c>
      <c r="R163" s="743"/>
      <c r="S163" s="547"/>
    </row>
    <row r="164" spans="1:19" s="244" customFormat="1" ht="13.5" thickBot="1">
      <c r="A164" s="1341"/>
      <c r="B164" s="548"/>
      <c r="C164" s="551" t="s">
        <v>3907</v>
      </c>
      <c r="D164" s="552" t="s">
        <v>3978</v>
      </c>
      <c r="E164" s="557">
        <v>17525.773195876289</v>
      </c>
      <c r="F164" s="13">
        <f t="shared" si="48"/>
        <v>9639.1752577319603</v>
      </c>
      <c r="G164" s="17">
        <f t="shared" si="49"/>
        <v>0</v>
      </c>
      <c r="H164" s="18">
        <f t="shared" si="52"/>
        <v>302.38092783505164</v>
      </c>
      <c r="I164" s="18">
        <f t="shared" si="53"/>
        <v>0</v>
      </c>
      <c r="J164" s="18">
        <f t="shared" si="50"/>
        <v>264.11340206185571</v>
      </c>
      <c r="K164" s="18">
        <f t="shared" si="54"/>
        <v>0</v>
      </c>
      <c r="L164" s="18">
        <f t="shared" si="51"/>
        <v>219.7731958762887</v>
      </c>
      <c r="M164" s="18">
        <f t="shared" si="55"/>
        <v>0</v>
      </c>
      <c r="N164" s="18">
        <f t="shared" si="56"/>
        <v>196.63917525773201</v>
      </c>
      <c r="O164" s="18">
        <f t="shared" si="57"/>
        <v>0</v>
      </c>
      <c r="P164" s="18">
        <f t="shared" si="58"/>
        <v>178.32474226804126</v>
      </c>
      <c r="Q164" s="18">
        <f t="shared" si="59"/>
        <v>0</v>
      </c>
      <c r="R164" s="743"/>
      <c r="S164" s="547"/>
    </row>
    <row r="165" spans="1:19" s="244" customFormat="1" ht="13.5" thickBot="1">
      <c r="A165" s="1341"/>
      <c r="B165" s="548"/>
      <c r="C165" s="549" t="s">
        <v>3747</v>
      </c>
      <c r="D165" s="550" t="s">
        <v>3972</v>
      </c>
      <c r="E165" s="557">
        <v>3296.6597938144332</v>
      </c>
      <c r="F165" s="13">
        <f t="shared" si="48"/>
        <v>1813.1628865979385</v>
      </c>
      <c r="G165" s="17">
        <f t="shared" si="49"/>
        <v>0</v>
      </c>
      <c r="H165" s="18">
        <f t="shared" si="52"/>
        <v>56.878919752577332</v>
      </c>
      <c r="I165" s="18">
        <f t="shared" si="53"/>
        <v>0</v>
      </c>
      <c r="J165" s="18">
        <f t="shared" si="50"/>
        <v>49.680663092783519</v>
      </c>
      <c r="K165" s="18">
        <f t="shared" si="54"/>
        <v>0</v>
      </c>
      <c r="L165" s="18">
        <f t="shared" si="51"/>
        <v>41.340113814432996</v>
      </c>
      <c r="M165" s="18">
        <f t="shared" si="55"/>
        <v>0</v>
      </c>
      <c r="N165" s="18">
        <f t="shared" si="56"/>
        <v>36.988522886597949</v>
      </c>
      <c r="O165" s="18">
        <f t="shared" si="57"/>
        <v>0</v>
      </c>
      <c r="P165" s="18">
        <f t="shared" si="58"/>
        <v>33.543513402061862</v>
      </c>
      <c r="Q165" s="18">
        <f t="shared" si="59"/>
        <v>0</v>
      </c>
      <c r="R165" s="743"/>
      <c r="S165" s="547"/>
    </row>
    <row r="166" spans="1:19" s="244" customFormat="1" ht="13.5" thickBot="1">
      <c r="A166" s="1341"/>
      <c r="B166" s="548"/>
      <c r="C166" s="549" t="s">
        <v>3765</v>
      </c>
      <c r="D166" s="550" t="s">
        <v>3853</v>
      </c>
      <c r="E166" s="557">
        <v>927.83505154639181</v>
      </c>
      <c r="F166" s="13">
        <f t="shared" si="48"/>
        <v>510.30927835051551</v>
      </c>
      <c r="G166" s="17">
        <f t="shared" si="49"/>
        <v>0</v>
      </c>
      <c r="H166" s="18">
        <f t="shared" si="52"/>
        <v>16.008402061855673</v>
      </c>
      <c r="I166" s="18">
        <f t="shared" si="53"/>
        <v>0</v>
      </c>
      <c r="J166" s="18">
        <f t="shared" si="50"/>
        <v>13.982474226804126</v>
      </c>
      <c r="K166" s="18">
        <f t="shared" si="54"/>
        <v>0</v>
      </c>
      <c r="L166" s="18">
        <f t="shared" si="51"/>
        <v>11.635051546391754</v>
      </c>
      <c r="M166" s="18">
        <f t="shared" si="55"/>
        <v>0</v>
      </c>
      <c r="N166" s="18">
        <f t="shared" si="56"/>
        <v>10.410309278350518</v>
      </c>
      <c r="O166" s="18">
        <f t="shared" si="57"/>
        <v>0</v>
      </c>
      <c r="P166" s="18">
        <f t="shared" si="58"/>
        <v>9.4407216494845372</v>
      </c>
      <c r="Q166" s="18">
        <f t="shared" si="59"/>
        <v>0</v>
      </c>
      <c r="R166" s="743"/>
      <c r="S166" s="547"/>
    </row>
    <row r="167" spans="1:19" s="244" customFormat="1" ht="13.5" thickBot="1">
      <c r="A167" s="1341"/>
      <c r="B167" s="548"/>
      <c r="C167" s="551" t="s">
        <v>268</v>
      </c>
      <c r="D167" s="552" t="s">
        <v>3849</v>
      </c>
      <c r="E167" s="557">
        <v>597.93814432989689</v>
      </c>
      <c r="F167" s="13">
        <f t="shared" si="48"/>
        <v>328.86597938144331</v>
      </c>
      <c r="G167" s="17">
        <f t="shared" si="49"/>
        <v>0</v>
      </c>
      <c r="H167" s="18">
        <f t="shared" si="52"/>
        <v>10.316525773195877</v>
      </c>
      <c r="I167" s="18">
        <f t="shared" si="53"/>
        <v>0</v>
      </c>
      <c r="J167" s="18">
        <f t="shared" si="50"/>
        <v>9.0109278350515467</v>
      </c>
      <c r="K167" s="18">
        <f t="shared" si="54"/>
        <v>0</v>
      </c>
      <c r="L167" s="18">
        <f t="shared" si="51"/>
        <v>7.4981443298969079</v>
      </c>
      <c r="M167" s="18">
        <f t="shared" si="55"/>
        <v>0</v>
      </c>
      <c r="N167" s="18">
        <f t="shared" si="56"/>
        <v>6.7088659793814438</v>
      </c>
      <c r="O167" s="18">
        <f t="shared" si="57"/>
        <v>0</v>
      </c>
      <c r="P167" s="18">
        <f t="shared" si="58"/>
        <v>6.0840206185567007</v>
      </c>
      <c r="Q167" s="18">
        <f t="shared" si="59"/>
        <v>0</v>
      </c>
      <c r="R167" s="743"/>
      <c r="S167" s="547"/>
    </row>
    <row r="168" spans="1:19" s="553" customFormat="1">
      <c r="A168" s="546"/>
      <c r="D168" s="1342" t="s">
        <v>183</v>
      </c>
      <c r="E168" s="1343"/>
      <c r="F168" s="1344"/>
      <c r="G168" s="78">
        <f>SUM(G32:G167)+G29</f>
        <v>0</v>
      </c>
      <c r="H168" s="240" t="s">
        <v>201</v>
      </c>
      <c r="I168" s="78">
        <f>SUM(I32:I167)+I29</f>
        <v>0</v>
      </c>
      <c r="J168" s="240" t="s">
        <v>202</v>
      </c>
      <c r="K168" s="78">
        <f>SUM(K32:K167)+K29</f>
        <v>0</v>
      </c>
      <c r="L168" s="240" t="s">
        <v>203</v>
      </c>
      <c r="M168" s="78">
        <f>SUM(M32:M167)+M29</f>
        <v>0</v>
      </c>
      <c r="N168" s="240" t="s">
        <v>95</v>
      </c>
      <c r="O168" s="78">
        <f>SUM(O32:O167)+O29</f>
        <v>0</v>
      </c>
      <c r="P168" s="240" t="s">
        <v>888</v>
      </c>
      <c r="Q168" s="78">
        <f>SUM(Q32:Q167)+Q29</f>
        <v>0</v>
      </c>
    </row>
    <row r="169" spans="1:19" s="553" customFormat="1" ht="12.75">
      <c r="F169" s="554"/>
      <c r="G169" s="554"/>
      <c r="H169" s="555"/>
    </row>
    <row r="170" spans="1:19" s="553" customFormat="1" ht="12.75">
      <c r="F170" s="554"/>
      <c r="G170" s="554"/>
    </row>
    <row r="171" spans="1:19" s="553" customFormat="1" ht="12.75">
      <c r="F171" s="554"/>
      <c r="G171" s="554"/>
    </row>
    <row r="172" spans="1:19" s="553" customFormat="1" ht="12.75">
      <c r="F172" s="554"/>
      <c r="G172" s="554"/>
    </row>
    <row r="173" spans="1:19" s="553" customFormat="1" ht="12.75">
      <c r="F173" s="554"/>
      <c r="G173" s="554"/>
    </row>
    <row r="174" spans="1:19" s="553" customFormat="1" ht="12.75">
      <c r="F174" s="554"/>
      <c r="G174" s="554"/>
    </row>
    <row r="175" spans="1:19" s="553" customFormat="1" ht="12.75">
      <c r="F175" s="554"/>
      <c r="G175" s="554"/>
    </row>
    <row r="176" spans="1:19" s="553" customFormat="1" ht="12.75">
      <c r="F176" s="554"/>
      <c r="G176" s="554"/>
    </row>
    <row r="177" spans="2:7" s="553" customFormat="1" ht="12.75">
      <c r="F177" s="554"/>
      <c r="G177" s="554"/>
    </row>
    <row r="178" spans="2:7" s="553" customFormat="1" ht="12.75">
      <c r="F178" s="554"/>
      <c r="G178" s="554"/>
    </row>
    <row r="179" spans="2:7" s="553" customFormat="1" ht="12.75">
      <c r="F179" s="554"/>
      <c r="G179" s="554"/>
    </row>
    <row r="180" spans="2:7" s="553" customFormat="1" ht="12.75">
      <c r="F180" s="554"/>
      <c r="G180" s="554"/>
    </row>
    <row r="181" spans="2:7" s="553" customFormat="1" ht="12.75">
      <c r="F181" s="554"/>
      <c r="G181" s="554"/>
    </row>
    <row r="182" spans="2:7" s="553" customFormat="1" ht="12.75">
      <c r="F182" s="554"/>
      <c r="G182" s="554"/>
    </row>
    <row r="183" spans="2:7" s="553" customFormat="1" ht="12.75">
      <c r="F183" s="554"/>
      <c r="G183" s="554"/>
    </row>
    <row r="184" spans="2:7" s="553" customFormat="1" ht="12.75">
      <c r="F184" s="554"/>
      <c r="G184" s="554"/>
    </row>
    <row r="185" spans="2:7" s="553" customFormat="1" ht="12.75">
      <c r="B185" s="243"/>
      <c r="C185" s="243"/>
      <c r="F185" s="554"/>
      <c r="G185" s="554"/>
    </row>
    <row r="186" spans="2:7" s="553" customFormat="1" ht="12.75">
      <c r="F186" s="554"/>
      <c r="G186" s="554"/>
    </row>
    <row r="187" spans="2:7" s="553" customFormat="1" ht="12.75">
      <c r="F187" s="554"/>
      <c r="G187" s="554"/>
    </row>
    <row r="188" spans="2:7" s="553" customFormat="1" ht="12.75">
      <c r="F188" s="554"/>
      <c r="G188" s="554"/>
    </row>
    <row r="189" spans="2:7" s="553" customFormat="1" ht="12.75">
      <c r="F189" s="554"/>
      <c r="G189" s="554"/>
    </row>
    <row r="190" spans="2:7" s="553" customFormat="1" ht="12.75">
      <c r="F190" s="554"/>
      <c r="G190" s="554"/>
    </row>
    <row r="191" spans="2:7" s="553" customFormat="1" ht="12.75">
      <c r="F191" s="554"/>
      <c r="G191" s="554"/>
    </row>
    <row r="192" spans="2:7" s="553" customFormat="1" ht="12.75">
      <c r="F192" s="554"/>
      <c r="G192" s="554"/>
    </row>
    <row r="193" spans="6:7" s="553" customFormat="1" ht="12.75">
      <c r="F193" s="554"/>
      <c r="G193" s="554"/>
    </row>
    <row r="194" spans="6:7" s="553" customFormat="1" ht="12.75">
      <c r="F194" s="554"/>
      <c r="G194" s="554"/>
    </row>
    <row r="195" spans="6:7" s="553" customFormat="1" ht="12.75">
      <c r="F195" s="554"/>
      <c r="G195" s="554"/>
    </row>
    <row r="196" spans="6:7" s="553" customFormat="1" ht="12.75">
      <c r="F196" s="554"/>
      <c r="G196" s="554"/>
    </row>
    <row r="197" spans="6:7" s="553" customFormat="1" ht="12.75">
      <c r="F197" s="554"/>
      <c r="G197" s="554"/>
    </row>
    <row r="198" spans="6:7" s="553" customFormat="1" ht="12.75">
      <c r="F198" s="554"/>
      <c r="G198" s="554"/>
    </row>
    <row r="199" spans="6:7" s="553" customFormat="1" ht="12.75">
      <c r="F199" s="554"/>
      <c r="G199" s="554"/>
    </row>
    <row r="200" spans="6:7" s="553" customFormat="1" ht="12.75">
      <c r="F200" s="554"/>
      <c r="G200" s="554"/>
    </row>
    <row r="201" spans="6:7" s="553" customFormat="1" ht="12.75">
      <c r="F201" s="554"/>
      <c r="G201" s="554"/>
    </row>
    <row r="202" spans="6:7" s="553" customFormat="1" ht="12.75">
      <c r="F202" s="554"/>
      <c r="G202" s="554"/>
    </row>
    <row r="203" spans="6:7" s="553" customFormat="1" ht="12.75">
      <c r="F203" s="554"/>
      <c r="G203" s="554"/>
    </row>
    <row r="204" spans="6:7" s="553" customFormat="1" ht="12.75">
      <c r="F204" s="554"/>
      <c r="G204" s="554"/>
    </row>
    <row r="205" spans="6:7" s="553" customFormat="1" ht="12.75">
      <c r="F205" s="452"/>
      <c r="G205" s="452"/>
    </row>
    <row r="206" spans="6:7" s="553" customFormat="1" ht="12.75">
      <c r="F206" s="452"/>
      <c r="G206" s="452"/>
    </row>
    <row r="207" spans="6:7" s="553" customFormat="1" ht="12.75">
      <c r="F207" s="452"/>
      <c r="G207" s="452"/>
    </row>
    <row r="208" spans="6:7" s="553" customFormat="1" ht="12.75">
      <c r="F208" s="452"/>
      <c r="G208" s="452"/>
    </row>
    <row r="209" spans="6:7" s="553" customFormat="1" ht="12.75">
      <c r="F209" s="452"/>
      <c r="G209" s="452"/>
    </row>
    <row r="210" spans="6:7" s="553" customFormat="1" ht="12.75">
      <c r="F210" s="452"/>
      <c r="G210" s="452"/>
    </row>
    <row r="211" spans="6:7" s="553" customFormat="1" ht="12.75">
      <c r="F211" s="452"/>
      <c r="G211" s="452"/>
    </row>
    <row r="212" spans="6:7" s="553" customFormat="1" ht="12.75">
      <c r="F212" s="452"/>
      <c r="G212" s="452"/>
    </row>
    <row r="213" spans="6:7" s="553" customFormat="1" ht="12.75">
      <c r="F213" s="452"/>
      <c r="G213" s="452"/>
    </row>
    <row r="214" spans="6:7" s="553" customFormat="1" ht="12.75">
      <c r="F214" s="452"/>
      <c r="G214" s="452"/>
    </row>
    <row r="215" spans="6:7" s="553" customFormat="1" ht="12.75">
      <c r="F215" s="452"/>
      <c r="G215" s="452"/>
    </row>
    <row r="216" spans="6:7" s="553" customFormat="1" ht="12.75">
      <c r="F216" s="452"/>
      <c r="G216" s="452"/>
    </row>
    <row r="217" spans="6:7" s="553" customFormat="1" ht="12.75">
      <c r="F217" s="452"/>
      <c r="G217" s="452"/>
    </row>
    <row r="218" spans="6:7" s="553" customFormat="1" ht="12.75">
      <c r="F218" s="452"/>
      <c r="G218" s="452"/>
    </row>
    <row r="219" spans="6:7" s="553" customFormat="1" ht="12.75">
      <c r="F219" s="452"/>
      <c r="G219" s="452"/>
    </row>
    <row r="220" spans="6:7" s="553" customFormat="1" ht="12.75">
      <c r="F220" s="452"/>
      <c r="G220" s="452"/>
    </row>
    <row r="221" spans="6:7" s="553" customFormat="1" ht="12.75">
      <c r="F221" s="452"/>
      <c r="G221" s="452"/>
    </row>
    <row r="222" spans="6:7" s="553" customFormat="1" ht="12.75">
      <c r="F222" s="452"/>
      <c r="G222" s="452"/>
    </row>
    <row r="223" spans="6:7" s="553" customFormat="1" ht="12.75">
      <c r="F223" s="452"/>
      <c r="G223" s="452"/>
    </row>
    <row r="224" spans="6:7" s="553" customFormat="1" ht="12.75">
      <c r="F224" s="452"/>
      <c r="G224" s="452"/>
    </row>
    <row r="225" spans="6:7" s="553" customFormat="1" ht="12.75">
      <c r="F225" s="452"/>
      <c r="G225" s="452"/>
    </row>
    <row r="226" spans="6:7" s="553" customFormat="1" ht="12.75">
      <c r="F226" s="452"/>
      <c r="G226" s="452"/>
    </row>
    <row r="227" spans="6:7" s="553" customFormat="1" ht="12.75">
      <c r="F227" s="452"/>
      <c r="G227" s="452"/>
    </row>
    <row r="228" spans="6:7" s="553" customFormat="1" ht="12.75">
      <c r="F228" s="452"/>
      <c r="G228" s="452"/>
    </row>
    <row r="229" spans="6:7" s="553" customFormat="1" ht="12.75">
      <c r="F229" s="452"/>
      <c r="G229" s="452"/>
    </row>
    <row r="230" spans="6:7" s="553" customFormat="1" ht="12.75">
      <c r="F230" s="452"/>
      <c r="G230" s="452"/>
    </row>
    <row r="231" spans="6:7" s="553" customFormat="1" ht="12.75">
      <c r="F231" s="452"/>
      <c r="G231" s="452"/>
    </row>
    <row r="232" spans="6:7" s="553" customFormat="1" ht="12.75">
      <c r="F232" s="452"/>
      <c r="G232" s="452"/>
    </row>
    <row r="233" spans="6:7" s="553" customFormat="1" ht="12.75">
      <c r="F233" s="452"/>
      <c r="G233" s="452"/>
    </row>
    <row r="234" spans="6:7" s="553" customFormat="1" ht="12.75">
      <c r="F234" s="452"/>
      <c r="G234" s="452"/>
    </row>
    <row r="235" spans="6:7" s="553" customFormat="1" ht="12.75">
      <c r="F235" s="452"/>
      <c r="G235" s="452"/>
    </row>
    <row r="236" spans="6:7" s="553" customFormat="1" ht="12.75">
      <c r="F236" s="452"/>
      <c r="G236" s="452"/>
    </row>
    <row r="237" spans="6:7" s="553" customFormat="1" ht="12.75">
      <c r="F237" s="452"/>
      <c r="G237" s="452"/>
    </row>
    <row r="238" spans="6:7" s="553" customFormat="1" ht="12.75">
      <c r="F238" s="452"/>
      <c r="G238" s="452"/>
    </row>
    <row r="239" spans="6:7" s="553" customFormat="1" ht="12.75">
      <c r="F239" s="452"/>
      <c r="G239" s="452"/>
    </row>
    <row r="240" spans="6:7" s="553" customFormat="1" ht="12.75">
      <c r="F240" s="452"/>
      <c r="G240" s="452"/>
    </row>
    <row r="241" spans="6:7" s="553" customFormat="1" ht="12.75">
      <c r="F241" s="452"/>
      <c r="G241" s="452"/>
    </row>
    <row r="242" spans="6:7" s="553" customFormat="1" ht="12.75">
      <c r="F242" s="452"/>
      <c r="G242" s="452"/>
    </row>
    <row r="243" spans="6:7" s="553" customFormat="1" ht="12.75">
      <c r="F243" s="452"/>
      <c r="G243" s="452"/>
    </row>
    <row r="244" spans="6:7" s="553" customFormat="1" ht="12.75">
      <c r="F244" s="452"/>
      <c r="G244" s="452"/>
    </row>
    <row r="245" spans="6:7" s="553" customFormat="1" ht="12.75">
      <c r="F245" s="452"/>
      <c r="G245" s="452"/>
    </row>
    <row r="246" spans="6:7" s="553" customFormat="1" ht="12.75">
      <c r="F246" s="452"/>
      <c r="G246" s="452"/>
    </row>
    <row r="247" spans="6:7" s="553" customFormat="1" ht="12.75">
      <c r="F247" s="452"/>
      <c r="G247" s="452"/>
    </row>
    <row r="248" spans="6:7" s="553" customFormat="1" ht="12.75">
      <c r="F248" s="452"/>
      <c r="G248" s="452"/>
    </row>
    <row r="249" spans="6:7" s="553" customFormat="1" ht="12.75">
      <c r="F249" s="452"/>
      <c r="G249" s="452"/>
    </row>
    <row r="250" spans="6:7" s="553" customFormat="1" ht="12.75">
      <c r="F250" s="452"/>
      <c r="G250" s="452"/>
    </row>
    <row r="251" spans="6:7" s="553" customFormat="1" ht="12.75">
      <c r="F251" s="452"/>
      <c r="G251" s="452"/>
    </row>
    <row r="252" spans="6:7" s="553" customFormat="1" ht="12.75">
      <c r="F252" s="452"/>
      <c r="G252" s="452"/>
    </row>
    <row r="253" spans="6:7" s="553" customFormat="1" ht="12.75">
      <c r="F253" s="452"/>
      <c r="G253" s="452"/>
    </row>
    <row r="254" spans="6:7" s="553" customFormat="1" ht="12.75">
      <c r="F254" s="452"/>
      <c r="G254" s="452"/>
    </row>
    <row r="255" spans="6:7" s="553" customFormat="1" ht="12.75">
      <c r="F255" s="452"/>
      <c r="G255" s="452"/>
    </row>
    <row r="256" spans="6:7" s="553" customFormat="1" ht="12.75">
      <c r="F256" s="452"/>
      <c r="G256" s="452"/>
    </row>
    <row r="257" spans="1:17" s="553" customFormat="1" ht="12.75">
      <c r="F257" s="452"/>
      <c r="G257" s="452"/>
    </row>
    <row r="258" spans="1:17" s="553" customFormat="1" ht="12.75">
      <c r="F258" s="452"/>
      <c r="G258" s="452"/>
    </row>
    <row r="259" spans="1:17" s="553" customFormat="1" ht="12.75">
      <c r="F259" s="452"/>
      <c r="G259" s="452"/>
    </row>
    <row r="260" spans="1:17" s="553" customFormat="1" ht="12.75">
      <c r="F260" s="452"/>
      <c r="G260" s="452"/>
    </row>
    <row r="261" spans="1:17" s="553" customFormat="1" ht="12.75">
      <c r="F261" s="452"/>
      <c r="G261" s="452"/>
    </row>
    <row r="262" spans="1:17" s="553" customFormat="1" ht="12.75">
      <c r="F262" s="452"/>
      <c r="G262" s="452"/>
    </row>
    <row r="263" spans="1:17" s="553" customFormat="1" ht="12.75">
      <c r="F263" s="452"/>
      <c r="G263" s="452"/>
    </row>
    <row r="264" spans="1:17" s="553" customFormat="1" ht="12.75">
      <c r="F264" s="452"/>
      <c r="G264" s="452"/>
    </row>
    <row r="265" spans="1:17" s="553" customFormat="1" ht="12.75">
      <c r="F265" s="452"/>
      <c r="G265" s="452"/>
    </row>
    <row r="266" spans="1:17" s="553" customFormat="1" ht="12.75">
      <c r="F266" s="452"/>
      <c r="G266" s="452"/>
    </row>
    <row r="267" spans="1:17" s="553" customFormat="1" ht="12.75">
      <c r="F267" s="452"/>
      <c r="G267" s="452"/>
    </row>
    <row r="268" spans="1:17" s="553" customFormat="1" ht="12.75">
      <c r="F268" s="452"/>
      <c r="G268" s="452"/>
    </row>
    <row r="269" spans="1:17">
      <c r="A269" s="553"/>
      <c r="B269" s="553"/>
      <c r="C269" s="553"/>
      <c r="D269" s="553"/>
      <c r="E269" s="553"/>
      <c r="F269" s="452"/>
      <c r="G269" s="452"/>
      <c r="H269" s="553"/>
      <c r="I269" s="553"/>
      <c r="J269" s="553"/>
      <c r="K269" s="553"/>
      <c r="L269" s="553"/>
      <c r="M269" s="553"/>
      <c r="N269" s="553"/>
      <c r="O269" s="553"/>
      <c r="P269" s="553"/>
      <c r="Q269" s="553"/>
    </row>
    <row r="270" spans="1:17">
      <c r="A270" s="553"/>
      <c r="B270" s="553"/>
      <c r="C270" s="553"/>
      <c r="D270" s="553"/>
      <c r="E270" s="553"/>
      <c r="F270" s="452"/>
      <c r="G270" s="452"/>
      <c r="H270" s="553"/>
      <c r="I270" s="553"/>
      <c r="J270" s="553"/>
      <c r="K270" s="553"/>
      <c r="L270" s="553"/>
      <c r="M270" s="553"/>
      <c r="N270" s="553"/>
      <c r="O270" s="553"/>
      <c r="P270" s="553"/>
      <c r="Q270" s="553"/>
    </row>
    <row r="271" spans="1:17">
      <c r="A271" s="553"/>
      <c r="B271" s="553"/>
      <c r="C271" s="553"/>
      <c r="D271" s="553"/>
      <c r="E271" s="553"/>
      <c r="F271" s="452"/>
      <c r="G271" s="452"/>
      <c r="I271" s="553"/>
      <c r="J271" s="553"/>
      <c r="K271" s="553"/>
      <c r="L271" s="553"/>
      <c r="M271" s="553"/>
      <c r="N271" s="553"/>
      <c r="O271" s="553"/>
      <c r="P271" s="553"/>
      <c r="Q271" s="553"/>
    </row>
  </sheetData>
  <mergeCells count="18">
    <mergeCell ref="A32:A167"/>
    <mergeCell ref="D168:F168"/>
    <mergeCell ref="B29:B30"/>
    <mergeCell ref="G29:G30"/>
    <mergeCell ref="I29:I30"/>
    <mergeCell ref="K29:K30"/>
    <mergeCell ref="A29:A30"/>
    <mergeCell ref="A31:Q31"/>
    <mergeCell ref="M29:M30"/>
    <mergeCell ref="O29:O30"/>
    <mergeCell ref="Q29:Q30"/>
    <mergeCell ref="F27:G27"/>
    <mergeCell ref="H27:Q27"/>
    <mergeCell ref="A4:O4"/>
    <mergeCell ref="A5:O5"/>
    <mergeCell ref="F8:I8"/>
    <mergeCell ref="A23:O23"/>
    <mergeCell ref="A24:O24"/>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0827-F689-4232-8986-802E45F4F60E}">
  <sheetPr>
    <tabColor indexed="62"/>
  </sheetPr>
  <dimension ref="A1:P121"/>
  <sheetViews>
    <sheetView topLeftCell="A27" zoomScaleNormal="100" workbookViewId="0">
      <selection activeCell="E10" sqref="E10"/>
    </sheetView>
  </sheetViews>
  <sheetFormatPr defaultColWidth="8.85546875" defaultRowHeight="12.75"/>
  <cols>
    <col min="1" max="1" width="14.140625" style="378" customWidth="1"/>
    <col min="2" max="2" width="10.5703125" style="378" customWidth="1"/>
    <col min="3" max="3" width="20.28515625" style="378" customWidth="1"/>
    <col min="4" max="4" width="44.42578125" style="378" customWidth="1"/>
    <col min="5" max="5" width="15.7109375" style="378" customWidth="1"/>
    <col min="6" max="6" width="13.85546875" style="455" customWidth="1"/>
    <col min="7" max="7" width="15.7109375" style="378" customWidth="1"/>
    <col min="8" max="8" width="22.85546875" style="378" customWidth="1"/>
    <col min="9" max="10" width="23" style="378" customWidth="1"/>
    <col min="11" max="11" width="22.28515625" style="378" customWidth="1"/>
    <col min="12" max="12" width="25.28515625" style="378" customWidth="1"/>
    <col min="13" max="13" width="23" style="378" customWidth="1"/>
    <col min="14" max="14" width="23.5703125" style="378" customWidth="1"/>
    <col min="15" max="15" width="21" style="378" customWidth="1"/>
    <col min="16" max="16" width="12.42578125" style="378" customWidth="1"/>
    <col min="17" max="16384" width="8.85546875" style="378"/>
  </cols>
  <sheetData>
    <row r="1" spans="1:16" ht="13.5" thickBot="1">
      <c r="C1" s="379"/>
      <c r="D1" s="380"/>
      <c r="E1" s="380"/>
      <c r="F1" s="381"/>
      <c r="G1" s="381"/>
      <c r="H1" s="381"/>
      <c r="I1" s="381"/>
      <c r="J1" s="381"/>
      <c r="K1" s="381"/>
      <c r="L1" s="381"/>
    </row>
    <row r="2" spans="1:16" ht="9" customHeight="1">
      <c r="A2" s="382"/>
      <c r="B2" s="382"/>
      <c r="C2" s="383"/>
      <c r="D2" s="384"/>
      <c r="E2" s="384"/>
      <c r="F2" s="385"/>
      <c r="G2" s="386"/>
      <c r="H2" s="385"/>
      <c r="I2" s="386"/>
      <c r="J2" s="386"/>
      <c r="K2" s="386"/>
      <c r="L2" s="386"/>
      <c r="M2" s="382"/>
      <c r="N2" s="382"/>
      <c r="O2" s="382"/>
    </row>
    <row r="3" spans="1:16" ht="10.5" customHeight="1">
      <c r="C3" s="379"/>
      <c r="D3" s="380"/>
      <c r="E3" s="380"/>
      <c r="F3" s="381"/>
      <c r="G3" s="387"/>
      <c r="H3" s="381"/>
      <c r="I3" s="387"/>
      <c r="J3" s="387"/>
      <c r="K3" s="387"/>
      <c r="L3" s="387"/>
    </row>
    <row r="4" spans="1:16" ht="30">
      <c r="A4" s="1022" t="s">
        <v>4453</v>
      </c>
      <c r="B4" s="1023"/>
      <c r="C4" s="1023"/>
      <c r="D4" s="1023"/>
      <c r="E4" s="1023"/>
      <c r="F4" s="1023"/>
      <c r="G4" s="1023"/>
      <c r="H4" s="1023"/>
      <c r="I4" s="1023"/>
      <c r="J4" s="1023"/>
      <c r="K4" s="1023"/>
      <c r="L4" s="1023"/>
      <c r="M4" s="1023"/>
      <c r="N4" s="1023"/>
      <c r="O4" s="1023"/>
    </row>
    <row r="5" spans="1:16" s="388" customFormat="1" ht="38.25" customHeight="1">
      <c r="A5" s="1024" t="s">
        <v>702</v>
      </c>
      <c r="B5" s="1103"/>
      <c r="C5" s="1103"/>
      <c r="D5" s="1103"/>
      <c r="E5" s="1103"/>
      <c r="F5" s="1103"/>
      <c r="G5" s="1103"/>
      <c r="H5" s="1103"/>
      <c r="I5" s="1103"/>
      <c r="J5" s="1103"/>
      <c r="K5" s="1103"/>
      <c r="L5" s="1103"/>
      <c r="M5" s="1103"/>
      <c r="N5" s="1103"/>
      <c r="O5" s="1103"/>
      <c r="P5" s="378"/>
    </row>
    <row r="6" spans="1:16" ht="9" customHeight="1" thickBot="1">
      <c r="A6" s="762"/>
      <c r="B6" s="762"/>
      <c r="C6" s="762"/>
      <c r="D6" s="762"/>
      <c r="E6" s="762"/>
      <c r="F6" s="762"/>
      <c r="G6" s="762"/>
      <c r="H6" s="762"/>
      <c r="I6" s="762"/>
      <c r="J6" s="762"/>
      <c r="K6" s="762"/>
      <c r="L6" s="762"/>
      <c r="M6" s="762"/>
      <c r="N6" s="762"/>
      <c r="O6" s="762"/>
    </row>
    <row r="8" spans="1:16" s="387" customFormat="1" ht="14.25">
      <c r="C8" s="390"/>
      <c r="D8" s="391"/>
      <c r="E8" s="391"/>
      <c r="F8" s="391"/>
      <c r="G8" s="391"/>
      <c r="H8" s="391"/>
      <c r="I8" s="391"/>
      <c r="J8" s="391"/>
      <c r="K8" s="391"/>
      <c r="L8" s="391"/>
      <c r="M8" s="391"/>
      <c r="N8" s="391"/>
    </row>
    <row r="9" spans="1:16" s="387" customFormat="1" ht="14.25">
      <c r="F9" s="616"/>
      <c r="G9" s="616"/>
      <c r="H9" s="1026" t="s">
        <v>3</v>
      </c>
      <c r="I9" s="1026"/>
      <c r="J9" s="1026"/>
      <c r="K9" s="717"/>
      <c r="L9" s="717"/>
    </row>
    <row r="10" spans="1:16" s="387" customFormat="1" ht="14.25">
      <c r="H10" s="397" t="s">
        <v>4</v>
      </c>
      <c r="I10" s="387" t="s">
        <v>133</v>
      </c>
    </row>
    <row r="11" spans="1:16" s="387" customFormat="1">
      <c r="G11" s="404"/>
      <c r="H11" s="392" t="s">
        <v>5</v>
      </c>
      <c r="I11" s="404" t="s">
        <v>3579</v>
      </c>
      <c r="J11" s="404"/>
      <c r="L11" s="404"/>
    </row>
    <row r="12" spans="1:16" s="387" customFormat="1">
      <c r="F12" s="616"/>
      <c r="G12" s="404"/>
      <c r="H12" s="392" t="s">
        <v>8</v>
      </c>
      <c r="I12" s="776">
        <v>150000</v>
      </c>
      <c r="J12" s="404"/>
      <c r="L12" s="404"/>
    </row>
    <row r="13" spans="1:16" s="387" customFormat="1">
      <c r="F13" s="616"/>
      <c r="H13" s="392" t="s">
        <v>9</v>
      </c>
      <c r="I13" s="387" t="s">
        <v>491</v>
      </c>
    </row>
    <row r="14" spans="1:16" s="387" customFormat="1">
      <c r="F14" s="616"/>
      <c r="H14" s="392" t="s">
        <v>10</v>
      </c>
      <c r="I14" s="387" t="s">
        <v>255</v>
      </c>
    </row>
    <row r="15" spans="1:16" s="387" customFormat="1">
      <c r="C15" s="718"/>
      <c r="F15" s="424"/>
      <c r="H15" s="392" t="s">
        <v>11</v>
      </c>
      <c r="I15" s="387" t="s">
        <v>3580</v>
      </c>
    </row>
    <row r="16" spans="1:16" s="387" customFormat="1">
      <c r="F16" s="616"/>
      <c r="H16" s="392" t="s">
        <v>12</v>
      </c>
      <c r="I16" s="387" t="s">
        <v>492</v>
      </c>
    </row>
    <row r="17" spans="1:16" s="387" customFormat="1">
      <c r="H17" s="392" t="s">
        <v>13</v>
      </c>
      <c r="I17" s="387" t="s">
        <v>14</v>
      </c>
    </row>
    <row r="18" spans="1:16" s="387" customFormat="1">
      <c r="F18" s="616"/>
      <c r="I18" s="387" t="s">
        <v>36</v>
      </c>
    </row>
    <row r="19" spans="1:16" s="387" customFormat="1">
      <c r="F19" s="616"/>
      <c r="I19" s="387" t="s">
        <v>37</v>
      </c>
    </row>
    <row r="20" spans="1:16" s="387" customFormat="1">
      <c r="F20" s="616"/>
      <c r="H20" s="392" t="s">
        <v>15</v>
      </c>
      <c r="I20" s="387" t="s">
        <v>38</v>
      </c>
    </row>
    <row r="21" spans="1:16" s="387" customFormat="1">
      <c r="F21" s="616"/>
      <c r="H21" s="392" t="s">
        <v>16</v>
      </c>
      <c r="I21" s="387" t="s">
        <v>39</v>
      </c>
    </row>
    <row r="22" spans="1:16" s="387" customFormat="1">
      <c r="F22" s="616"/>
      <c r="G22" s="404"/>
      <c r="H22" s="392" t="s">
        <v>18</v>
      </c>
      <c r="I22" s="404" t="s">
        <v>111</v>
      </c>
      <c r="J22" s="404"/>
      <c r="L22" s="404"/>
    </row>
    <row r="23" spans="1:16" s="387" customFormat="1" ht="15.75" customHeight="1">
      <c r="D23" s="1027"/>
      <c r="E23" s="399"/>
      <c r="F23" s="405"/>
      <c r="H23" s="392" t="s">
        <v>19</v>
      </c>
      <c r="I23" s="387" t="s">
        <v>3581</v>
      </c>
    </row>
    <row r="24" spans="1:16" s="387" customFormat="1" ht="12.75" customHeight="1">
      <c r="D24" s="1027"/>
      <c r="E24" s="399"/>
      <c r="F24" s="405"/>
      <c r="H24" s="392" t="s">
        <v>20</v>
      </c>
      <c r="I24" s="387" t="s">
        <v>3582</v>
      </c>
    </row>
    <row r="25" spans="1:16" s="387" customFormat="1" ht="12.75" customHeight="1">
      <c r="D25" s="399"/>
      <c r="E25" s="399"/>
      <c r="F25" s="405"/>
      <c r="H25" s="392" t="s">
        <v>21</v>
      </c>
      <c r="I25" s="387" t="s">
        <v>3583</v>
      </c>
    </row>
    <row r="26" spans="1:16" s="387" customFormat="1" ht="12.75" customHeight="1">
      <c r="D26" s="399"/>
      <c r="E26" s="399"/>
      <c r="F26" s="405"/>
      <c r="H26" s="392" t="s">
        <v>22</v>
      </c>
      <c r="I26" s="387" t="s">
        <v>3584</v>
      </c>
    </row>
    <row r="27" spans="1:16" s="387" customFormat="1" ht="15" thickBot="1">
      <c r="A27" s="1104" t="s">
        <v>23</v>
      </c>
      <c r="B27" s="1037"/>
      <c r="C27" s="1037"/>
      <c r="D27" s="1037"/>
      <c r="E27" s="1037"/>
      <c r="F27" s="1037"/>
      <c r="G27" s="1037"/>
      <c r="H27" s="1037"/>
      <c r="I27" s="1037"/>
      <c r="J27" s="1037"/>
      <c r="K27" s="1037"/>
      <c r="L27" s="1037"/>
      <c r="M27" s="1037"/>
      <c r="N27" s="1037"/>
      <c r="O27" s="1037"/>
      <c r="P27" s="378"/>
    </row>
    <row r="28" spans="1:16" s="387" customFormat="1" ht="14.25">
      <c r="A28" s="1098" t="s">
        <v>40</v>
      </c>
      <c r="B28" s="1099"/>
      <c r="C28" s="1099"/>
      <c r="D28" s="1100"/>
      <c r="E28" s="1101" t="s">
        <v>41</v>
      </c>
      <c r="F28" s="1061"/>
      <c r="G28" s="1061"/>
      <c r="H28" s="1061"/>
      <c r="I28" s="1061"/>
      <c r="J28" s="1102"/>
      <c r="K28" s="1098" t="s">
        <v>42</v>
      </c>
      <c r="L28" s="1061"/>
      <c r="M28" s="1061"/>
      <c r="N28" s="1061"/>
      <c r="O28" s="1102"/>
      <c r="P28" s="378"/>
    </row>
    <row r="29" spans="1:16" s="387" customFormat="1" ht="12.75" customHeight="1">
      <c r="A29" s="1030" t="s">
        <v>160</v>
      </c>
      <c r="B29" s="1031"/>
      <c r="C29" s="1031"/>
      <c r="D29" s="401" t="s">
        <v>161</v>
      </c>
      <c r="E29" s="1030" t="s">
        <v>160</v>
      </c>
      <c r="F29" s="1023"/>
      <c r="G29" s="1023"/>
      <c r="H29" s="1023"/>
      <c r="I29" s="1109" t="s">
        <v>162</v>
      </c>
      <c r="J29" s="1106"/>
      <c r="K29" s="1030" t="s">
        <v>160</v>
      </c>
      <c r="L29" s="1023"/>
      <c r="M29" s="1023"/>
      <c r="N29" s="1110" t="s">
        <v>162</v>
      </c>
      <c r="O29" s="1111"/>
    </row>
    <row r="30" spans="1:16" s="387" customFormat="1" ht="12.75" customHeight="1">
      <c r="A30" s="1030" t="s">
        <v>43</v>
      </c>
      <c r="B30" s="1031"/>
      <c r="C30" s="1031"/>
      <c r="D30" s="402">
        <v>0</v>
      </c>
      <c r="E30" s="1030" t="s">
        <v>43</v>
      </c>
      <c r="F30" s="1023"/>
      <c r="G30" s="1023"/>
      <c r="H30" s="1023"/>
      <c r="I30" s="1105">
        <v>428</v>
      </c>
      <c r="J30" s="1106"/>
      <c r="K30" s="1030" t="s">
        <v>43</v>
      </c>
      <c r="L30" s="1023"/>
      <c r="M30" s="1023"/>
      <c r="N30" s="1107">
        <v>642</v>
      </c>
      <c r="O30" s="1108"/>
      <c r="P30" s="395"/>
    </row>
    <row r="31" spans="1:16" s="387" customFormat="1" ht="12.75" customHeight="1">
      <c r="A31" s="1030" t="s">
        <v>164</v>
      </c>
      <c r="B31" s="1031"/>
      <c r="C31" s="1031"/>
      <c r="D31" s="401" t="s">
        <v>165</v>
      </c>
      <c r="E31" s="1030" t="s">
        <v>164</v>
      </c>
      <c r="F31" s="1023"/>
      <c r="G31" s="1023"/>
      <c r="H31" s="1023"/>
      <c r="I31" s="1109" t="s">
        <v>44</v>
      </c>
      <c r="J31" s="1106"/>
      <c r="K31" s="1030" t="s">
        <v>164</v>
      </c>
      <c r="L31" s="1023"/>
      <c r="M31" s="1023"/>
      <c r="N31" s="1110" t="s">
        <v>45</v>
      </c>
      <c r="O31" s="1111"/>
    </row>
    <row r="32" spans="1:16" s="387" customFormat="1" ht="12.75" customHeight="1" thickBot="1">
      <c r="A32" s="1035" t="s">
        <v>46</v>
      </c>
      <c r="B32" s="1036"/>
      <c r="C32" s="1036"/>
      <c r="D32" s="403" t="s">
        <v>3549</v>
      </c>
      <c r="E32" s="1035" t="s">
        <v>47</v>
      </c>
      <c r="F32" s="1037"/>
      <c r="G32" s="1037"/>
      <c r="H32" s="1037"/>
      <c r="I32" s="1112" t="s">
        <v>241</v>
      </c>
      <c r="J32" s="1113"/>
      <c r="K32" s="1035" t="s">
        <v>166</v>
      </c>
      <c r="L32" s="1037"/>
      <c r="M32" s="1037"/>
      <c r="N32" s="1114" t="s">
        <v>241</v>
      </c>
      <c r="O32" s="1115"/>
    </row>
    <row r="33" spans="1:16" s="387" customFormat="1" ht="12.75" customHeight="1">
      <c r="D33" s="399"/>
      <c r="E33" s="399"/>
      <c r="F33" s="405"/>
      <c r="H33" s="392"/>
    </row>
    <row r="34" spans="1:16" s="387" customFormat="1" ht="12.75" customHeight="1">
      <c r="C34" s="797"/>
      <c r="D34" s="399"/>
      <c r="E34" s="399"/>
      <c r="F34" s="405"/>
      <c r="G34" s="405"/>
      <c r="H34" s="405"/>
      <c r="I34" s="798"/>
      <c r="J34" s="798"/>
      <c r="K34" s="798"/>
      <c r="L34" s="617"/>
    </row>
    <row r="35" spans="1:16" s="387" customFormat="1" ht="12.75" customHeight="1">
      <c r="A35" s="1017"/>
      <c r="B35" s="1023"/>
      <c r="C35" s="1023"/>
      <c r="D35" s="1023"/>
      <c r="E35" s="399"/>
      <c r="F35" s="405"/>
      <c r="G35" s="405"/>
      <c r="H35" s="405"/>
      <c r="I35" s="798"/>
      <c r="J35" s="798"/>
      <c r="K35" s="798"/>
      <c r="L35" s="617"/>
    </row>
    <row r="36" spans="1:16" s="387" customFormat="1" ht="12.75" customHeight="1">
      <c r="A36" s="1031"/>
      <c r="B36" s="1023"/>
      <c r="C36" s="1023"/>
      <c r="E36" s="399"/>
      <c r="F36" s="405"/>
      <c r="G36" s="405"/>
      <c r="H36" s="405"/>
      <c r="I36" s="798"/>
      <c r="J36" s="798"/>
      <c r="K36" s="798"/>
      <c r="L36" s="617"/>
    </row>
    <row r="37" spans="1:16" s="387" customFormat="1" ht="12.75" customHeight="1" thickBot="1">
      <c r="A37" s="1031"/>
      <c r="B37" s="1023"/>
      <c r="C37" s="1023"/>
      <c r="E37" s="399"/>
      <c r="F37" s="405"/>
      <c r="G37" s="410"/>
      <c r="I37" s="410"/>
      <c r="J37" s="410"/>
      <c r="K37" s="410"/>
      <c r="L37" s="410"/>
    </row>
    <row r="38" spans="1:16" s="387" customFormat="1" ht="15.75" customHeight="1" thickBot="1">
      <c r="A38" s="1036"/>
      <c r="B38" s="1037"/>
      <c r="C38" s="1037"/>
      <c r="D38" s="796"/>
      <c r="F38" s="1088" t="s">
        <v>167</v>
      </c>
      <c r="G38" s="1116"/>
      <c r="H38" s="1041"/>
      <c r="I38" s="1042" t="s">
        <v>168</v>
      </c>
      <c r="J38" s="1044"/>
      <c r="K38" s="1044"/>
      <c r="L38" s="1044"/>
      <c r="M38" s="1044"/>
      <c r="N38" s="1044"/>
      <c r="O38" s="1045"/>
      <c r="P38" s="378"/>
    </row>
    <row r="39" spans="1:16" s="413" customFormat="1" ht="58.5" customHeight="1" thickBot="1">
      <c r="A39" s="411" t="s">
        <v>122</v>
      </c>
      <c r="B39" s="411" t="s">
        <v>169</v>
      </c>
      <c r="C39" s="799" t="s">
        <v>170</v>
      </c>
      <c r="D39" s="412" t="s">
        <v>171</v>
      </c>
      <c r="E39" s="412" t="s">
        <v>172</v>
      </c>
      <c r="F39" s="412" t="s">
        <v>173</v>
      </c>
      <c r="G39" s="411" t="s">
        <v>174</v>
      </c>
      <c r="H39" s="412" t="s">
        <v>175</v>
      </c>
      <c r="I39" s="411" t="s">
        <v>174</v>
      </c>
      <c r="J39" s="412" t="s">
        <v>176</v>
      </c>
      <c r="K39" s="411" t="s">
        <v>174</v>
      </c>
      <c r="L39" s="412" t="s">
        <v>177</v>
      </c>
      <c r="M39" s="411" t="s">
        <v>174</v>
      </c>
      <c r="N39" s="412" t="s">
        <v>178</v>
      </c>
      <c r="O39" s="411" t="s">
        <v>174</v>
      </c>
    </row>
    <row r="40" spans="1:16" s="777" customFormat="1" ht="29.25" customHeight="1" thickBot="1">
      <c r="A40" s="1119">
        <v>10</v>
      </c>
      <c r="B40" s="1119"/>
      <c r="C40" s="800" t="s">
        <v>4451</v>
      </c>
      <c r="D40" s="801" t="s">
        <v>4452</v>
      </c>
      <c r="E40" s="802">
        <v>11420</v>
      </c>
      <c r="F40" s="51">
        <f>SUM(E40:E42)*(1-72%)</f>
        <v>3297.5600000000004</v>
      </c>
      <c r="G40" s="1062">
        <f>F40*B40</f>
        <v>0</v>
      </c>
      <c r="H40" s="51">
        <f>F40*0.0832</f>
        <v>274.35699200000005</v>
      </c>
      <c r="I40" s="1062">
        <f>H40*B40</f>
        <v>0</v>
      </c>
      <c r="J40" s="51">
        <f>F40*0.0313</f>
        <v>103.21362800000001</v>
      </c>
      <c r="K40" s="1062">
        <f>J40*B40</f>
        <v>0</v>
      </c>
      <c r="L40" s="51">
        <f>F40*0.0256</f>
        <v>84.417536000000013</v>
      </c>
      <c r="M40" s="1062">
        <f>L40*B40</f>
        <v>0</v>
      </c>
      <c r="N40" s="51">
        <f>F40*0.0213</f>
        <v>70.238028</v>
      </c>
      <c r="O40" s="1062">
        <f>N40*B40</f>
        <v>0</v>
      </c>
      <c r="P40" s="781"/>
    </row>
    <row r="41" spans="1:16" s="729" customFormat="1" ht="13.5" thickBot="1">
      <c r="A41" s="1120"/>
      <c r="B41" s="1120"/>
      <c r="C41" s="764">
        <v>135700</v>
      </c>
      <c r="D41" s="795" t="s">
        <v>670</v>
      </c>
      <c r="E41" s="693">
        <v>282</v>
      </c>
      <c r="F41" s="422" t="s">
        <v>162</v>
      </c>
      <c r="G41" s="1117"/>
      <c r="H41" s="53" t="s">
        <v>162</v>
      </c>
      <c r="I41" s="1117"/>
      <c r="J41" s="53" t="s">
        <v>162</v>
      </c>
      <c r="K41" s="1117"/>
      <c r="L41" s="53" t="s">
        <v>162</v>
      </c>
      <c r="M41" s="1117"/>
      <c r="N41" s="53" t="s">
        <v>162</v>
      </c>
      <c r="O41" s="1117"/>
    </row>
    <row r="42" spans="1:16" s="729" customFormat="1" ht="13.5" thickBot="1">
      <c r="A42" s="1120"/>
      <c r="B42" s="1120"/>
      <c r="C42" s="764" t="s">
        <v>179</v>
      </c>
      <c r="D42" s="795" t="s">
        <v>180</v>
      </c>
      <c r="E42" s="693">
        <v>75</v>
      </c>
      <c r="F42" s="422" t="s">
        <v>162</v>
      </c>
      <c r="G42" s="1118"/>
      <c r="H42" s="423" t="s">
        <v>162</v>
      </c>
      <c r="I42" s="1118"/>
      <c r="J42" s="423" t="s">
        <v>162</v>
      </c>
      <c r="K42" s="1118"/>
      <c r="L42" s="423" t="s">
        <v>162</v>
      </c>
      <c r="M42" s="1118"/>
      <c r="N42" s="423" t="s">
        <v>162</v>
      </c>
      <c r="O42" s="1118"/>
    </row>
    <row r="43" spans="1:16" s="729" customFormat="1" ht="13.5" thickBot="1">
      <c r="A43" s="783"/>
      <c r="B43" s="430"/>
      <c r="C43" s="765"/>
      <c r="D43" s="757"/>
      <c r="E43" s="784"/>
      <c r="F43" s="54"/>
      <c r="G43" s="55"/>
      <c r="H43" s="57"/>
      <c r="I43" s="55"/>
      <c r="J43" s="57"/>
      <c r="K43" s="56"/>
      <c r="L43" s="57"/>
      <c r="M43" s="55"/>
      <c r="N43" s="57"/>
      <c r="O43" s="56"/>
    </row>
    <row r="44" spans="1:16" s="777" customFormat="1" ht="29.25" customHeight="1" thickBot="1">
      <c r="A44" s="1119" t="s">
        <v>50</v>
      </c>
      <c r="B44" s="1119"/>
      <c r="C44" s="800" t="s">
        <v>4451</v>
      </c>
      <c r="D44" s="801" t="s">
        <v>4452</v>
      </c>
      <c r="E44" s="802">
        <v>11420</v>
      </c>
      <c r="F44" s="51">
        <f>SUM(E44:E46)*(1-72%)</f>
        <v>3297.5600000000004</v>
      </c>
      <c r="G44" s="1062">
        <f>F44*B44</f>
        <v>0</v>
      </c>
      <c r="H44" s="51">
        <f>F44*0.0832+I30/12</f>
        <v>310.02365866666673</v>
      </c>
      <c r="I44" s="1062">
        <f>H44*B44</f>
        <v>0</v>
      </c>
      <c r="J44" s="51">
        <f>F44*0.0313+I30/12</f>
        <v>138.88029466666669</v>
      </c>
      <c r="K44" s="1062">
        <f>J44*B44</f>
        <v>0</v>
      </c>
      <c r="L44" s="51">
        <f>F44*0.0256+I30/12</f>
        <v>120.08420266666667</v>
      </c>
      <c r="M44" s="1062">
        <f>L44*B44</f>
        <v>0</v>
      </c>
      <c r="N44" s="51">
        <f>F44*0.0213+I30/12</f>
        <v>105.90469466666667</v>
      </c>
      <c r="O44" s="1062">
        <f>N44*B44</f>
        <v>0</v>
      </c>
      <c r="P44" s="781"/>
    </row>
    <row r="45" spans="1:16" s="729" customFormat="1" ht="13.5" thickBot="1">
      <c r="A45" s="1120"/>
      <c r="B45" s="1120"/>
      <c r="C45" s="764">
        <v>135700</v>
      </c>
      <c r="D45" s="795" t="s">
        <v>670</v>
      </c>
      <c r="E45" s="693">
        <v>282</v>
      </c>
      <c r="F45" s="52" t="s">
        <v>162</v>
      </c>
      <c r="G45" s="1117"/>
      <c r="H45" s="53" t="s">
        <v>162</v>
      </c>
      <c r="I45" s="1117"/>
      <c r="J45" s="53" t="s">
        <v>162</v>
      </c>
      <c r="K45" s="1117"/>
      <c r="L45" s="53" t="s">
        <v>162</v>
      </c>
      <c r="M45" s="1117"/>
      <c r="N45" s="53" t="s">
        <v>162</v>
      </c>
      <c r="O45" s="1117"/>
    </row>
    <row r="46" spans="1:16" s="729" customFormat="1" ht="13.5" thickBot="1">
      <c r="A46" s="1120"/>
      <c r="B46" s="1120"/>
      <c r="C46" s="764" t="s">
        <v>179</v>
      </c>
      <c r="D46" s="795" t="s">
        <v>180</v>
      </c>
      <c r="E46" s="693">
        <v>75</v>
      </c>
      <c r="F46" s="52" t="s">
        <v>162</v>
      </c>
      <c r="G46" s="1118"/>
      <c r="H46" s="53" t="s">
        <v>162</v>
      </c>
      <c r="I46" s="1118"/>
      <c r="J46" s="53" t="s">
        <v>162</v>
      </c>
      <c r="K46" s="1118"/>
      <c r="L46" s="53" t="s">
        <v>162</v>
      </c>
      <c r="M46" s="1118"/>
      <c r="N46" s="53" t="s">
        <v>162</v>
      </c>
      <c r="O46" s="1118"/>
    </row>
    <row r="47" spans="1:16" s="729" customFormat="1" ht="13.5" thickBot="1">
      <c r="A47" s="783"/>
      <c r="B47" s="430"/>
      <c r="C47" s="765"/>
      <c r="D47" s="757"/>
      <c r="E47" s="784"/>
      <c r="F47" s="54"/>
      <c r="G47" s="55"/>
      <c r="H47" s="57"/>
      <c r="I47" s="55"/>
      <c r="J47" s="57"/>
      <c r="K47" s="56"/>
      <c r="L47" s="57"/>
      <c r="M47" s="55"/>
      <c r="N47" s="57"/>
      <c r="O47" s="56"/>
    </row>
    <row r="48" spans="1:16" s="777" customFormat="1" ht="29.25" customHeight="1" thickBot="1">
      <c r="A48" s="1119" t="s">
        <v>51</v>
      </c>
      <c r="B48" s="1119"/>
      <c r="C48" s="800" t="s">
        <v>4451</v>
      </c>
      <c r="D48" s="801" t="s">
        <v>4452</v>
      </c>
      <c r="E48" s="802">
        <v>11420</v>
      </c>
      <c r="F48" s="51">
        <f>SUM(E48:E50)*(1-72%)</f>
        <v>3297.5600000000004</v>
      </c>
      <c r="G48" s="1062">
        <f>F48*B48</f>
        <v>0</v>
      </c>
      <c r="H48" s="51">
        <f>F48*0.0832+N30/12</f>
        <v>327.85699200000005</v>
      </c>
      <c r="I48" s="1062">
        <f>H48*B48</f>
        <v>0</v>
      </c>
      <c r="J48" s="51">
        <f>F48*0.0313+N30/12</f>
        <v>156.71362800000003</v>
      </c>
      <c r="K48" s="1062">
        <f>J48*B48</f>
        <v>0</v>
      </c>
      <c r="L48" s="51">
        <f>F48*0.0256+N30/12</f>
        <v>137.91753600000001</v>
      </c>
      <c r="M48" s="1062">
        <f>L48*B48</f>
        <v>0</v>
      </c>
      <c r="N48" s="51">
        <f>F48*0.0213+N30/12</f>
        <v>123.738028</v>
      </c>
      <c r="O48" s="1062">
        <f>N48*B48</f>
        <v>0</v>
      </c>
      <c r="P48" s="781"/>
    </row>
    <row r="49" spans="1:16" s="729" customFormat="1" ht="13.5" thickBot="1">
      <c r="A49" s="1120"/>
      <c r="B49" s="1120"/>
      <c r="C49" s="764">
        <v>135700</v>
      </c>
      <c r="D49" s="795" t="s">
        <v>670</v>
      </c>
      <c r="E49" s="693">
        <v>282</v>
      </c>
      <c r="F49" s="52" t="s">
        <v>162</v>
      </c>
      <c r="G49" s="1117"/>
      <c r="H49" s="53" t="s">
        <v>162</v>
      </c>
      <c r="I49" s="1117"/>
      <c r="J49" s="53" t="s">
        <v>162</v>
      </c>
      <c r="K49" s="1117"/>
      <c r="L49" s="53" t="s">
        <v>162</v>
      </c>
      <c r="M49" s="1117"/>
      <c r="N49" s="53" t="s">
        <v>162</v>
      </c>
      <c r="O49" s="1117"/>
    </row>
    <row r="50" spans="1:16" s="729" customFormat="1" ht="13.5" thickBot="1">
      <c r="A50" s="1125"/>
      <c r="B50" s="1125"/>
      <c r="C50" s="764" t="s">
        <v>179</v>
      </c>
      <c r="D50" s="795" t="s">
        <v>180</v>
      </c>
      <c r="E50" s="693">
        <v>75</v>
      </c>
      <c r="F50" s="422" t="s">
        <v>162</v>
      </c>
      <c r="G50" s="1117"/>
      <c r="H50" s="618" t="s">
        <v>162</v>
      </c>
      <c r="I50" s="1117"/>
      <c r="J50" s="618" t="s">
        <v>162</v>
      </c>
      <c r="K50" s="1117"/>
      <c r="L50" s="618" t="s">
        <v>162</v>
      </c>
      <c r="M50" s="1117"/>
      <c r="N50" s="618" t="s">
        <v>162</v>
      </c>
      <c r="O50" s="1117"/>
    </row>
    <row r="51" spans="1:16" s="729" customFormat="1" ht="13.5" customHeight="1" thickBot="1">
      <c r="A51" s="1054" t="s">
        <v>182</v>
      </c>
      <c r="B51" s="1044"/>
      <c r="C51" s="1044"/>
      <c r="D51" s="1044"/>
      <c r="E51" s="1044"/>
      <c r="F51" s="1044"/>
      <c r="G51" s="1044"/>
      <c r="H51" s="1044"/>
      <c r="I51" s="1044"/>
      <c r="J51" s="1044"/>
      <c r="K51" s="1044"/>
      <c r="L51" s="1044"/>
      <c r="M51" s="1044"/>
      <c r="N51" s="1044"/>
      <c r="O51" s="1045"/>
    </row>
    <row r="52" spans="1:16" s="413" customFormat="1" ht="15.75" customHeight="1" thickBot="1">
      <c r="A52" s="1121"/>
      <c r="B52" s="803"/>
      <c r="C52" s="419" t="s">
        <v>209</v>
      </c>
      <c r="D52" s="420" t="s">
        <v>66</v>
      </c>
      <c r="E52" s="448">
        <v>975.85567010309285</v>
      </c>
      <c r="F52" s="59">
        <f t="shared" ref="F52:F99" si="0">E52*(1-40%)</f>
        <v>585.51340206185569</v>
      </c>
      <c r="G52" s="528">
        <f t="shared" ref="G52:G99" si="1">F52*B52</f>
        <v>0</v>
      </c>
      <c r="H52" s="528">
        <f t="shared" ref="H52:H99" si="2">F52*0.0832</f>
        <v>48.714715051546392</v>
      </c>
      <c r="I52" s="528">
        <f t="shared" ref="I52:I99" si="3">H52*B52</f>
        <v>0</v>
      </c>
      <c r="J52" s="528">
        <f t="shared" ref="J52:J99" si="4">F52*0.0313</f>
        <v>18.326569484536083</v>
      </c>
      <c r="K52" s="528">
        <f t="shared" ref="K52:K99" si="5">J52*B52</f>
        <v>0</v>
      </c>
      <c r="L52" s="528">
        <f t="shared" ref="L52:L99" si="6">F52*0.0256</f>
        <v>14.989143092783506</v>
      </c>
      <c r="M52" s="528">
        <f t="shared" ref="M52:M99" si="7">L52*B52</f>
        <v>0</v>
      </c>
      <c r="N52" s="528">
        <f t="shared" ref="N52:N99" si="8">F52*0.0213</f>
        <v>12.471435463917526</v>
      </c>
      <c r="O52" s="528">
        <f t="shared" ref="O52:O99" si="9">N52*B52</f>
        <v>0</v>
      </c>
      <c r="P52" s="804"/>
    </row>
    <row r="53" spans="1:16" s="413" customFormat="1" ht="13.5" thickBot="1">
      <c r="A53" s="1122"/>
      <c r="B53" s="803"/>
      <c r="C53" s="419" t="s">
        <v>486</v>
      </c>
      <c r="D53" s="420" t="s">
        <v>671</v>
      </c>
      <c r="E53" s="448">
        <v>134.01030927835052</v>
      </c>
      <c r="F53" s="59">
        <f t="shared" si="0"/>
        <v>80.406185567010311</v>
      </c>
      <c r="G53" s="527">
        <f t="shared" si="1"/>
        <v>0</v>
      </c>
      <c r="H53" s="528">
        <f t="shared" si="2"/>
        <v>6.6897946391752576</v>
      </c>
      <c r="I53" s="528">
        <f t="shared" si="3"/>
        <v>0</v>
      </c>
      <c r="J53" s="528">
        <f t="shared" si="4"/>
        <v>2.5167136082474229</v>
      </c>
      <c r="K53" s="528">
        <f t="shared" si="5"/>
        <v>0</v>
      </c>
      <c r="L53" s="528">
        <f t="shared" si="6"/>
        <v>2.0583983505154642</v>
      </c>
      <c r="M53" s="528">
        <f t="shared" si="7"/>
        <v>0</v>
      </c>
      <c r="N53" s="528">
        <f t="shared" si="8"/>
        <v>1.7126517525773195</v>
      </c>
      <c r="O53" s="528">
        <f t="shared" si="9"/>
        <v>0</v>
      </c>
      <c r="P53" s="804"/>
    </row>
    <row r="54" spans="1:16" s="413" customFormat="1" ht="26.25" thickBot="1">
      <c r="A54" s="1122"/>
      <c r="B54" s="805"/>
      <c r="C54" s="806" t="s">
        <v>3491</v>
      </c>
      <c r="D54" s="807" t="s">
        <v>3568</v>
      </c>
      <c r="E54" s="621">
        <v>411.34020618556701</v>
      </c>
      <c r="F54" s="59">
        <f t="shared" si="0"/>
        <v>246.8041237113402</v>
      </c>
      <c r="G54" s="527">
        <f t="shared" si="1"/>
        <v>0</v>
      </c>
      <c r="H54" s="528">
        <f t="shared" si="2"/>
        <v>20.534103092783504</v>
      </c>
      <c r="I54" s="528">
        <f t="shared" si="3"/>
        <v>0</v>
      </c>
      <c r="J54" s="528">
        <f t="shared" si="4"/>
        <v>7.7249690721649484</v>
      </c>
      <c r="K54" s="528">
        <f t="shared" si="5"/>
        <v>0</v>
      </c>
      <c r="L54" s="528">
        <f t="shared" si="6"/>
        <v>6.3181855670103095</v>
      </c>
      <c r="M54" s="528">
        <f t="shared" si="7"/>
        <v>0</v>
      </c>
      <c r="N54" s="528">
        <f t="shared" si="8"/>
        <v>5.2569278350515463</v>
      </c>
      <c r="O54" s="528">
        <f t="shared" si="9"/>
        <v>0</v>
      </c>
      <c r="P54" s="804"/>
    </row>
    <row r="55" spans="1:16" s="413" customFormat="1" ht="13.5" thickBot="1">
      <c r="A55" s="1122"/>
      <c r="B55" s="441"/>
      <c r="C55" s="419" t="s">
        <v>3577</v>
      </c>
      <c r="D55" s="420" t="s">
        <v>720</v>
      </c>
      <c r="E55" s="448">
        <v>257.73195876288662</v>
      </c>
      <c r="F55" s="59">
        <f t="shared" si="0"/>
        <v>154.63917525773198</v>
      </c>
      <c r="G55" s="527">
        <f t="shared" si="1"/>
        <v>0</v>
      </c>
      <c r="H55" s="528">
        <f t="shared" si="2"/>
        <v>12.865979381443299</v>
      </c>
      <c r="I55" s="528">
        <f t="shared" si="3"/>
        <v>0</v>
      </c>
      <c r="J55" s="528">
        <f t="shared" si="4"/>
        <v>4.8402061855670109</v>
      </c>
      <c r="K55" s="528">
        <f t="shared" si="5"/>
        <v>0</v>
      </c>
      <c r="L55" s="528">
        <f t="shared" si="6"/>
        <v>3.9587628865979387</v>
      </c>
      <c r="M55" s="528">
        <f t="shared" si="7"/>
        <v>0</v>
      </c>
      <c r="N55" s="528">
        <f t="shared" si="8"/>
        <v>3.293814432989691</v>
      </c>
      <c r="O55" s="528">
        <f t="shared" si="9"/>
        <v>0</v>
      </c>
      <c r="P55" s="804"/>
    </row>
    <row r="56" spans="1:16" s="413" customFormat="1" ht="13.5" thickBot="1">
      <c r="A56" s="1122"/>
      <c r="B56" s="441"/>
      <c r="C56" s="419" t="s">
        <v>3578</v>
      </c>
      <c r="D56" s="420" t="s">
        <v>3593</v>
      </c>
      <c r="E56" s="448">
        <v>412.37113402061857</v>
      </c>
      <c r="F56" s="59">
        <f t="shared" si="0"/>
        <v>247.42268041237114</v>
      </c>
      <c r="G56" s="527">
        <f t="shared" si="1"/>
        <v>0</v>
      </c>
      <c r="H56" s="528">
        <f t="shared" si="2"/>
        <v>20.585567010309276</v>
      </c>
      <c r="I56" s="528">
        <f t="shared" si="3"/>
        <v>0</v>
      </c>
      <c r="J56" s="528">
        <f t="shared" si="4"/>
        <v>7.7443298969072165</v>
      </c>
      <c r="K56" s="528">
        <f t="shared" si="5"/>
        <v>0</v>
      </c>
      <c r="L56" s="528">
        <f t="shared" si="6"/>
        <v>6.3340206185567016</v>
      </c>
      <c r="M56" s="528">
        <f t="shared" si="7"/>
        <v>0</v>
      </c>
      <c r="N56" s="528">
        <f t="shared" si="8"/>
        <v>5.2701030927835051</v>
      </c>
      <c r="O56" s="528">
        <f t="shared" si="9"/>
        <v>0</v>
      </c>
      <c r="P56" s="804"/>
    </row>
    <row r="57" spans="1:16" s="413" customFormat="1" ht="13.5" thickBot="1">
      <c r="A57" s="1122"/>
      <c r="B57" s="441"/>
      <c r="C57" s="419" t="s">
        <v>690</v>
      </c>
      <c r="D57" s="420" t="s">
        <v>721</v>
      </c>
      <c r="E57" s="448">
        <v>514.43298969072168</v>
      </c>
      <c r="F57" s="59">
        <f t="shared" si="0"/>
        <v>308.65979381443299</v>
      </c>
      <c r="G57" s="527">
        <f t="shared" si="1"/>
        <v>0</v>
      </c>
      <c r="H57" s="528">
        <f t="shared" si="2"/>
        <v>25.680494845360823</v>
      </c>
      <c r="I57" s="528">
        <f t="shared" si="3"/>
        <v>0</v>
      </c>
      <c r="J57" s="528">
        <f t="shared" si="4"/>
        <v>9.6610515463917537</v>
      </c>
      <c r="K57" s="528">
        <f t="shared" si="5"/>
        <v>0</v>
      </c>
      <c r="L57" s="528">
        <f t="shared" si="6"/>
        <v>7.9016907216494845</v>
      </c>
      <c r="M57" s="528">
        <f t="shared" si="7"/>
        <v>0</v>
      </c>
      <c r="N57" s="528">
        <f t="shared" si="8"/>
        <v>6.5744536082474223</v>
      </c>
      <c r="O57" s="528">
        <f t="shared" si="9"/>
        <v>0</v>
      </c>
      <c r="P57" s="804"/>
    </row>
    <row r="58" spans="1:16" s="413" customFormat="1" ht="26.25" thickBot="1">
      <c r="A58" s="1122"/>
      <c r="B58" s="803"/>
      <c r="C58" s="419">
        <v>7640013463</v>
      </c>
      <c r="D58" s="420" t="s">
        <v>815</v>
      </c>
      <c r="E58" s="448">
        <v>339.17525773195877</v>
      </c>
      <c r="F58" s="59">
        <f t="shared" si="0"/>
        <v>203.50515463917526</v>
      </c>
      <c r="G58" s="527">
        <f t="shared" si="1"/>
        <v>0</v>
      </c>
      <c r="H58" s="528">
        <f t="shared" si="2"/>
        <v>16.931628865979381</v>
      </c>
      <c r="I58" s="528">
        <f t="shared" si="3"/>
        <v>0</v>
      </c>
      <c r="J58" s="528">
        <f t="shared" si="4"/>
        <v>6.3697113402061856</v>
      </c>
      <c r="K58" s="528">
        <f t="shared" si="5"/>
        <v>0</v>
      </c>
      <c r="L58" s="528">
        <f t="shared" si="6"/>
        <v>5.2097319587628865</v>
      </c>
      <c r="M58" s="528">
        <f t="shared" si="7"/>
        <v>0</v>
      </c>
      <c r="N58" s="528">
        <f t="shared" si="8"/>
        <v>4.3346597938144331</v>
      </c>
      <c r="O58" s="528">
        <f t="shared" si="9"/>
        <v>0</v>
      </c>
      <c r="P58" s="804"/>
    </row>
    <row r="59" spans="1:16" s="413" customFormat="1" ht="13.5" thickBot="1">
      <c r="A59" s="1122"/>
      <c r="B59" s="803"/>
      <c r="C59" s="419" t="s">
        <v>484</v>
      </c>
      <c r="D59" s="420" t="s">
        <v>409</v>
      </c>
      <c r="E59" s="448">
        <v>206.18556701030928</v>
      </c>
      <c r="F59" s="59">
        <f t="shared" si="0"/>
        <v>123.71134020618557</v>
      </c>
      <c r="G59" s="527">
        <f t="shared" si="1"/>
        <v>0</v>
      </c>
      <c r="H59" s="528">
        <f t="shared" si="2"/>
        <v>10.292783505154638</v>
      </c>
      <c r="I59" s="528">
        <f t="shared" si="3"/>
        <v>0</v>
      </c>
      <c r="J59" s="528">
        <f t="shared" si="4"/>
        <v>3.8721649484536083</v>
      </c>
      <c r="K59" s="528">
        <f t="shared" si="5"/>
        <v>0</v>
      </c>
      <c r="L59" s="528">
        <f t="shared" si="6"/>
        <v>3.1670103092783508</v>
      </c>
      <c r="M59" s="528">
        <f t="shared" si="7"/>
        <v>0</v>
      </c>
      <c r="N59" s="528">
        <f t="shared" si="8"/>
        <v>2.6350515463917525</v>
      </c>
      <c r="O59" s="528">
        <f t="shared" si="9"/>
        <v>0</v>
      </c>
      <c r="P59" s="804"/>
    </row>
    <row r="60" spans="1:16" s="413" customFormat="1" ht="26.25" thickBot="1">
      <c r="A60" s="1122"/>
      <c r="B60" s="803"/>
      <c r="C60" s="419" t="s">
        <v>485</v>
      </c>
      <c r="D60" s="420" t="s">
        <v>3511</v>
      </c>
      <c r="E60" s="448">
        <v>287.62886597938143</v>
      </c>
      <c r="F60" s="59">
        <f t="shared" si="0"/>
        <v>172.57731958762886</v>
      </c>
      <c r="G60" s="527">
        <f t="shared" si="1"/>
        <v>0</v>
      </c>
      <c r="H60" s="528">
        <f t="shared" si="2"/>
        <v>14.358432989690721</v>
      </c>
      <c r="I60" s="528">
        <f t="shared" si="3"/>
        <v>0</v>
      </c>
      <c r="J60" s="528">
        <f t="shared" si="4"/>
        <v>5.4016701030927834</v>
      </c>
      <c r="K60" s="528">
        <f t="shared" si="5"/>
        <v>0</v>
      </c>
      <c r="L60" s="528">
        <f t="shared" si="6"/>
        <v>4.417979381443299</v>
      </c>
      <c r="M60" s="528">
        <f t="shared" si="7"/>
        <v>0</v>
      </c>
      <c r="N60" s="528">
        <f t="shared" si="8"/>
        <v>3.6758969072164946</v>
      </c>
      <c r="O60" s="528">
        <f t="shared" si="9"/>
        <v>0</v>
      </c>
      <c r="P60" s="804"/>
    </row>
    <row r="61" spans="1:16" s="413" customFormat="1" ht="13.5" thickBot="1">
      <c r="A61" s="1122"/>
      <c r="B61" s="805"/>
      <c r="C61" s="419" t="s">
        <v>3489</v>
      </c>
      <c r="D61" s="420" t="s">
        <v>3564</v>
      </c>
      <c r="E61" s="448">
        <v>875.25773195876286</v>
      </c>
      <c r="F61" s="59">
        <f t="shared" si="0"/>
        <v>525.15463917525767</v>
      </c>
      <c r="G61" s="527">
        <f t="shared" si="1"/>
        <v>0</v>
      </c>
      <c r="H61" s="528">
        <f t="shared" si="2"/>
        <v>43.692865979381438</v>
      </c>
      <c r="I61" s="528">
        <f t="shared" si="3"/>
        <v>0</v>
      </c>
      <c r="J61" s="528">
        <f t="shared" si="4"/>
        <v>16.437340206185567</v>
      </c>
      <c r="K61" s="528">
        <f t="shared" si="5"/>
        <v>0</v>
      </c>
      <c r="L61" s="528">
        <f t="shared" si="6"/>
        <v>13.443958762886597</v>
      </c>
      <c r="M61" s="528">
        <f t="shared" si="7"/>
        <v>0</v>
      </c>
      <c r="N61" s="528">
        <f t="shared" si="8"/>
        <v>11.185793814432989</v>
      </c>
      <c r="O61" s="528">
        <f t="shared" si="9"/>
        <v>0</v>
      </c>
      <c r="P61" s="804"/>
    </row>
    <row r="62" spans="1:16" s="413" customFormat="1" ht="13.5" thickBot="1">
      <c r="A62" s="1122"/>
      <c r="B62" s="805"/>
      <c r="C62" s="806" t="s">
        <v>3490</v>
      </c>
      <c r="D62" s="807" t="s">
        <v>723</v>
      </c>
      <c r="E62" s="621">
        <v>229.48453608247422</v>
      </c>
      <c r="F62" s="59">
        <f t="shared" si="0"/>
        <v>137.69072164948452</v>
      </c>
      <c r="G62" s="527">
        <f t="shared" si="1"/>
        <v>0</v>
      </c>
      <c r="H62" s="528">
        <f t="shared" si="2"/>
        <v>11.45586804123711</v>
      </c>
      <c r="I62" s="528">
        <f t="shared" si="3"/>
        <v>0</v>
      </c>
      <c r="J62" s="528">
        <f t="shared" si="4"/>
        <v>4.3097195876288659</v>
      </c>
      <c r="K62" s="528">
        <f t="shared" si="5"/>
        <v>0</v>
      </c>
      <c r="L62" s="528">
        <f t="shared" si="6"/>
        <v>3.5248824742268039</v>
      </c>
      <c r="M62" s="528">
        <f t="shared" si="7"/>
        <v>0</v>
      </c>
      <c r="N62" s="528">
        <f t="shared" si="8"/>
        <v>2.9328123711340202</v>
      </c>
      <c r="O62" s="528">
        <f t="shared" si="9"/>
        <v>0</v>
      </c>
      <c r="P62" s="804"/>
    </row>
    <row r="63" spans="1:16" s="413" customFormat="1" ht="26.25" thickBot="1">
      <c r="A63" s="1122"/>
      <c r="B63" s="803"/>
      <c r="C63" s="419" t="s">
        <v>490</v>
      </c>
      <c r="D63" s="420" t="s">
        <v>3505</v>
      </c>
      <c r="E63" s="448">
        <v>1103.0927835051546</v>
      </c>
      <c r="F63" s="59">
        <f t="shared" si="0"/>
        <v>661.85567010309273</v>
      </c>
      <c r="G63" s="527">
        <f t="shared" si="1"/>
        <v>0</v>
      </c>
      <c r="H63" s="528">
        <f t="shared" si="2"/>
        <v>55.06639175257731</v>
      </c>
      <c r="I63" s="528">
        <f t="shared" si="3"/>
        <v>0</v>
      </c>
      <c r="J63" s="528">
        <f t="shared" si="4"/>
        <v>20.716082474226802</v>
      </c>
      <c r="K63" s="528">
        <f t="shared" si="5"/>
        <v>0</v>
      </c>
      <c r="L63" s="528">
        <f t="shared" si="6"/>
        <v>16.943505154639176</v>
      </c>
      <c r="M63" s="528">
        <f t="shared" si="7"/>
        <v>0</v>
      </c>
      <c r="N63" s="528">
        <f t="shared" si="8"/>
        <v>14.097525773195875</v>
      </c>
      <c r="O63" s="528">
        <f t="shared" si="9"/>
        <v>0</v>
      </c>
      <c r="P63" s="804"/>
    </row>
    <row r="64" spans="1:16" s="413" customFormat="1" ht="13.5" thickBot="1">
      <c r="A64" s="1122"/>
      <c r="B64" s="803"/>
      <c r="C64" s="419" t="s">
        <v>455</v>
      </c>
      <c r="D64" s="420" t="s">
        <v>3506</v>
      </c>
      <c r="E64" s="448">
        <v>1101.5257731958764</v>
      </c>
      <c r="F64" s="59">
        <f t="shared" si="0"/>
        <v>660.91546391752581</v>
      </c>
      <c r="G64" s="527">
        <f t="shared" si="1"/>
        <v>0</v>
      </c>
      <c r="H64" s="528">
        <f t="shared" si="2"/>
        <v>54.988166597938147</v>
      </c>
      <c r="I64" s="528">
        <f t="shared" si="3"/>
        <v>0</v>
      </c>
      <c r="J64" s="528">
        <f t="shared" si="4"/>
        <v>20.686654020618558</v>
      </c>
      <c r="K64" s="528">
        <f t="shared" si="5"/>
        <v>0</v>
      </c>
      <c r="L64" s="528">
        <f t="shared" si="6"/>
        <v>16.919435876288663</v>
      </c>
      <c r="M64" s="528">
        <f t="shared" si="7"/>
        <v>0</v>
      </c>
      <c r="N64" s="528">
        <f t="shared" si="8"/>
        <v>14.0774993814433</v>
      </c>
      <c r="O64" s="528">
        <f t="shared" si="9"/>
        <v>0</v>
      </c>
      <c r="P64" s="804"/>
    </row>
    <row r="65" spans="1:16" s="413" customFormat="1" ht="13.5" thickBot="1">
      <c r="A65" s="1122"/>
      <c r="B65" s="805"/>
      <c r="C65" s="806" t="s">
        <v>3575</v>
      </c>
      <c r="D65" s="807" t="s">
        <v>3569</v>
      </c>
      <c r="E65" s="621">
        <v>1601.0309278350517</v>
      </c>
      <c r="F65" s="59">
        <f t="shared" si="0"/>
        <v>960.61855670103091</v>
      </c>
      <c r="G65" s="527">
        <f t="shared" si="1"/>
        <v>0</v>
      </c>
      <c r="H65" s="528">
        <f t="shared" si="2"/>
        <v>79.923463917525766</v>
      </c>
      <c r="I65" s="528">
        <f t="shared" si="3"/>
        <v>0</v>
      </c>
      <c r="J65" s="528">
        <f t="shared" si="4"/>
        <v>30.06736082474227</v>
      </c>
      <c r="K65" s="528">
        <f t="shared" si="5"/>
        <v>0</v>
      </c>
      <c r="L65" s="528">
        <f t="shared" si="6"/>
        <v>24.591835051546393</v>
      </c>
      <c r="M65" s="528">
        <f t="shared" si="7"/>
        <v>0</v>
      </c>
      <c r="N65" s="528">
        <f t="shared" si="8"/>
        <v>20.461175257731959</v>
      </c>
      <c r="O65" s="528">
        <f t="shared" si="9"/>
        <v>0</v>
      </c>
      <c r="P65" s="804"/>
    </row>
    <row r="66" spans="1:16" s="413" customFormat="1" ht="26.25" thickBot="1">
      <c r="A66" s="1122"/>
      <c r="B66" s="805"/>
      <c r="C66" s="808" t="s">
        <v>3794</v>
      </c>
      <c r="D66" s="420" t="s">
        <v>3633</v>
      </c>
      <c r="E66" s="448">
        <v>2020.340206185567</v>
      </c>
      <c r="F66" s="59">
        <f t="shared" si="0"/>
        <v>1212.2041237113401</v>
      </c>
      <c r="G66" s="527">
        <f t="shared" si="1"/>
        <v>0</v>
      </c>
      <c r="H66" s="528">
        <f t="shared" si="2"/>
        <v>100.8553830927835</v>
      </c>
      <c r="I66" s="528">
        <f t="shared" si="3"/>
        <v>0</v>
      </c>
      <c r="J66" s="528">
        <f t="shared" si="4"/>
        <v>37.941989072164951</v>
      </c>
      <c r="K66" s="528">
        <f t="shared" si="5"/>
        <v>0</v>
      </c>
      <c r="L66" s="528">
        <f t="shared" si="6"/>
        <v>31.032425567010307</v>
      </c>
      <c r="M66" s="528">
        <f t="shared" si="7"/>
        <v>0</v>
      </c>
      <c r="N66" s="528">
        <f t="shared" si="8"/>
        <v>25.819947835051543</v>
      </c>
      <c r="O66" s="528">
        <f t="shared" si="9"/>
        <v>0</v>
      </c>
      <c r="P66" s="804"/>
    </row>
    <row r="67" spans="1:16" s="413" customFormat="1" ht="26.25" thickBot="1">
      <c r="A67" s="1122"/>
      <c r="B67" s="805"/>
      <c r="C67" s="808" t="s">
        <v>3496</v>
      </c>
      <c r="D67" s="420" t="s">
        <v>3634</v>
      </c>
      <c r="E67" s="448">
        <v>3510.0309278350514</v>
      </c>
      <c r="F67" s="59">
        <f t="shared" si="0"/>
        <v>2106.0185567010308</v>
      </c>
      <c r="G67" s="527">
        <f t="shared" si="1"/>
        <v>0</v>
      </c>
      <c r="H67" s="528">
        <f t="shared" si="2"/>
        <v>175.22074391752577</v>
      </c>
      <c r="I67" s="528">
        <f t="shared" si="3"/>
        <v>0</v>
      </c>
      <c r="J67" s="528">
        <f t="shared" si="4"/>
        <v>65.918380824742272</v>
      </c>
      <c r="K67" s="528">
        <f t="shared" si="5"/>
        <v>0</v>
      </c>
      <c r="L67" s="528">
        <f t="shared" si="6"/>
        <v>53.914075051546391</v>
      </c>
      <c r="M67" s="528">
        <f t="shared" si="7"/>
        <v>0</v>
      </c>
      <c r="N67" s="528">
        <f t="shared" si="8"/>
        <v>44.858195257731957</v>
      </c>
      <c r="O67" s="528">
        <f t="shared" si="9"/>
        <v>0</v>
      </c>
      <c r="P67" s="804"/>
    </row>
    <row r="68" spans="1:16" s="413" customFormat="1" ht="13.5" thickBot="1">
      <c r="A68" s="1122"/>
      <c r="B68" s="803"/>
      <c r="C68" s="419" t="s">
        <v>3574</v>
      </c>
      <c r="D68" s="420" t="s">
        <v>3795</v>
      </c>
      <c r="E68" s="448">
        <v>308.2474226804124</v>
      </c>
      <c r="F68" s="59">
        <f t="shared" si="0"/>
        <v>184.94845360824743</v>
      </c>
      <c r="G68" s="527">
        <f t="shared" si="1"/>
        <v>0</v>
      </c>
      <c r="H68" s="528">
        <f t="shared" si="2"/>
        <v>15.387711340206186</v>
      </c>
      <c r="I68" s="528">
        <f t="shared" si="3"/>
        <v>0</v>
      </c>
      <c r="J68" s="528">
        <f t="shared" si="4"/>
        <v>5.788886597938145</v>
      </c>
      <c r="K68" s="528">
        <f t="shared" si="5"/>
        <v>0</v>
      </c>
      <c r="L68" s="528">
        <f t="shared" si="6"/>
        <v>4.7346804123711346</v>
      </c>
      <c r="M68" s="528">
        <f t="shared" si="7"/>
        <v>0</v>
      </c>
      <c r="N68" s="528">
        <f t="shared" si="8"/>
        <v>3.9394020618556702</v>
      </c>
      <c r="O68" s="528">
        <f t="shared" si="9"/>
        <v>0</v>
      </c>
      <c r="P68" s="804"/>
    </row>
    <row r="69" spans="1:16" s="413" customFormat="1" ht="13.5" thickBot="1">
      <c r="A69" s="1122"/>
      <c r="B69" s="803"/>
      <c r="C69" s="419" t="s">
        <v>436</v>
      </c>
      <c r="D69" s="420" t="s">
        <v>673</v>
      </c>
      <c r="E69" s="448">
        <v>515.46391752577324</v>
      </c>
      <c r="F69" s="59">
        <f t="shared" si="0"/>
        <v>309.27835051546396</v>
      </c>
      <c r="G69" s="527">
        <f t="shared" si="1"/>
        <v>0</v>
      </c>
      <c r="H69" s="528">
        <f t="shared" si="2"/>
        <v>25.731958762886599</v>
      </c>
      <c r="I69" s="528">
        <f t="shared" si="3"/>
        <v>0</v>
      </c>
      <c r="J69" s="528">
        <f t="shared" si="4"/>
        <v>9.6804123711340218</v>
      </c>
      <c r="K69" s="528">
        <f t="shared" si="5"/>
        <v>0</v>
      </c>
      <c r="L69" s="528">
        <f t="shared" si="6"/>
        <v>7.9175257731958775</v>
      </c>
      <c r="M69" s="528">
        <f t="shared" si="7"/>
        <v>0</v>
      </c>
      <c r="N69" s="528">
        <f t="shared" si="8"/>
        <v>6.587628865979382</v>
      </c>
      <c r="O69" s="528">
        <f t="shared" si="9"/>
        <v>0</v>
      </c>
      <c r="P69" s="804"/>
    </row>
    <row r="70" spans="1:16" s="413" customFormat="1" ht="13.5" thickBot="1">
      <c r="A70" s="1122"/>
      <c r="B70" s="803"/>
      <c r="C70" s="419" t="s">
        <v>3488</v>
      </c>
      <c r="D70" s="420" t="s">
        <v>3585</v>
      </c>
      <c r="E70" s="448">
        <v>88.659793814432987</v>
      </c>
      <c r="F70" s="59">
        <f t="shared" si="0"/>
        <v>53.19587628865979</v>
      </c>
      <c r="G70" s="527">
        <f t="shared" si="1"/>
        <v>0</v>
      </c>
      <c r="H70" s="528">
        <f t="shared" si="2"/>
        <v>4.4258969072164946</v>
      </c>
      <c r="I70" s="528">
        <f t="shared" si="3"/>
        <v>0</v>
      </c>
      <c r="J70" s="528">
        <f t="shared" si="4"/>
        <v>1.6650309278350515</v>
      </c>
      <c r="K70" s="528">
        <f t="shared" si="5"/>
        <v>0</v>
      </c>
      <c r="L70" s="528">
        <f t="shared" si="6"/>
        <v>1.3618144329896906</v>
      </c>
      <c r="M70" s="528">
        <f t="shared" si="7"/>
        <v>0</v>
      </c>
      <c r="N70" s="528">
        <f t="shared" si="8"/>
        <v>1.1330721649484534</v>
      </c>
      <c r="O70" s="528">
        <f t="shared" si="9"/>
        <v>0</v>
      </c>
      <c r="P70" s="804"/>
    </row>
    <row r="71" spans="1:16" s="413" customFormat="1" ht="13.5" thickBot="1">
      <c r="A71" s="1122"/>
      <c r="B71" s="803"/>
      <c r="C71" s="419" t="s">
        <v>692</v>
      </c>
      <c r="D71" s="420" t="s">
        <v>3510</v>
      </c>
      <c r="E71" s="448">
        <v>126.80412371134021</v>
      </c>
      <c r="F71" s="59">
        <f t="shared" si="0"/>
        <v>76.082474226804123</v>
      </c>
      <c r="G71" s="527">
        <f t="shared" si="1"/>
        <v>0</v>
      </c>
      <c r="H71" s="528">
        <f t="shared" si="2"/>
        <v>6.3300618556701025</v>
      </c>
      <c r="I71" s="528">
        <f t="shared" si="3"/>
        <v>0</v>
      </c>
      <c r="J71" s="528">
        <f t="shared" si="4"/>
        <v>2.3813814432989693</v>
      </c>
      <c r="K71" s="528">
        <f t="shared" si="5"/>
        <v>0</v>
      </c>
      <c r="L71" s="528">
        <f t="shared" si="6"/>
        <v>1.9477113402061856</v>
      </c>
      <c r="M71" s="528">
        <f t="shared" si="7"/>
        <v>0</v>
      </c>
      <c r="N71" s="528">
        <f t="shared" si="8"/>
        <v>1.6205567010309279</v>
      </c>
      <c r="O71" s="528">
        <f t="shared" si="9"/>
        <v>0</v>
      </c>
      <c r="P71" s="804"/>
    </row>
    <row r="72" spans="1:16" s="413" customFormat="1" ht="13.5" thickBot="1">
      <c r="A72" s="1122"/>
      <c r="B72" s="803"/>
      <c r="C72" s="419" t="s">
        <v>693</v>
      </c>
      <c r="D72" s="420" t="s">
        <v>674</v>
      </c>
      <c r="E72" s="448">
        <v>129.89690721649484</v>
      </c>
      <c r="F72" s="59">
        <f t="shared" si="0"/>
        <v>77.9381443298969</v>
      </c>
      <c r="G72" s="527">
        <f t="shared" si="1"/>
        <v>0</v>
      </c>
      <c r="H72" s="528">
        <f t="shared" si="2"/>
        <v>6.4844536082474216</v>
      </c>
      <c r="I72" s="528">
        <f t="shared" si="3"/>
        <v>0</v>
      </c>
      <c r="J72" s="528">
        <f t="shared" si="4"/>
        <v>2.4394639175257731</v>
      </c>
      <c r="K72" s="528">
        <f t="shared" si="5"/>
        <v>0</v>
      </c>
      <c r="L72" s="528">
        <f t="shared" si="6"/>
        <v>1.9952164948453608</v>
      </c>
      <c r="M72" s="528">
        <f t="shared" si="7"/>
        <v>0</v>
      </c>
      <c r="N72" s="528">
        <f t="shared" si="8"/>
        <v>1.6600824742268039</v>
      </c>
      <c r="O72" s="528">
        <f t="shared" si="9"/>
        <v>0</v>
      </c>
      <c r="P72" s="804"/>
    </row>
    <row r="73" spans="1:16" s="413" customFormat="1" ht="26.25" thickBot="1">
      <c r="A73" s="1122"/>
      <c r="B73" s="803"/>
      <c r="C73" s="419" t="s">
        <v>438</v>
      </c>
      <c r="D73" s="420" t="s">
        <v>594</v>
      </c>
      <c r="E73" s="448">
        <v>1134.020618556701</v>
      </c>
      <c r="F73" s="59">
        <f t="shared" si="0"/>
        <v>680.41237113402065</v>
      </c>
      <c r="G73" s="527">
        <f t="shared" si="1"/>
        <v>0</v>
      </c>
      <c r="H73" s="528">
        <f t="shared" si="2"/>
        <v>56.610309278350513</v>
      </c>
      <c r="I73" s="528">
        <f t="shared" si="3"/>
        <v>0</v>
      </c>
      <c r="J73" s="528">
        <f t="shared" si="4"/>
        <v>21.296907216494848</v>
      </c>
      <c r="K73" s="528">
        <f t="shared" si="5"/>
        <v>0</v>
      </c>
      <c r="L73" s="528">
        <f t="shared" si="6"/>
        <v>17.41855670103093</v>
      </c>
      <c r="M73" s="528">
        <f t="shared" si="7"/>
        <v>0</v>
      </c>
      <c r="N73" s="528">
        <f t="shared" si="8"/>
        <v>14.492783505154639</v>
      </c>
      <c r="O73" s="528">
        <f t="shared" si="9"/>
        <v>0</v>
      </c>
      <c r="P73" s="804"/>
    </row>
    <row r="74" spans="1:16" s="413" customFormat="1" ht="27" customHeight="1" thickBot="1">
      <c r="A74" s="1122"/>
      <c r="B74" s="803"/>
      <c r="C74" s="419" t="s">
        <v>439</v>
      </c>
      <c r="D74" s="420" t="s">
        <v>595</v>
      </c>
      <c r="E74" s="448">
        <v>809.2783505154639</v>
      </c>
      <c r="F74" s="59">
        <f t="shared" si="0"/>
        <v>485.56701030927832</v>
      </c>
      <c r="G74" s="527">
        <f t="shared" si="1"/>
        <v>0</v>
      </c>
      <c r="H74" s="528">
        <f t="shared" si="2"/>
        <v>40.399175257731955</v>
      </c>
      <c r="I74" s="528">
        <f t="shared" si="3"/>
        <v>0</v>
      </c>
      <c r="J74" s="528">
        <f t="shared" si="4"/>
        <v>15.198247422680412</v>
      </c>
      <c r="K74" s="528">
        <f t="shared" si="5"/>
        <v>0</v>
      </c>
      <c r="L74" s="528">
        <f t="shared" si="6"/>
        <v>12.430515463917526</v>
      </c>
      <c r="M74" s="528">
        <f t="shared" si="7"/>
        <v>0</v>
      </c>
      <c r="N74" s="528">
        <f t="shared" si="8"/>
        <v>10.342577319587628</v>
      </c>
      <c r="O74" s="528">
        <f t="shared" si="9"/>
        <v>0</v>
      </c>
      <c r="P74" s="804"/>
    </row>
    <row r="75" spans="1:16" s="413" customFormat="1" ht="13.5" thickBot="1">
      <c r="A75" s="1122"/>
      <c r="B75" s="803"/>
      <c r="C75" s="419" t="s">
        <v>440</v>
      </c>
      <c r="D75" s="420" t="s">
        <v>418</v>
      </c>
      <c r="E75" s="448">
        <v>688.45360824742261</v>
      </c>
      <c r="F75" s="59">
        <f t="shared" si="0"/>
        <v>413.07216494845358</v>
      </c>
      <c r="G75" s="527">
        <f t="shared" si="1"/>
        <v>0</v>
      </c>
      <c r="H75" s="528">
        <f t="shared" si="2"/>
        <v>34.367604123711338</v>
      </c>
      <c r="I75" s="528">
        <f t="shared" si="3"/>
        <v>0</v>
      </c>
      <c r="J75" s="528">
        <f t="shared" si="4"/>
        <v>12.929158762886598</v>
      </c>
      <c r="K75" s="528">
        <f t="shared" si="5"/>
        <v>0</v>
      </c>
      <c r="L75" s="528">
        <f t="shared" si="6"/>
        <v>10.574647422680412</v>
      </c>
      <c r="M75" s="528">
        <f t="shared" si="7"/>
        <v>0</v>
      </c>
      <c r="N75" s="528">
        <f t="shared" si="8"/>
        <v>8.7984371134020609</v>
      </c>
      <c r="O75" s="528">
        <f t="shared" si="9"/>
        <v>0</v>
      </c>
      <c r="P75" s="804"/>
    </row>
    <row r="76" spans="1:16" s="413" customFormat="1" ht="13.5" thickBot="1">
      <c r="A76" s="1122"/>
      <c r="B76" s="803"/>
      <c r="C76" s="419" t="s">
        <v>441</v>
      </c>
      <c r="D76" s="420" t="s">
        <v>596</v>
      </c>
      <c r="E76" s="448">
        <v>846.39175257731961</v>
      </c>
      <c r="F76" s="59">
        <f t="shared" si="0"/>
        <v>507.83505154639175</v>
      </c>
      <c r="G76" s="527">
        <f t="shared" si="1"/>
        <v>0</v>
      </c>
      <c r="H76" s="528">
        <f t="shared" si="2"/>
        <v>42.251876288659794</v>
      </c>
      <c r="I76" s="528">
        <f t="shared" si="3"/>
        <v>0</v>
      </c>
      <c r="J76" s="528">
        <f t="shared" si="4"/>
        <v>15.895237113402063</v>
      </c>
      <c r="K76" s="528">
        <f t="shared" si="5"/>
        <v>0</v>
      </c>
      <c r="L76" s="528">
        <f t="shared" si="6"/>
        <v>13.000577319587629</v>
      </c>
      <c r="M76" s="528">
        <f t="shared" si="7"/>
        <v>0</v>
      </c>
      <c r="N76" s="528">
        <f t="shared" si="8"/>
        <v>10.816886597938144</v>
      </c>
      <c r="O76" s="528">
        <f t="shared" si="9"/>
        <v>0</v>
      </c>
      <c r="P76" s="804"/>
    </row>
    <row r="77" spans="1:16" s="413" customFormat="1" ht="13.5" thickBot="1">
      <c r="A77" s="1122"/>
      <c r="B77" s="803"/>
      <c r="C77" s="419" t="s">
        <v>442</v>
      </c>
      <c r="D77" s="420" t="s">
        <v>597</v>
      </c>
      <c r="E77" s="448">
        <v>711.34020618556701</v>
      </c>
      <c r="F77" s="59">
        <f t="shared" si="0"/>
        <v>426.8041237113402</v>
      </c>
      <c r="G77" s="527">
        <f t="shared" si="1"/>
        <v>0</v>
      </c>
      <c r="H77" s="528">
        <f t="shared" si="2"/>
        <v>35.510103092783503</v>
      </c>
      <c r="I77" s="528">
        <f t="shared" si="3"/>
        <v>0</v>
      </c>
      <c r="J77" s="528">
        <f t="shared" si="4"/>
        <v>13.358969072164948</v>
      </c>
      <c r="K77" s="528">
        <f t="shared" si="5"/>
        <v>0</v>
      </c>
      <c r="L77" s="528">
        <f t="shared" si="6"/>
        <v>10.926185567010309</v>
      </c>
      <c r="M77" s="528">
        <f t="shared" si="7"/>
        <v>0</v>
      </c>
      <c r="N77" s="528">
        <f t="shared" si="8"/>
        <v>9.0909278350515468</v>
      </c>
      <c r="O77" s="528">
        <f t="shared" si="9"/>
        <v>0</v>
      </c>
      <c r="P77" s="804"/>
    </row>
    <row r="78" spans="1:16" s="729" customFormat="1" ht="13.5" thickBot="1">
      <c r="A78" s="1122"/>
      <c r="B78" s="803"/>
      <c r="C78" s="419" t="s">
        <v>443</v>
      </c>
      <c r="D78" s="420" t="s">
        <v>598</v>
      </c>
      <c r="E78" s="448">
        <v>196.90721649484536</v>
      </c>
      <c r="F78" s="59">
        <f t="shared" si="0"/>
        <v>118.14432989690721</v>
      </c>
      <c r="G78" s="527">
        <f t="shared" si="1"/>
        <v>0</v>
      </c>
      <c r="H78" s="528">
        <f t="shared" si="2"/>
        <v>9.82960824742268</v>
      </c>
      <c r="I78" s="528">
        <f t="shared" si="3"/>
        <v>0</v>
      </c>
      <c r="J78" s="528">
        <f t="shared" si="4"/>
        <v>3.697917525773196</v>
      </c>
      <c r="K78" s="528">
        <f t="shared" si="5"/>
        <v>0</v>
      </c>
      <c r="L78" s="528">
        <f t="shared" si="6"/>
        <v>3.0244948453608247</v>
      </c>
      <c r="M78" s="528">
        <f t="shared" si="7"/>
        <v>0</v>
      </c>
      <c r="N78" s="528">
        <f t="shared" si="8"/>
        <v>2.5164742268041236</v>
      </c>
      <c r="O78" s="528">
        <f t="shared" si="9"/>
        <v>0</v>
      </c>
      <c r="P78" s="804"/>
    </row>
    <row r="79" spans="1:16" s="729" customFormat="1" ht="13.5" thickBot="1">
      <c r="A79" s="1122"/>
      <c r="B79" s="803"/>
      <c r="C79" s="419" t="s">
        <v>444</v>
      </c>
      <c r="D79" s="420" t="s">
        <v>680</v>
      </c>
      <c r="E79" s="448">
        <v>688.45360824742261</v>
      </c>
      <c r="F79" s="59">
        <f t="shared" si="0"/>
        <v>413.07216494845358</v>
      </c>
      <c r="G79" s="527">
        <f t="shared" si="1"/>
        <v>0</v>
      </c>
      <c r="H79" s="528">
        <f t="shared" si="2"/>
        <v>34.367604123711338</v>
      </c>
      <c r="I79" s="528">
        <f t="shared" si="3"/>
        <v>0</v>
      </c>
      <c r="J79" s="528">
        <f t="shared" si="4"/>
        <v>12.929158762886598</v>
      </c>
      <c r="K79" s="528">
        <f t="shared" si="5"/>
        <v>0</v>
      </c>
      <c r="L79" s="528">
        <f t="shared" si="6"/>
        <v>10.574647422680412</v>
      </c>
      <c r="M79" s="528">
        <f t="shared" si="7"/>
        <v>0</v>
      </c>
      <c r="N79" s="528">
        <f t="shared" si="8"/>
        <v>8.7984371134020609</v>
      </c>
      <c r="O79" s="528">
        <f t="shared" si="9"/>
        <v>0</v>
      </c>
      <c r="P79" s="804"/>
    </row>
    <row r="80" spans="1:16" s="729" customFormat="1" ht="26.25" thickBot="1">
      <c r="A80" s="1122"/>
      <c r="B80" s="803"/>
      <c r="C80" s="419" t="s">
        <v>116</v>
      </c>
      <c r="D80" s="420" t="s">
        <v>117</v>
      </c>
      <c r="E80" s="448">
        <v>257.73195876288662</v>
      </c>
      <c r="F80" s="59">
        <f t="shared" si="0"/>
        <v>154.63917525773198</v>
      </c>
      <c r="G80" s="527">
        <f t="shared" si="1"/>
        <v>0</v>
      </c>
      <c r="H80" s="528">
        <f t="shared" si="2"/>
        <v>12.865979381443299</v>
      </c>
      <c r="I80" s="528">
        <f t="shared" si="3"/>
        <v>0</v>
      </c>
      <c r="J80" s="528">
        <f t="shared" si="4"/>
        <v>4.8402061855670109</v>
      </c>
      <c r="K80" s="528">
        <f t="shared" si="5"/>
        <v>0</v>
      </c>
      <c r="L80" s="528">
        <f t="shared" si="6"/>
        <v>3.9587628865979387</v>
      </c>
      <c r="M80" s="528">
        <f t="shared" si="7"/>
        <v>0</v>
      </c>
      <c r="N80" s="528">
        <f t="shared" si="8"/>
        <v>3.293814432989691</v>
      </c>
      <c r="O80" s="528">
        <f t="shared" si="9"/>
        <v>0</v>
      </c>
      <c r="P80" s="804"/>
    </row>
    <row r="81" spans="1:16" s="729" customFormat="1" ht="13.5" thickBot="1">
      <c r="A81" s="1122"/>
      <c r="B81" s="805"/>
      <c r="C81" s="419" t="s">
        <v>3487</v>
      </c>
      <c r="D81" s="420" t="s">
        <v>3507</v>
      </c>
      <c r="E81" s="448">
        <v>407.21649484536084</v>
      </c>
      <c r="F81" s="59">
        <f t="shared" si="0"/>
        <v>244.32989690721649</v>
      </c>
      <c r="G81" s="527">
        <f t="shared" si="1"/>
        <v>0</v>
      </c>
      <c r="H81" s="528">
        <f t="shared" si="2"/>
        <v>20.328247422680413</v>
      </c>
      <c r="I81" s="528">
        <f t="shared" si="3"/>
        <v>0</v>
      </c>
      <c r="J81" s="528">
        <f t="shared" si="4"/>
        <v>7.647525773195877</v>
      </c>
      <c r="K81" s="528">
        <f t="shared" si="5"/>
        <v>0</v>
      </c>
      <c r="L81" s="528">
        <f t="shared" si="6"/>
        <v>6.254845360824743</v>
      </c>
      <c r="M81" s="528">
        <f t="shared" si="7"/>
        <v>0</v>
      </c>
      <c r="N81" s="528">
        <f t="shared" si="8"/>
        <v>5.204226804123711</v>
      </c>
      <c r="O81" s="528">
        <f t="shared" si="9"/>
        <v>0</v>
      </c>
      <c r="P81" s="804"/>
    </row>
    <row r="82" spans="1:16" s="729" customFormat="1" ht="13.5" thickBot="1">
      <c r="A82" s="1122"/>
      <c r="B82" s="441"/>
      <c r="C82" s="809" t="s">
        <v>3503</v>
      </c>
      <c r="D82" s="810" t="s">
        <v>3528</v>
      </c>
      <c r="E82" s="448">
        <v>3442.2680412371137</v>
      </c>
      <c r="F82" s="59">
        <f t="shared" si="0"/>
        <v>2065.3608247422681</v>
      </c>
      <c r="G82" s="527">
        <f t="shared" si="1"/>
        <v>0</v>
      </c>
      <c r="H82" s="528">
        <f t="shared" si="2"/>
        <v>171.8380206185567</v>
      </c>
      <c r="I82" s="528">
        <f t="shared" si="3"/>
        <v>0</v>
      </c>
      <c r="J82" s="528">
        <f t="shared" si="4"/>
        <v>64.645793814432992</v>
      </c>
      <c r="K82" s="528">
        <f t="shared" si="5"/>
        <v>0</v>
      </c>
      <c r="L82" s="528">
        <f t="shared" si="6"/>
        <v>52.873237113402062</v>
      </c>
      <c r="M82" s="528">
        <f t="shared" si="7"/>
        <v>0</v>
      </c>
      <c r="N82" s="528">
        <f t="shared" si="8"/>
        <v>43.99218556701031</v>
      </c>
      <c r="O82" s="528">
        <f t="shared" si="9"/>
        <v>0</v>
      </c>
      <c r="P82" s="804"/>
    </row>
    <row r="83" spans="1:16" s="729" customFormat="1" ht="13.5" thickBot="1">
      <c r="A83" s="1122"/>
      <c r="B83" s="441"/>
      <c r="C83" s="809" t="s">
        <v>694</v>
      </c>
      <c r="D83" s="810" t="s">
        <v>3527</v>
      </c>
      <c r="E83" s="448">
        <v>1835.8762886597938</v>
      </c>
      <c r="F83" s="59">
        <f t="shared" si="0"/>
        <v>1101.5257731958761</v>
      </c>
      <c r="G83" s="527">
        <f t="shared" si="1"/>
        <v>0</v>
      </c>
      <c r="H83" s="528">
        <f t="shared" si="2"/>
        <v>91.646944329896883</v>
      </c>
      <c r="I83" s="528">
        <f t="shared" si="3"/>
        <v>0</v>
      </c>
      <c r="J83" s="528">
        <f t="shared" si="4"/>
        <v>34.477756701030927</v>
      </c>
      <c r="K83" s="528">
        <f t="shared" si="5"/>
        <v>0</v>
      </c>
      <c r="L83" s="528">
        <f t="shared" si="6"/>
        <v>28.199059793814431</v>
      </c>
      <c r="M83" s="528">
        <f t="shared" si="7"/>
        <v>0</v>
      </c>
      <c r="N83" s="528">
        <f t="shared" si="8"/>
        <v>23.462498969072161</v>
      </c>
      <c r="O83" s="528">
        <f t="shared" si="9"/>
        <v>0</v>
      </c>
      <c r="P83" s="804"/>
    </row>
    <row r="84" spans="1:16" s="734" customFormat="1" ht="13.5" thickBot="1">
      <c r="A84" s="1122"/>
      <c r="B84" s="803"/>
      <c r="C84" s="811" t="s">
        <v>454</v>
      </c>
      <c r="D84" s="812" t="s">
        <v>3526</v>
      </c>
      <c r="E84" s="813">
        <v>872.1649484536083</v>
      </c>
      <c r="F84" s="59">
        <f t="shared" si="0"/>
        <v>523.29896907216494</v>
      </c>
      <c r="G84" s="527">
        <f t="shared" si="1"/>
        <v>0</v>
      </c>
      <c r="H84" s="528">
        <f t="shared" si="2"/>
        <v>43.538474226804119</v>
      </c>
      <c r="I84" s="528">
        <f t="shared" si="3"/>
        <v>0</v>
      </c>
      <c r="J84" s="528">
        <f t="shared" si="4"/>
        <v>16.379257731958763</v>
      </c>
      <c r="K84" s="528">
        <f t="shared" si="5"/>
        <v>0</v>
      </c>
      <c r="L84" s="528">
        <f t="shared" si="6"/>
        <v>13.396453608247423</v>
      </c>
      <c r="M84" s="528">
        <f t="shared" si="7"/>
        <v>0</v>
      </c>
      <c r="N84" s="528">
        <f t="shared" si="8"/>
        <v>11.146268041237112</v>
      </c>
      <c r="O84" s="528">
        <f t="shared" si="9"/>
        <v>0</v>
      </c>
      <c r="P84" s="804"/>
    </row>
    <row r="85" spans="1:16" s="729" customFormat="1" ht="13.5" thickBot="1">
      <c r="A85" s="1122"/>
      <c r="B85" s="803"/>
      <c r="C85" s="419" t="s">
        <v>70</v>
      </c>
      <c r="D85" s="420" t="s">
        <v>682</v>
      </c>
      <c r="E85" s="448">
        <v>61.855670103092784</v>
      </c>
      <c r="F85" s="59">
        <f t="shared" si="0"/>
        <v>37.113402061855666</v>
      </c>
      <c r="G85" s="527">
        <f t="shared" si="1"/>
        <v>0</v>
      </c>
      <c r="H85" s="528">
        <f t="shared" si="2"/>
        <v>3.0878350515463913</v>
      </c>
      <c r="I85" s="528">
        <f t="shared" si="3"/>
        <v>0</v>
      </c>
      <c r="J85" s="528">
        <f t="shared" si="4"/>
        <v>1.1616494845360823</v>
      </c>
      <c r="K85" s="528">
        <f t="shared" si="5"/>
        <v>0</v>
      </c>
      <c r="L85" s="528">
        <f t="shared" si="6"/>
        <v>0.95010309278350513</v>
      </c>
      <c r="M85" s="528">
        <f t="shared" si="7"/>
        <v>0</v>
      </c>
      <c r="N85" s="528">
        <f t="shared" si="8"/>
        <v>0.7905154639175257</v>
      </c>
      <c r="O85" s="528">
        <f t="shared" si="9"/>
        <v>0</v>
      </c>
      <c r="P85" s="804"/>
    </row>
    <row r="86" spans="1:16" s="729" customFormat="1" ht="13.5" thickBot="1">
      <c r="A86" s="1122"/>
      <c r="B86" s="803"/>
      <c r="C86" s="419" t="s">
        <v>456</v>
      </c>
      <c r="D86" s="420" t="s">
        <v>683</v>
      </c>
      <c r="E86" s="448">
        <v>123.71134020618557</v>
      </c>
      <c r="F86" s="59">
        <f t="shared" si="0"/>
        <v>74.226804123711332</v>
      </c>
      <c r="G86" s="527">
        <f t="shared" si="1"/>
        <v>0</v>
      </c>
      <c r="H86" s="528">
        <f t="shared" si="2"/>
        <v>6.1756701030927825</v>
      </c>
      <c r="I86" s="528">
        <f t="shared" si="3"/>
        <v>0</v>
      </c>
      <c r="J86" s="528">
        <f t="shared" si="4"/>
        <v>2.3232989690721646</v>
      </c>
      <c r="K86" s="528">
        <f t="shared" si="5"/>
        <v>0</v>
      </c>
      <c r="L86" s="528">
        <f t="shared" si="6"/>
        <v>1.9002061855670103</v>
      </c>
      <c r="M86" s="528">
        <f t="shared" si="7"/>
        <v>0</v>
      </c>
      <c r="N86" s="528">
        <f t="shared" si="8"/>
        <v>1.5810309278350514</v>
      </c>
      <c r="O86" s="528">
        <f t="shared" si="9"/>
        <v>0</v>
      </c>
      <c r="P86" s="804"/>
    </row>
    <row r="87" spans="1:16" s="734" customFormat="1" ht="13.5" thickBot="1">
      <c r="A87" s="1122"/>
      <c r="B87" s="441"/>
      <c r="C87" s="419" t="s">
        <v>3501</v>
      </c>
      <c r="D87" s="420" t="s">
        <v>3572</v>
      </c>
      <c r="E87" s="448">
        <v>114.43298969072166</v>
      </c>
      <c r="F87" s="59">
        <f t="shared" si="0"/>
        <v>68.659793814432987</v>
      </c>
      <c r="G87" s="527">
        <f t="shared" si="1"/>
        <v>0</v>
      </c>
      <c r="H87" s="528">
        <f t="shared" si="2"/>
        <v>5.7124948453608244</v>
      </c>
      <c r="I87" s="528">
        <f t="shared" si="3"/>
        <v>0</v>
      </c>
      <c r="J87" s="528">
        <f t="shared" si="4"/>
        <v>2.1490515463917528</v>
      </c>
      <c r="K87" s="528">
        <f t="shared" si="5"/>
        <v>0</v>
      </c>
      <c r="L87" s="528">
        <f t="shared" si="6"/>
        <v>1.7576907216494846</v>
      </c>
      <c r="M87" s="528">
        <f t="shared" si="7"/>
        <v>0</v>
      </c>
      <c r="N87" s="528">
        <f t="shared" si="8"/>
        <v>1.4624536082474227</v>
      </c>
      <c r="O87" s="528">
        <f t="shared" si="9"/>
        <v>0</v>
      </c>
      <c r="P87" s="804"/>
    </row>
    <row r="88" spans="1:16" s="729" customFormat="1" ht="13.5" thickBot="1">
      <c r="A88" s="1122"/>
      <c r="B88" s="805"/>
      <c r="C88" s="419" t="s">
        <v>695</v>
      </c>
      <c r="D88" s="420" t="s">
        <v>3531</v>
      </c>
      <c r="E88" s="448">
        <v>941.23711340206194</v>
      </c>
      <c r="F88" s="59">
        <f t="shared" si="0"/>
        <v>564.74226804123714</v>
      </c>
      <c r="G88" s="527">
        <f t="shared" si="1"/>
        <v>0</v>
      </c>
      <c r="H88" s="528">
        <f t="shared" si="2"/>
        <v>46.986556701030928</v>
      </c>
      <c r="I88" s="528">
        <f t="shared" si="3"/>
        <v>0</v>
      </c>
      <c r="J88" s="528">
        <f t="shared" si="4"/>
        <v>17.676432989690724</v>
      </c>
      <c r="K88" s="528">
        <f t="shared" si="5"/>
        <v>0</v>
      </c>
      <c r="L88" s="528">
        <f t="shared" si="6"/>
        <v>14.457402061855671</v>
      </c>
      <c r="M88" s="528">
        <f t="shared" si="7"/>
        <v>0</v>
      </c>
      <c r="N88" s="528">
        <f t="shared" si="8"/>
        <v>12.02901030927835</v>
      </c>
      <c r="O88" s="528">
        <f t="shared" si="9"/>
        <v>0</v>
      </c>
      <c r="P88" s="804"/>
    </row>
    <row r="89" spans="1:16" s="437" customFormat="1" ht="13.5" thickBot="1">
      <c r="A89" s="1122"/>
      <c r="B89" s="441"/>
      <c r="C89" s="419" t="s">
        <v>696</v>
      </c>
      <c r="D89" s="420" t="s">
        <v>3532</v>
      </c>
      <c r="E89" s="448">
        <v>1227.8350515463917</v>
      </c>
      <c r="F89" s="59">
        <f t="shared" si="0"/>
        <v>736.70103092783495</v>
      </c>
      <c r="G89" s="527">
        <f t="shared" si="1"/>
        <v>0</v>
      </c>
      <c r="H89" s="528">
        <f t="shared" si="2"/>
        <v>61.293525773195867</v>
      </c>
      <c r="I89" s="528">
        <f t="shared" si="3"/>
        <v>0</v>
      </c>
      <c r="J89" s="528">
        <f t="shared" si="4"/>
        <v>23.058742268041236</v>
      </c>
      <c r="K89" s="528">
        <f t="shared" si="5"/>
        <v>0</v>
      </c>
      <c r="L89" s="528">
        <f t="shared" si="6"/>
        <v>18.859546391752577</v>
      </c>
      <c r="M89" s="528">
        <f t="shared" si="7"/>
        <v>0</v>
      </c>
      <c r="N89" s="528">
        <f t="shared" si="8"/>
        <v>15.691731958762883</v>
      </c>
      <c r="O89" s="528">
        <f t="shared" si="9"/>
        <v>0</v>
      </c>
      <c r="P89" s="804"/>
    </row>
    <row r="90" spans="1:16" s="437" customFormat="1" ht="13.5" thickBot="1">
      <c r="A90" s="1122"/>
      <c r="B90" s="805"/>
      <c r="C90" s="806" t="s">
        <v>697</v>
      </c>
      <c r="D90" s="420" t="s">
        <v>3529</v>
      </c>
      <c r="E90" s="448">
        <v>1445.3608247422681</v>
      </c>
      <c r="F90" s="59">
        <f t="shared" si="0"/>
        <v>867.21649484536078</v>
      </c>
      <c r="G90" s="527">
        <f t="shared" si="1"/>
        <v>0</v>
      </c>
      <c r="H90" s="528">
        <f t="shared" si="2"/>
        <v>72.15241237113402</v>
      </c>
      <c r="I90" s="528">
        <f t="shared" si="3"/>
        <v>0</v>
      </c>
      <c r="J90" s="528">
        <f t="shared" si="4"/>
        <v>27.143876288659794</v>
      </c>
      <c r="K90" s="528">
        <f t="shared" si="5"/>
        <v>0</v>
      </c>
      <c r="L90" s="528">
        <f t="shared" si="6"/>
        <v>22.200742268041235</v>
      </c>
      <c r="M90" s="528">
        <f t="shared" si="7"/>
        <v>0</v>
      </c>
      <c r="N90" s="528">
        <f t="shared" si="8"/>
        <v>18.471711340206184</v>
      </c>
      <c r="O90" s="528">
        <f t="shared" si="9"/>
        <v>0</v>
      </c>
      <c r="P90" s="804"/>
    </row>
    <row r="91" spans="1:16" s="437" customFormat="1" ht="13.5" thickBot="1">
      <c r="A91" s="1122"/>
      <c r="B91" s="805"/>
      <c r="C91" s="419" t="s">
        <v>3504</v>
      </c>
      <c r="D91" s="420" t="s">
        <v>3530</v>
      </c>
      <c r="E91" s="448">
        <v>1720.6185567010309</v>
      </c>
      <c r="F91" s="59">
        <f t="shared" si="0"/>
        <v>1032.3711340206185</v>
      </c>
      <c r="G91" s="527">
        <f t="shared" si="1"/>
        <v>0</v>
      </c>
      <c r="H91" s="528">
        <f t="shared" si="2"/>
        <v>85.893278350515445</v>
      </c>
      <c r="I91" s="528">
        <f t="shared" si="3"/>
        <v>0</v>
      </c>
      <c r="J91" s="528">
        <f t="shared" si="4"/>
        <v>32.313216494845356</v>
      </c>
      <c r="K91" s="528">
        <f t="shared" si="5"/>
        <v>0</v>
      </c>
      <c r="L91" s="528">
        <f t="shared" si="6"/>
        <v>26.428701030927833</v>
      </c>
      <c r="M91" s="528">
        <f t="shared" si="7"/>
        <v>0</v>
      </c>
      <c r="N91" s="528">
        <f t="shared" si="8"/>
        <v>21.989505154639172</v>
      </c>
      <c r="O91" s="528">
        <f t="shared" si="9"/>
        <v>0</v>
      </c>
      <c r="P91" s="804"/>
    </row>
    <row r="92" spans="1:16" s="437" customFormat="1" ht="13.5" thickBot="1">
      <c r="A92" s="1122"/>
      <c r="B92" s="805"/>
      <c r="C92" s="419" t="s">
        <v>450</v>
      </c>
      <c r="D92" s="420" t="s">
        <v>3570</v>
      </c>
      <c r="E92" s="448">
        <v>604.12371134020623</v>
      </c>
      <c r="F92" s="59">
        <f t="shared" si="0"/>
        <v>362.4742268041237</v>
      </c>
      <c r="G92" s="527">
        <f t="shared" si="1"/>
        <v>0</v>
      </c>
      <c r="H92" s="528">
        <f t="shared" si="2"/>
        <v>30.157855670103089</v>
      </c>
      <c r="I92" s="528">
        <f t="shared" si="3"/>
        <v>0</v>
      </c>
      <c r="J92" s="528">
        <f t="shared" si="4"/>
        <v>11.345443298969073</v>
      </c>
      <c r="K92" s="528">
        <f t="shared" si="5"/>
        <v>0</v>
      </c>
      <c r="L92" s="528">
        <f t="shared" si="6"/>
        <v>9.2793402061855677</v>
      </c>
      <c r="M92" s="528">
        <f t="shared" si="7"/>
        <v>0</v>
      </c>
      <c r="N92" s="528">
        <f t="shared" si="8"/>
        <v>7.7207010309278346</v>
      </c>
      <c r="O92" s="528">
        <f t="shared" si="9"/>
        <v>0</v>
      </c>
      <c r="P92" s="804"/>
    </row>
    <row r="93" spans="1:16" s="729" customFormat="1" ht="13.5" thickBot="1">
      <c r="A93" s="1122"/>
      <c r="B93" s="441"/>
      <c r="C93" s="419" t="s">
        <v>3499</v>
      </c>
      <c r="D93" s="420" t="s">
        <v>3522</v>
      </c>
      <c r="E93" s="448">
        <v>604.12371134020623</v>
      </c>
      <c r="F93" s="59">
        <f t="shared" si="0"/>
        <v>362.4742268041237</v>
      </c>
      <c r="G93" s="527">
        <f t="shared" si="1"/>
        <v>0</v>
      </c>
      <c r="H93" s="528">
        <f t="shared" si="2"/>
        <v>30.157855670103089</v>
      </c>
      <c r="I93" s="528">
        <f t="shared" si="3"/>
        <v>0</v>
      </c>
      <c r="J93" s="528">
        <f t="shared" si="4"/>
        <v>11.345443298969073</v>
      </c>
      <c r="K93" s="528">
        <f t="shared" si="5"/>
        <v>0</v>
      </c>
      <c r="L93" s="528">
        <f t="shared" si="6"/>
        <v>9.2793402061855677</v>
      </c>
      <c r="M93" s="528">
        <f t="shared" si="7"/>
        <v>0</v>
      </c>
      <c r="N93" s="528">
        <f t="shared" si="8"/>
        <v>7.7207010309278346</v>
      </c>
      <c r="O93" s="528">
        <f t="shared" si="9"/>
        <v>0</v>
      </c>
      <c r="P93" s="804"/>
    </row>
    <row r="94" spans="1:16" s="734" customFormat="1" ht="13.5" thickBot="1">
      <c r="A94" s="1122"/>
      <c r="B94" s="805"/>
      <c r="C94" s="419" t="s">
        <v>698</v>
      </c>
      <c r="D94" s="420" t="s">
        <v>3565</v>
      </c>
      <c r="E94" s="448">
        <v>1262.8865979381444</v>
      </c>
      <c r="F94" s="59">
        <f t="shared" si="0"/>
        <v>757.73195876288662</v>
      </c>
      <c r="G94" s="527">
        <f t="shared" si="1"/>
        <v>0</v>
      </c>
      <c r="H94" s="528">
        <f t="shared" si="2"/>
        <v>63.043298969072161</v>
      </c>
      <c r="I94" s="528">
        <f t="shared" si="3"/>
        <v>0</v>
      </c>
      <c r="J94" s="528">
        <f t="shared" si="4"/>
        <v>23.717010309278351</v>
      </c>
      <c r="K94" s="528">
        <f t="shared" si="5"/>
        <v>0</v>
      </c>
      <c r="L94" s="528">
        <f t="shared" si="6"/>
        <v>19.397938144329899</v>
      </c>
      <c r="M94" s="528">
        <f t="shared" si="7"/>
        <v>0</v>
      </c>
      <c r="N94" s="528">
        <f t="shared" si="8"/>
        <v>16.139690721649483</v>
      </c>
      <c r="O94" s="528">
        <f t="shared" si="9"/>
        <v>0</v>
      </c>
      <c r="P94" s="804"/>
    </row>
    <row r="95" spans="1:16" s="729" customFormat="1" ht="13.5" thickBot="1">
      <c r="A95" s="1122"/>
      <c r="B95" s="803"/>
      <c r="C95" s="419" t="s">
        <v>493</v>
      </c>
      <c r="D95" s="420" t="s">
        <v>52</v>
      </c>
      <c r="E95" s="448">
        <v>49.175257731958766</v>
      </c>
      <c r="F95" s="59">
        <f t="shared" si="0"/>
        <v>29.505154639175259</v>
      </c>
      <c r="G95" s="527">
        <f t="shared" si="1"/>
        <v>0</v>
      </c>
      <c r="H95" s="528">
        <f t="shared" si="2"/>
        <v>2.4548288659793815</v>
      </c>
      <c r="I95" s="528">
        <f t="shared" si="3"/>
        <v>0</v>
      </c>
      <c r="J95" s="528">
        <f t="shared" si="4"/>
        <v>0.92351134020618564</v>
      </c>
      <c r="K95" s="528">
        <f t="shared" si="5"/>
        <v>0</v>
      </c>
      <c r="L95" s="528">
        <f t="shared" si="6"/>
        <v>0.75533195876288672</v>
      </c>
      <c r="M95" s="528">
        <f t="shared" si="7"/>
        <v>0</v>
      </c>
      <c r="N95" s="528">
        <f t="shared" si="8"/>
        <v>0.62845979381443307</v>
      </c>
      <c r="O95" s="528">
        <f t="shared" si="9"/>
        <v>0</v>
      </c>
      <c r="P95" s="804"/>
    </row>
    <row r="96" spans="1:16" s="437" customFormat="1" ht="13.5" thickBot="1">
      <c r="A96" s="1122"/>
      <c r="B96" s="803"/>
      <c r="C96" s="419" t="s">
        <v>478</v>
      </c>
      <c r="D96" s="420" t="s">
        <v>3560</v>
      </c>
      <c r="E96" s="448">
        <v>27.319587628865982</v>
      </c>
      <c r="F96" s="59">
        <f t="shared" si="0"/>
        <v>16.39175257731959</v>
      </c>
      <c r="G96" s="527">
        <f t="shared" si="1"/>
        <v>0</v>
      </c>
      <c r="H96" s="528">
        <f t="shared" si="2"/>
        <v>1.3637938144329897</v>
      </c>
      <c r="I96" s="528">
        <f t="shared" si="3"/>
        <v>0</v>
      </c>
      <c r="J96" s="528">
        <f t="shared" si="4"/>
        <v>0.51306185567010321</v>
      </c>
      <c r="K96" s="528">
        <f t="shared" si="5"/>
        <v>0</v>
      </c>
      <c r="L96" s="528">
        <f t="shared" si="6"/>
        <v>0.41962886597938154</v>
      </c>
      <c r="M96" s="528">
        <f t="shared" si="7"/>
        <v>0</v>
      </c>
      <c r="N96" s="528">
        <f t="shared" si="8"/>
        <v>0.34914432989690725</v>
      </c>
      <c r="O96" s="528">
        <f t="shared" si="9"/>
        <v>0</v>
      </c>
      <c r="P96" s="804"/>
    </row>
    <row r="97" spans="1:16" s="437" customFormat="1" ht="13.5" thickBot="1">
      <c r="A97" s="1122"/>
      <c r="B97" s="803"/>
      <c r="C97" s="419" t="s">
        <v>33</v>
      </c>
      <c r="D97" s="420" t="s">
        <v>3563</v>
      </c>
      <c r="E97" s="448">
        <v>30.927835051546392</v>
      </c>
      <c r="F97" s="814">
        <f t="shared" si="0"/>
        <v>18.556701030927833</v>
      </c>
      <c r="G97" s="527">
        <f t="shared" si="1"/>
        <v>0</v>
      </c>
      <c r="H97" s="528">
        <f t="shared" si="2"/>
        <v>1.5439175257731956</v>
      </c>
      <c r="I97" s="528">
        <f t="shared" si="3"/>
        <v>0</v>
      </c>
      <c r="J97" s="528">
        <f t="shared" si="4"/>
        <v>0.58082474226804115</v>
      </c>
      <c r="K97" s="528">
        <f t="shared" si="5"/>
        <v>0</v>
      </c>
      <c r="L97" s="528">
        <f t="shared" si="6"/>
        <v>0.47505154639175257</v>
      </c>
      <c r="M97" s="528">
        <f t="shared" si="7"/>
        <v>0</v>
      </c>
      <c r="N97" s="528">
        <f t="shared" si="8"/>
        <v>0.39525773195876285</v>
      </c>
      <c r="O97" s="528">
        <f t="shared" si="9"/>
        <v>0</v>
      </c>
      <c r="P97" s="804"/>
    </row>
    <row r="98" spans="1:16" s="437" customFormat="1" ht="13.5" thickBot="1">
      <c r="A98" s="1122"/>
      <c r="B98" s="805"/>
      <c r="C98" s="419" t="s">
        <v>700</v>
      </c>
      <c r="D98" s="420" t="s">
        <v>3566</v>
      </c>
      <c r="E98" s="448">
        <v>268.04123711340208</v>
      </c>
      <c r="F98" s="59">
        <f t="shared" si="0"/>
        <v>160.82474226804123</v>
      </c>
      <c r="G98" s="527">
        <f t="shared" si="1"/>
        <v>0</v>
      </c>
      <c r="H98" s="528">
        <f t="shared" si="2"/>
        <v>13.38061855670103</v>
      </c>
      <c r="I98" s="528">
        <f t="shared" si="3"/>
        <v>0</v>
      </c>
      <c r="J98" s="528">
        <f t="shared" si="4"/>
        <v>5.0338144329896908</v>
      </c>
      <c r="K98" s="528">
        <f t="shared" si="5"/>
        <v>0</v>
      </c>
      <c r="L98" s="528">
        <f t="shared" si="6"/>
        <v>4.1171134020618556</v>
      </c>
      <c r="M98" s="528">
        <f t="shared" si="7"/>
        <v>0</v>
      </c>
      <c r="N98" s="528">
        <f t="shared" si="8"/>
        <v>3.4255670103092783</v>
      </c>
      <c r="O98" s="528">
        <f t="shared" si="9"/>
        <v>0</v>
      </c>
      <c r="P98" s="804"/>
    </row>
    <row r="99" spans="1:16" s="437" customFormat="1" ht="13.5" thickBot="1">
      <c r="A99" s="1123"/>
      <c r="B99" s="803"/>
      <c r="C99" s="419" t="s">
        <v>453</v>
      </c>
      <c r="D99" s="420" t="s">
        <v>3562</v>
      </c>
      <c r="E99" s="448">
        <v>115.4639175257732</v>
      </c>
      <c r="F99" s="59">
        <f t="shared" si="0"/>
        <v>69.278350515463913</v>
      </c>
      <c r="G99" s="527">
        <f t="shared" si="1"/>
        <v>0</v>
      </c>
      <c r="H99" s="528">
        <f t="shared" si="2"/>
        <v>5.7639587628865971</v>
      </c>
      <c r="I99" s="528">
        <f t="shared" si="3"/>
        <v>0</v>
      </c>
      <c r="J99" s="528">
        <f t="shared" si="4"/>
        <v>2.1684123711340204</v>
      </c>
      <c r="K99" s="528">
        <f t="shared" si="5"/>
        <v>0</v>
      </c>
      <c r="L99" s="528">
        <f t="shared" si="6"/>
        <v>1.7735257731958762</v>
      </c>
      <c r="M99" s="528">
        <f t="shared" si="7"/>
        <v>0</v>
      </c>
      <c r="N99" s="528">
        <f t="shared" si="8"/>
        <v>1.4756288659793813</v>
      </c>
      <c r="O99" s="528">
        <f t="shared" si="9"/>
        <v>0</v>
      </c>
      <c r="P99" s="804"/>
    </row>
    <row r="100" spans="1:16" s="437" customFormat="1" ht="15">
      <c r="C100" s="792"/>
      <c r="D100" s="1059" t="s">
        <v>183</v>
      </c>
      <c r="E100" s="1124"/>
      <c r="F100" s="1124"/>
      <c r="G100" s="730">
        <f t="array" ref="G100">SUM(G52:G99)+G40:G52:G99+G44:G52:G99+G48</f>
        <v>0</v>
      </c>
      <c r="H100" s="451" t="s">
        <v>184</v>
      </c>
      <c r="I100" s="730">
        <f t="array" ref="I100">SUM(I52:I99)+I40:I52:I99+I44:I52:I99+I48</f>
        <v>0</v>
      </c>
      <c r="J100" s="451" t="s">
        <v>185</v>
      </c>
      <c r="K100" s="730">
        <f t="array" ref="K100">SUM(K52:K99)+K40:K52:K99+K44:K52:K99+K48</f>
        <v>0</v>
      </c>
      <c r="L100" s="451" t="s">
        <v>186</v>
      </c>
      <c r="M100" s="730">
        <f t="array" ref="M100">SUM(M52:M99)+M40:M52:M99+M44:M52:M99+M48</f>
        <v>0</v>
      </c>
      <c r="N100" s="451" t="s">
        <v>187</v>
      </c>
      <c r="O100" s="730">
        <f t="array" ref="O100">SUM(O52:O99)+O40:O52:O99+O44:O52:O99+O48</f>
        <v>0</v>
      </c>
    </row>
    <row r="101" spans="1:16" s="437" customFormat="1" ht="14.25">
      <c r="C101" s="794"/>
      <c r="F101" s="626"/>
      <c r="G101" s="453"/>
    </row>
    <row r="102" spans="1:16" s="437" customFormat="1">
      <c r="C102" s="378"/>
      <c r="F102" s="626"/>
    </row>
    <row r="103" spans="1:16" ht="18">
      <c r="A103" s="815"/>
    </row>
    <row r="104" spans="1:16" ht="18">
      <c r="A104" s="815"/>
    </row>
    <row r="121" spans="3:3">
      <c r="C121" s="380"/>
    </row>
  </sheetData>
  <mergeCells count="58">
    <mergeCell ref="O48:O50"/>
    <mergeCell ref="A51:O51"/>
    <mergeCell ref="A52:A99"/>
    <mergeCell ref="D100:F100"/>
    <mergeCell ref="A48:A50"/>
    <mergeCell ref="B48:B50"/>
    <mergeCell ref="G48:G50"/>
    <mergeCell ref="I48:I50"/>
    <mergeCell ref="K48:K50"/>
    <mergeCell ref="M48:M50"/>
    <mergeCell ref="O40:O42"/>
    <mergeCell ref="A44:A46"/>
    <mergeCell ref="B44:B46"/>
    <mergeCell ref="G44:G46"/>
    <mergeCell ref="I44:I46"/>
    <mergeCell ref="K44:K46"/>
    <mergeCell ref="M44:M46"/>
    <mergeCell ref="O44:O46"/>
    <mergeCell ref="A40:A42"/>
    <mergeCell ref="B40:B42"/>
    <mergeCell ref="G40:G42"/>
    <mergeCell ref="I40:I42"/>
    <mergeCell ref="K40:K42"/>
    <mergeCell ref="M40:M42"/>
    <mergeCell ref="I38:O38"/>
    <mergeCell ref="A31:C31"/>
    <mergeCell ref="E31:H31"/>
    <mergeCell ref="I31:J31"/>
    <mergeCell ref="K31:M31"/>
    <mergeCell ref="N31:O31"/>
    <mergeCell ref="A32:C32"/>
    <mergeCell ref="E32:H32"/>
    <mergeCell ref="I32:J32"/>
    <mergeCell ref="K32:M32"/>
    <mergeCell ref="N32:O32"/>
    <mergeCell ref="A35:D35"/>
    <mergeCell ref="A36:C36"/>
    <mergeCell ref="A37:C37"/>
    <mergeCell ref="A38:C38"/>
    <mergeCell ref="F38:H38"/>
    <mergeCell ref="A29:C29"/>
    <mergeCell ref="E29:H29"/>
    <mergeCell ref="I29:J29"/>
    <mergeCell ref="K29:M29"/>
    <mergeCell ref="N29:O29"/>
    <mergeCell ref="A30:C30"/>
    <mergeCell ref="E30:H30"/>
    <mergeCell ref="I30:J30"/>
    <mergeCell ref="K30:M30"/>
    <mergeCell ref="N30:O30"/>
    <mergeCell ref="A28:D28"/>
    <mergeCell ref="E28:J28"/>
    <mergeCell ref="K28:O28"/>
    <mergeCell ref="A4:O4"/>
    <mergeCell ref="A5:O5"/>
    <mergeCell ref="H9:J9"/>
    <mergeCell ref="D23:D24"/>
    <mergeCell ref="A27:O27"/>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6">
    <tabColor indexed="62"/>
  </sheetPr>
  <dimension ref="A1:Q271"/>
  <sheetViews>
    <sheetView topLeftCell="A9" zoomScale="82" zoomScaleNormal="82" workbookViewId="0">
      <selection activeCell="C28" sqref="C28:E167"/>
    </sheetView>
  </sheetViews>
  <sheetFormatPr defaultColWidth="8.85546875" defaultRowHeight="15.75"/>
  <cols>
    <col min="1" max="1" width="14" style="178" customWidth="1"/>
    <col min="2" max="2" width="8.7109375" style="178" customWidth="1"/>
    <col min="3" max="3" width="20.7109375" style="178" customWidth="1"/>
    <col min="4" max="4" width="42" style="178" customWidth="1"/>
    <col min="5" max="5" width="17" style="178" customWidth="1"/>
    <col min="6" max="6" width="18.28515625" style="165" customWidth="1"/>
    <col min="7" max="7" width="16" style="165" customWidth="1"/>
    <col min="8" max="8" width="21.28515625" style="178" customWidth="1"/>
    <col min="9" max="9" width="25.5703125" style="178" customWidth="1"/>
    <col min="10" max="10" width="20.5703125" style="178" customWidth="1"/>
    <col min="11" max="11" width="21.140625" style="178" customWidth="1"/>
    <col min="12" max="12" width="20" style="178" customWidth="1"/>
    <col min="13" max="13" width="19" style="178" customWidth="1"/>
    <col min="14" max="14" width="19.5703125" style="178" customWidth="1"/>
    <col min="15" max="15" width="19.140625" style="178" customWidth="1"/>
    <col min="16" max="16" width="19.5703125" style="178" customWidth="1"/>
    <col min="17" max="17" width="19.140625" style="178" customWidth="1"/>
    <col min="18" max="16384" width="8.85546875" style="178"/>
  </cols>
  <sheetData>
    <row r="1" spans="1:17" ht="16.5" thickBot="1">
      <c r="B1" s="179"/>
      <c r="C1" s="179"/>
      <c r="D1" s="180"/>
      <c r="E1" s="180"/>
      <c r="F1" s="181"/>
      <c r="G1" s="181"/>
      <c r="H1" s="181"/>
      <c r="I1" s="181"/>
      <c r="J1" s="181"/>
      <c r="K1" s="180"/>
      <c r="L1" s="181"/>
    </row>
    <row r="2" spans="1:17" ht="9" customHeight="1">
      <c r="A2" s="182"/>
      <c r="B2" s="183"/>
      <c r="C2" s="183"/>
      <c r="D2" s="184"/>
      <c r="E2" s="184"/>
      <c r="F2" s="185"/>
      <c r="G2" s="185"/>
      <c r="H2" s="185"/>
      <c r="I2" s="186"/>
      <c r="J2" s="186"/>
      <c r="K2" s="186"/>
      <c r="L2" s="186"/>
      <c r="M2" s="182"/>
      <c r="N2" s="182"/>
      <c r="O2" s="182"/>
      <c r="P2" s="182"/>
      <c r="Q2" s="182"/>
    </row>
    <row r="3" spans="1:17" ht="10.5" customHeight="1">
      <c r="B3" s="179"/>
      <c r="C3" s="179"/>
      <c r="D3" s="180"/>
      <c r="E3" s="180"/>
      <c r="F3" s="181"/>
      <c r="G3" s="181"/>
      <c r="H3" s="181"/>
      <c r="I3" s="187"/>
      <c r="J3" s="187"/>
      <c r="K3" s="187"/>
      <c r="L3" s="187"/>
    </row>
    <row r="4" spans="1:17" ht="36" customHeight="1">
      <c r="A4" s="1329" t="s">
        <v>4135</v>
      </c>
      <c r="B4" s="979"/>
      <c r="C4" s="979"/>
      <c r="D4" s="979"/>
      <c r="E4" s="979"/>
      <c r="F4" s="979"/>
      <c r="G4" s="979"/>
      <c r="H4" s="979"/>
      <c r="I4" s="979"/>
      <c r="J4" s="979"/>
      <c r="K4" s="979"/>
      <c r="L4" s="979"/>
      <c r="M4" s="979"/>
      <c r="N4" s="979"/>
      <c r="O4" s="979"/>
    </row>
    <row r="5" spans="1:17" s="188" customFormat="1" ht="46.5" customHeight="1">
      <c r="A5" s="1330" t="s">
        <v>4137</v>
      </c>
      <c r="B5" s="1213"/>
      <c r="C5" s="1213"/>
      <c r="D5" s="1213"/>
      <c r="E5" s="1213"/>
      <c r="F5" s="1213"/>
      <c r="G5" s="1213"/>
      <c r="H5" s="1213"/>
      <c r="I5" s="1213"/>
      <c r="J5" s="1213"/>
      <c r="K5" s="1213"/>
      <c r="L5" s="1213"/>
      <c r="M5" s="1213"/>
      <c r="N5" s="1213"/>
      <c r="O5" s="1213"/>
    </row>
    <row r="6" spans="1:17" ht="9" customHeight="1" thickBot="1">
      <c r="A6" s="189"/>
      <c r="B6" s="190"/>
      <c r="C6" s="190"/>
      <c r="D6" s="191"/>
      <c r="E6" s="191"/>
      <c r="F6" s="192"/>
      <c r="G6" s="192"/>
      <c r="H6" s="192"/>
      <c r="I6" s="193"/>
      <c r="J6" s="193"/>
      <c r="K6" s="193"/>
      <c r="L6" s="193"/>
      <c r="M6" s="189"/>
      <c r="N6" s="189"/>
      <c r="O6" s="189"/>
      <c r="P6" s="189"/>
      <c r="Q6" s="189"/>
    </row>
    <row r="7" spans="1:17" s="187" customFormat="1" ht="14.25">
      <c r="B7" s="194"/>
      <c r="C7" s="194"/>
      <c r="D7" s="195"/>
      <c r="E7" s="195"/>
      <c r="F7" s="195"/>
      <c r="G7" s="195"/>
      <c r="H7" s="195"/>
      <c r="I7" s="195"/>
      <c r="J7" s="195"/>
      <c r="K7" s="195"/>
      <c r="L7" s="195"/>
      <c r="M7" s="195"/>
      <c r="N7" s="195"/>
      <c r="O7" s="195"/>
      <c r="P7" s="195"/>
      <c r="Q7" s="195"/>
    </row>
    <row r="8" spans="1:17" s="187" customFormat="1">
      <c r="F8" s="1188" t="s">
        <v>3</v>
      </c>
      <c r="G8" s="1188"/>
      <c r="H8" s="1188"/>
      <c r="I8" s="1352"/>
      <c r="J8" s="178"/>
      <c r="K8" s="178"/>
      <c r="L8" s="178"/>
    </row>
    <row r="9" spans="1:17" s="187" customFormat="1" ht="14.25">
      <c r="C9" s="123"/>
      <c r="D9" s="113"/>
      <c r="F9" s="123" t="s">
        <v>210</v>
      </c>
      <c r="G9" s="113" t="s">
        <v>4138</v>
      </c>
      <c r="H9" s="196"/>
      <c r="I9" s="197"/>
      <c r="J9" s="198"/>
      <c r="L9" s="198"/>
    </row>
    <row r="10" spans="1:17" s="187" customFormat="1" ht="14.25">
      <c r="C10" s="123"/>
      <c r="D10" s="113"/>
      <c r="F10" s="123" t="s">
        <v>8</v>
      </c>
      <c r="G10" s="113" t="s">
        <v>4139</v>
      </c>
      <c r="H10" s="196"/>
      <c r="I10" s="197"/>
      <c r="J10" s="198"/>
      <c r="L10" s="198"/>
    </row>
    <row r="11" spans="1:17" s="187" customFormat="1" ht="14.25">
      <c r="C11" s="123"/>
      <c r="D11" s="113"/>
      <c r="E11" s="199"/>
      <c r="F11" s="123" t="s">
        <v>9</v>
      </c>
      <c r="G11" s="113" t="s">
        <v>4140</v>
      </c>
      <c r="H11" s="196"/>
      <c r="I11" s="197"/>
      <c r="J11" s="198"/>
      <c r="L11" s="198"/>
    </row>
    <row r="12" spans="1:17" s="187" customFormat="1" ht="14.25">
      <c r="C12" s="123"/>
      <c r="D12" s="113"/>
      <c r="F12" s="123" t="s">
        <v>10</v>
      </c>
      <c r="G12" s="113" t="s">
        <v>4141</v>
      </c>
      <c r="H12" s="196"/>
      <c r="I12" s="197"/>
      <c r="J12" s="198"/>
      <c r="L12" s="198"/>
    </row>
    <row r="13" spans="1:17" s="187" customFormat="1" ht="14.25">
      <c r="C13" s="123"/>
      <c r="D13" s="113"/>
      <c r="F13" s="123" t="s">
        <v>99</v>
      </c>
      <c r="G13" s="113" t="s">
        <v>4142</v>
      </c>
      <c r="H13" s="196"/>
      <c r="I13" s="197"/>
      <c r="J13" s="198"/>
      <c r="L13" s="198"/>
    </row>
    <row r="14" spans="1:17" s="113" customFormat="1" ht="14.25">
      <c r="C14" s="123"/>
      <c r="F14" s="123" t="s">
        <v>13</v>
      </c>
      <c r="G14" s="113" t="s">
        <v>60</v>
      </c>
      <c r="H14" s="196"/>
      <c r="I14" s="200"/>
    </row>
    <row r="15" spans="1:17" s="113" customFormat="1" ht="14.25">
      <c r="C15" s="123"/>
      <c r="F15" s="123" t="s">
        <v>16</v>
      </c>
      <c r="G15" s="113" t="s">
        <v>61</v>
      </c>
      <c r="H15" s="196"/>
      <c r="I15" s="200"/>
    </row>
    <row r="16" spans="1:17" s="187" customFormat="1" ht="14.25">
      <c r="C16" s="123"/>
      <c r="D16" s="113"/>
      <c r="F16" s="123" t="s">
        <v>220</v>
      </c>
      <c r="G16" s="113" t="s">
        <v>4143</v>
      </c>
      <c r="H16" s="196"/>
      <c r="I16" s="200"/>
      <c r="J16" s="201"/>
      <c r="L16" s="201"/>
    </row>
    <row r="17" spans="1:17" s="187" customFormat="1" ht="14.25">
      <c r="C17" s="123"/>
      <c r="D17" s="113"/>
      <c r="F17" s="123" t="s">
        <v>21</v>
      </c>
      <c r="G17" s="113" t="s">
        <v>4144</v>
      </c>
      <c r="H17" s="196"/>
      <c r="I17" s="200"/>
      <c r="J17" s="201"/>
      <c r="L17" s="201"/>
    </row>
    <row r="18" spans="1:17" s="187" customFormat="1" ht="14.25">
      <c r="C18" s="123"/>
      <c r="D18" s="202"/>
      <c r="F18" s="123" t="s">
        <v>22</v>
      </c>
      <c r="G18" s="202" t="s">
        <v>4145</v>
      </c>
      <c r="H18" s="196"/>
      <c r="I18" s="196"/>
      <c r="J18" s="201"/>
      <c r="L18" s="201"/>
    </row>
    <row r="19" spans="1:17" s="113" customFormat="1" ht="15.6" customHeight="1">
      <c r="A19" s="1188" t="s">
        <v>23</v>
      </c>
      <c r="B19" s="1188"/>
      <c r="C19" s="1188"/>
      <c r="D19" s="1188"/>
      <c r="E19" s="1188"/>
      <c r="F19" s="1188"/>
      <c r="G19" s="1188"/>
      <c r="H19" s="1188"/>
      <c r="I19" s="1188"/>
      <c r="J19" s="1188"/>
      <c r="K19" s="1188"/>
      <c r="L19" s="1188"/>
      <c r="M19" s="1188"/>
      <c r="N19" s="1188"/>
      <c r="O19" s="1188"/>
      <c r="P19" s="1188"/>
      <c r="Q19" s="1188"/>
    </row>
    <row r="20" spans="1:17" s="113" customFormat="1" ht="14.25">
      <c r="A20" s="1335" t="s">
        <v>887</v>
      </c>
      <c r="B20" s="1336"/>
      <c r="C20" s="1336"/>
      <c r="D20" s="1336"/>
      <c r="E20" s="1336"/>
      <c r="F20" s="1336"/>
      <c r="G20" s="1336"/>
      <c r="H20" s="1336"/>
      <c r="I20" s="1336"/>
      <c r="J20" s="1336"/>
      <c r="K20" s="1336"/>
      <c r="L20" s="1336"/>
      <c r="M20" s="1336"/>
      <c r="N20" s="1336"/>
      <c r="O20" s="1336"/>
      <c r="P20" s="1336"/>
      <c r="Q20" s="1336"/>
    </row>
    <row r="21" spans="1:17" s="187" customFormat="1" ht="12.75" customHeight="1">
      <c r="B21" s="203"/>
      <c r="C21" s="203"/>
      <c r="D21" s="204"/>
      <c r="E21" s="204"/>
      <c r="F21" s="205"/>
      <c r="G21" s="205"/>
      <c r="I21" s="188"/>
      <c r="J21" s="188"/>
      <c r="K21" s="188"/>
      <c r="L21" s="188"/>
    </row>
    <row r="22" spans="1:17" s="187" customFormat="1" ht="12.75" customHeight="1" thickBot="1">
      <c r="D22" s="204"/>
      <c r="E22" s="204"/>
      <c r="F22" s="205"/>
      <c r="G22" s="205"/>
      <c r="I22" s="206"/>
      <c r="J22" s="206"/>
      <c r="K22" s="206"/>
      <c r="L22" s="206"/>
    </row>
    <row r="23" spans="1:17" s="187" customFormat="1" ht="15.75" customHeight="1" thickBot="1">
      <c r="F23" s="1217" t="s">
        <v>167</v>
      </c>
      <c r="G23" s="1359"/>
      <c r="H23" s="1332" t="s">
        <v>168</v>
      </c>
      <c r="I23" s="1333"/>
      <c r="J23" s="1333"/>
      <c r="K23" s="1333"/>
      <c r="L23" s="1333"/>
      <c r="M23" s="1333"/>
      <c r="N23" s="1333"/>
      <c r="O23" s="1333"/>
      <c r="P23" s="1333"/>
      <c r="Q23" s="1334"/>
    </row>
    <row r="24" spans="1:17" s="209" customFormat="1" ht="63.75" customHeight="1" thickBot="1">
      <c r="A24" s="207" t="s">
        <v>122</v>
      </c>
      <c r="B24" s="207" t="s">
        <v>169</v>
      </c>
      <c r="C24" s="208" t="s">
        <v>170</v>
      </c>
      <c r="D24" s="208" t="s">
        <v>171</v>
      </c>
      <c r="E24" s="208" t="s">
        <v>172</v>
      </c>
      <c r="F24" s="208" t="s">
        <v>173</v>
      </c>
      <c r="G24" s="207" t="s">
        <v>174</v>
      </c>
      <c r="H24" s="208" t="s">
        <v>176</v>
      </c>
      <c r="I24" s="207" t="s">
        <v>174</v>
      </c>
      <c r="J24" s="208" t="s">
        <v>177</v>
      </c>
      <c r="K24" s="207" t="s">
        <v>174</v>
      </c>
      <c r="L24" s="208" t="s">
        <v>178</v>
      </c>
      <c r="M24" s="207" t="s">
        <v>174</v>
      </c>
      <c r="N24" s="208" t="s">
        <v>157</v>
      </c>
      <c r="O24" s="207" t="s">
        <v>174</v>
      </c>
      <c r="P24" s="208" t="s">
        <v>824</v>
      </c>
      <c r="Q24" s="207" t="s">
        <v>174</v>
      </c>
    </row>
    <row r="25" spans="1:17" s="213" customFormat="1" ht="26.25" customHeight="1" thickBot="1">
      <c r="A25" s="1345" t="s">
        <v>998</v>
      </c>
      <c r="B25" s="1347"/>
      <c r="C25" s="210" t="s">
        <v>4146</v>
      </c>
      <c r="D25" s="211" t="s">
        <v>4135</v>
      </c>
      <c r="E25" s="212">
        <v>152004</v>
      </c>
      <c r="F25" s="75">
        <f>SUM(E25:E26)*(1-51.6%)</f>
        <v>73695.292000000001</v>
      </c>
      <c r="G25" s="987">
        <f>F25*B25</f>
        <v>0</v>
      </c>
      <c r="H25" s="73">
        <f>F25*0.03137</f>
        <v>2311.8213100400003</v>
      </c>
      <c r="I25" s="987">
        <f>H25*B25</f>
        <v>0</v>
      </c>
      <c r="J25" s="73">
        <f>F25*0.0274</f>
        <v>2019.2510008000002</v>
      </c>
      <c r="K25" s="987">
        <f>J25*B25</f>
        <v>0</v>
      </c>
      <c r="L25" s="77">
        <f>F25*0.0228</f>
        <v>1680.2526576</v>
      </c>
      <c r="M25" s="987">
        <f>L25*B25</f>
        <v>0</v>
      </c>
      <c r="N25" s="77">
        <f>F25*0.0204</f>
        <v>1503.3839568000001</v>
      </c>
      <c r="O25" s="987">
        <f>N25*B25</f>
        <v>0</v>
      </c>
      <c r="P25" s="77">
        <f>F25*0.0185</f>
        <v>1363.3629019999998</v>
      </c>
      <c r="Q25" s="987">
        <f>P25*B25</f>
        <v>0</v>
      </c>
    </row>
    <row r="26" spans="1:17" s="219" customFormat="1" ht="13.5" customHeight="1" thickBot="1">
      <c r="A26" s="1346"/>
      <c r="B26" s="1348"/>
      <c r="C26" s="214" t="s">
        <v>104</v>
      </c>
      <c r="D26" s="215" t="s">
        <v>180</v>
      </c>
      <c r="E26" s="216">
        <v>259</v>
      </c>
      <c r="F26" s="217" t="s">
        <v>162</v>
      </c>
      <c r="G26" s="1349"/>
      <c r="H26" s="217" t="s">
        <v>162</v>
      </c>
      <c r="I26" s="1349"/>
      <c r="J26" s="217" t="s">
        <v>162</v>
      </c>
      <c r="K26" s="1349"/>
      <c r="L26" s="509" t="s">
        <v>162</v>
      </c>
      <c r="M26" s="1349"/>
      <c r="N26" s="509" t="s">
        <v>162</v>
      </c>
      <c r="O26" s="1356"/>
      <c r="P26" s="509" t="s">
        <v>162</v>
      </c>
      <c r="Q26" s="1356"/>
    </row>
    <row r="27" spans="1:17" s="219" customFormat="1" ht="12.6" customHeight="1" thickBot="1">
      <c r="A27" s="1337" t="s">
        <v>182</v>
      </c>
      <c r="B27" s="1338"/>
      <c r="C27" s="1338"/>
      <c r="D27" s="1338"/>
      <c r="E27" s="1338"/>
      <c r="F27" s="1338"/>
      <c r="G27" s="1338"/>
      <c r="H27" s="1338"/>
      <c r="I27" s="1338"/>
      <c r="J27" s="1338"/>
      <c r="K27" s="1338"/>
      <c r="L27" s="1338"/>
      <c r="M27" s="1338"/>
      <c r="N27" s="1338"/>
      <c r="O27" s="1338"/>
      <c r="P27" s="1338"/>
      <c r="Q27" s="1339"/>
    </row>
    <row r="28" spans="1:17" s="219" customFormat="1" ht="26.25" thickBot="1">
      <c r="A28" s="1357"/>
      <c r="B28" s="646"/>
      <c r="C28" s="747">
        <v>45162875</v>
      </c>
      <c r="D28" s="701" t="s">
        <v>762</v>
      </c>
      <c r="E28" s="748">
        <v>2940</v>
      </c>
      <c r="F28" s="18">
        <f t="shared" ref="F28:F59" si="0">E28*(1-45%)</f>
        <v>1617.0000000000002</v>
      </c>
      <c r="G28" s="81">
        <f t="shared" ref="G28:G59" si="1">F28*B28</f>
        <v>0</v>
      </c>
      <c r="H28" s="18">
        <f t="shared" ref="H28:H59" si="2">F28*0.03137</f>
        <v>50.725290000000008</v>
      </c>
      <c r="I28" s="18">
        <f t="shared" ref="I28:I59" si="3">H28*B28</f>
        <v>0</v>
      </c>
      <c r="J28" s="18">
        <f t="shared" ref="J28:J59" si="4">F28*0.0274</f>
        <v>44.305800000000005</v>
      </c>
      <c r="K28" s="18">
        <f t="shared" ref="K28:K59" si="5">J28*B28</f>
        <v>0</v>
      </c>
      <c r="L28" s="18">
        <f t="shared" ref="L28:L59" si="6">F28*0.0228</f>
        <v>36.867600000000003</v>
      </c>
      <c r="M28" s="18">
        <f t="shared" ref="M28:M59" si="7">L28*B28</f>
        <v>0</v>
      </c>
      <c r="N28" s="18">
        <f t="shared" ref="N28:N59" si="8">F28*0.0204</f>
        <v>32.986800000000009</v>
      </c>
      <c r="O28" s="18">
        <f t="shared" ref="O28:O59" si="9">N28*B28</f>
        <v>0</v>
      </c>
      <c r="P28" s="15">
        <f t="shared" ref="P28:P59" si="10">F28*0.0185</f>
        <v>29.914500000000004</v>
      </c>
      <c r="Q28" s="15">
        <f t="shared" ref="Q28:Q59" si="11">P28*B28</f>
        <v>0</v>
      </c>
    </row>
    <row r="29" spans="1:17" s="219" customFormat="1" ht="13.5" thickBot="1">
      <c r="A29" s="1358"/>
      <c r="B29" s="221"/>
      <c r="C29" s="746">
        <v>7640021191</v>
      </c>
      <c r="D29" s="225" t="s">
        <v>3887</v>
      </c>
      <c r="E29" s="224">
        <v>499</v>
      </c>
      <c r="F29" s="79">
        <f t="shared" si="0"/>
        <v>274.45000000000005</v>
      </c>
      <c r="G29" s="80">
        <f t="shared" si="1"/>
        <v>0</v>
      </c>
      <c r="H29" s="79">
        <f t="shared" si="2"/>
        <v>8.6094965000000023</v>
      </c>
      <c r="I29" s="18">
        <f t="shared" si="3"/>
        <v>0</v>
      </c>
      <c r="J29" s="18">
        <f t="shared" si="4"/>
        <v>7.5199300000000013</v>
      </c>
      <c r="K29" s="18">
        <f t="shared" si="5"/>
        <v>0</v>
      </c>
      <c r="L29" s="18">
        <f t="shared" si="6"/>
        <v>6.2574600000000009</v>
      </c>
      <c r="M29" s="18">
        <f t="shared" si="7"/>
        <v>0</v>
      </c>
      <c r="N29" s="18">
        <f t="shared" si="8"/>
        <v>5.5987800000000014</v>
      </c>
      <c r="O29" s="18">
        <f t="shared" si="9"/>
        <v>0</v>
      </c>
      <c r="P29" s="15">
        <f t="shared" si="10"/>
        <v>5.077325000000001</v>
      </c>
      <c r="Q29" s="15">
        <f t="shared" si="11"/>
        <v>0</v>
      </c>
    </row>
    <row r="30" spans="1:17" s="219" customFormat="1" ht="13.5" thickBot="1">
      <c r="A30" s="1358"/>
      <c r="B30" s="221"/>
      <c r="C30" s="744">
        <v>45219823</v>
      </c>
      <c r="D30" s="223" t="s">
        <v>4158</v>
      </c>
      <c r="E30" s="224">
        <v>450</v>
      </c>
      <c r="F30" s="13">
        <f t="shared" si="0"/>
        <v>247.50000000000003</v>
      </c>
      <c r="G30" s="16">
        <f t="shared" si="1"/>
        <v>0</v>
      </c>
      <c r="H30" s="14">
        <f t="shared" si="2"/>
        <v>7.7640750000000018</v>
      </c>
      <c r="I30" s="15">
        <f t="shared" si="3"/>
        <v>0</v>
      </c>
      <c r="J30" s="15">
        <f t="shared" si="4"/>
        <v>6.7815000000000012</v>
      </c>
      <c r="K30" s="15">
        <f t="shared" si="5"/>
        <v>0</v>
      </c>
      <c r="L30" s="15">
        <f t="shared" si="6"/>
        <v>5.6430000000000007</v>
      </c>
      <c r="M30" s="15">
        <f t="shared" si="7"/>
        <v>0</v>
      </c>
      <c r="N30" s="15">
        <f t="shared" si="8"/>
        <v>5.0490000000000013</v>
      </c>
      <c r="O30" s="15">
        <f t="shared" si="9"/>
        <v>0</v>
      </c>
      <c r="P30" s="15">
        <f t="shared" si="10"/>
        <v>4.5787500000000003</v>
      </c>
      <c r="Q30" s="15">
        <f t="shared" si="11"/>
        <v>0</v>
      </c>
    </row>
    <row r="31" spans="1:17" s="219" customFormat="1" ht="26.25" thickBot="1">
      <c r="A31" s="1358"/>
      <c r="B31" s="221"/>
      <c r="C31" s="744" t="s">
        <v>3491</v>
      </c>
      <c r="D31" s="223" t="s">
        <v>4039</v>
      </c>
      <c r="E31" s="224">
        <v>399</v>
      </c>
      <c r="F31" s="13">
        <f t="shared" si="0"/>
        <v>219.45000000000002</v>
      </c>
      <c r="G31" s="16">
        <f t="shared" si="1"/>
        <v>0</v>
      </c>
      <c r="H31" s="14">
        <f t="shared" si="2"/>
        <v>6.8841465000000008</v>
      </c>
      <c r="I31" s="15">
        <f t="shared" si="3"/>
        <v>0</v>
      </c>
      <c r="J31" s="15">
        <f t="shared" si="4"/>
        <v>6.0129300000000008</v>
      </c>
      <c r="K31" s="15">
        <f t="shared" si="5"/>
        <v>0</v>
      </c>
      <c r="L31" s="15">
        <f t="shared" si="6"/>
        <v>5.0034600000000005</v>
      </c>
      <c r="M31" s="15">
        <f t="shared" si="7"/>
        <v>0</v>
      </c>
      <c r="N31" s="15">
        <f t="shared" si="8"/>
        <v>4.4767800000000006</v>
      </c>
      <c r="O31" s="15">
        <f t="shared" si="9"/>
        <v>0</v>
      </c>
      <c r="P31" s="15">
        <f t="shared" si="10"/>
        <v>4.059825</v>
      </c>
      <c r="Q31" s="15">
        <f t="shared" si="11"/>
        <v>0</v>
      </c>
    </row>
    <row r="32" spans="1:17" s="219" customFormat="1" ht="13.5" thickBot="1">
      <c r="A32" s="1358"/>
      <c r="B32" s="221"/>
      <c r="C32" s="744" t="s">
        <v>541</v>
      </c>
      <c r="D32" s="223" t="s">
        <v>3957</v>
      </c>
      <c r="E32" s="224">
        <v>11616</v>
      </c>
      <c r="F32" s="13">
        <f t="shared" si="0"/>
        <v>6388.8</v>
      </c>
      <c r="G32" s="16">
        <f t="shared" si="1"/>
        <v>0</v>
      </c>
      <c r="H32" s="14">
        <f t="shared" si="2"/>
        <v>200.41665600000002</v>
      </c>
      <c r="I32" s="15">
        <f t="shared" si="3"/>
        <v>0</v>
      </c>
      <c r="J32" s="15">
        <f t="shared" si="4"/>
        <v>175.05312000000001</v>
      </c>
      <c r="K32" s="15">
        <f t="shared" si="5"/>
        <v>0</v>
      </c>
      <c r="L32" s="15">
        <f t="shared" si="6"/>
        <v>145.66464000000002</v>
      </c>
      <c r="M32" s="15">
        <f t="shared" si="7"/>
        <v>0</v>
      </c>
      <c r="N32" s="15">
        <f t="shared" si="8"/>
        <v>130.33152000000001</v>
      </c>
      <c r="O32" s="18">
        <f t="shared" si="9"/>
        <v>0</v>
      </c>
      <c r="P32" s="15">
        <f t="shared" si="10"/>
        <v>118.19279999999999</v>
      </c>
      <c r="Q32" s="15">
        <f t="shared" si="11"/>
        <v>0</v>
      </c>
    </row>
    <row r="33" spans="1:17" s="219" customFormat="1" ht="13.5" thickBot="1">
      <c r="A33" s="1358"/>
      <c r="B33" s="221"/>
      <c r="C33" s="237" t="s">
        <v>3743</v>
      </c>
      <c r="D33" s="235" t="s">
        <v>4171</v>
      </c>
      <c r="E33" s="231">
        <v>3693</v>
      </c>
      <c r="F33" s="79">
        <f t="shared" si="0"/>
        <v>2031.15</v>
      </c>
      <c r="G33" s="80">
        <f t="shared" si="1"/>
        <v>0</v>
      </c>
      <c r="H33" s="79">
        <f t="shared" si="2"/>
        <v>63.71717550000001</v>
      </c>
      <c r="I33" s="18">
        <f t="shared" si="3"/>
        <v>0</v>
      </c>
      <c r="J33" s="18">
        <f t="shared" si="4"/>
        <v>55.653510000000004</v>
      </c>
      <c r="K33" s="18">
        <f t="shared" si="5"/>
        <v>0</v>
      </c>
      <c r="L33" s="18">
        <f t="shared" si="6"/>
        <v>46.310220000000001</v>
      </c>
      <c r="M33" s="18">
        <f t="shared" si="7"/>
        <v>0</v>
      </c>
      <c r="N33" s="18">
        <f t="shared" si="8"/>
        <v>41.435460000000006</v>
      </c>
      <c r="O33" s="18">
        <f t="shared" si="9"/>
        <v>0</v>
      </c>
      <c r="P33" s="15">
        <f t="shared" si="10"/>
        <v>37.576275000000003</v>
      </c>
      <c r="Q33" s="15">
        <f t="shared" si="11"/>
        <v>0</v>
      </c>
    </row>
    <row r="34" spans="1:17" s="219" customFormat="1" ht="13.5" thickBot="1">
      <c r="A34" s="1358"/>
      <c r="B34" s="221"/>
      <c r="C34" s="746" t="s">
        <v>3902</v>
      </c>
      <c r="D34" s="225" t="s">
        <v>4172</v>
      </c>
      <c r="E34" s="224">
        <v>3080</v>
      </c>
      <c r="F34" s="79">
        <f t="shared" si="0"/>
        <v>1694.0000000000002</v>
      </c>
      <c r="G34" s="80">
        <f t="shared" si="1"/>
        <v>0</v>
      </c>
      <c r="H34" s="79">
        <f t="shared" si="2"/>
        <v>53.140780000000014</v>
      </c>
      <c r="I34" s="18">
        <f t="shared" si="3"/>
        <v>0</v>
      </c>
      <c r="J34" s="18">
        <f t="shared" si="4"/>
        <v>46.415600000000005</v>
      </c>
      <c r="K34" s="18">
        <f t="shared" si="5"/>
        <v>0</v>
      </c>
      <c r="L34" s="18">
        <f t="shared" si="6"/>
        <v>38.623200000000004</v>
      </c>
      <c r="M34" s="18">
        <f t="shared" si="7"/>
        <v>0</v>
      </c>
      <c r="N34" s="18">
        <f t="shared" si="8"/>
        <v>34.557600000000008</v>
      </c>
      <c r="O34" s="18">
        <f t="shared" si="9"/>
        <v>0</v>
      </c>
      <c r="P34" s="15">
        <f t="shared" si="10"/>
        <v>31.339000000000002</v>
      </c>
      <c r="Q34" s="15">
        <f t="shared" si="11"/>
        <v>0</v>
      </c>
    </row>
    <row r="35" spans="1:17" s="219" customFormat="1" ht="26.25" thickBot="1">
      <c r="A35" s="1358"/>
      <c r="B35" s="221"/>
      <c r="C35" s="744" t="s">
        <v>4149</v>
      </c>
      <c r="D35" s="225" t="s">
        <v>4150</v>
      </c>
      <c r="E35" s="224">
        <v>1450</v>
      </c>
      <c r="F35" s="13">
        <f t="shared" si="0"/>
        <v>797.50000000000011</v>
      </c>
      <c r="G35" s="17">
        <f t="shared" si="1"/>
        <v>0</v>
      </c>
      <c r="H35" s="15">
        <f t="shared" si="2"/>
        <v>25.017575000000004</v>
      </c>
      <c r="I35" s="15">
        <f t="shared" si="3"/>
        <v>0</v>
      </c>
      <c r="J35" s="15">
        <f t="shared" si="4"/>
        <v>21.851500000000005</v>
      </c>
      <c r="K35" s="15">
        <f t="shared" si="5"/>
        <v>0</v>
      </c>
      <c r="L35" s="15">
        <f t="shared" si="6"/>
        <v>18.183000000000003</v>
      </c>
      <c r="M35" s="15">
        <f t="shared" si="7"/>
        <v>0</v>
      </c>
      <c r="N35" s="15">
        <f t="shared" si="8"/>
        <v>16.269000000000002</v>
      </c>
      <c r="O35" s="15">
        <f t="shared" si="9"/>
        <v>0</v>
      </c>
      <c r="P35" s="15">
        <f t="shared" si="10"/>
        <v>14.753750000000002</v>
      </c>
      <c r="Q35" s="15">
        <f t="shared" si="11"/>
        <v>0</v>
      </c>
    </row>
    <row r="36" spans="1:17" s="219" customFormat="1" ht="26.25" thickBot="1">
      <c r="A36" s="1358"/>
      <c r="B36" s="221"/>
      <c r="C36" s="744" t="s">
        <v>4147</v>
      </c>
      <c r="D36" s="223" t="s">
        <v>4148</v>
      </c>
      <c r="E36" s="224">
        <v>345</v>
      </c>
      <c r="F36" s="13">
        <f t="shared" si="0"/>
        <v>189.75000000000003</v>
      </c>
      <c r="G36" s="16">
        <f t="shared" si="1"/>
        <v>0</v>
      </c>
      <c r="H36" s="14">
        <f t="shared" si="2"/>
        <v>5.9524575000000013</v>
      </c>
      <c r="I36" s="15">
        <f t="shared" si="3"/>
        <v>0</v>
      </c>
      <c r="J36" s="15">
        <f t="shared" si="4"/>
        <v>5.1991500000000013</v>
      </c>
      <c r="K36" s="15">
        <f t="shared" si="5"/>
        <v>0</v>
      </c>
      <c r="L36" s="15">
        <f t="shared" si="6"/>
        <v>4.3263000000000007</v>
      </c>
      <c r="M36" s="15">
        <f t="shared" si="7"/>
        <v>0</v>
      </c>
      <c r="N36" s="15">
        <f t="shared" si="8"/>
        <v>3.8709000000000007</v>
      </c>
      <c r="O36" s="15">
        <f t="shared" si="9"/>
        <v>0</v>
      </c>
      <c r="P36" s="15">
        <f t="shared" si="10"/>
        <v>3.5103750000000002</v>
      </c>
      <c r="Q36" s="15">
        <f t="shared" si="11"/>
        <v>0</v>
      </c>
    </row>
    <row r="37" spans="1:17" s="244" customFormat="1" ht="13.5" thickBot="1">
      <c r="A37" s="1358"/>
      <c r="B37" s="229"/>
      <c r="C37" s="237">
        <v>7714914</v>
      </c>
      <c r="D37" s="235" t="s">
        <v>3929</v>
      </c>
      <c r="E37" s="231">
        <v>3501.91</v>
      </c>
      <c r="F37" s="79">
        <f t="shared" si="0"/>
        <v>1926.0505000000001</v>
      </c>
      <c r="G37" s="80">
        <f t="shared" si="1"/>
        <v>0</v>
      </c>
      <c r="H37" s="79">
        <f t="shared" si="2"/>
        <v>60.420204185000003</v>
      </c>
      <c r="I37" s="18">
        <f t="shared" si="3"/>
        <v>0</v>
      </c>
      <c r="J37" s="18">
        <f t="shared" si="4"/>
        <v>52.773783700000003</v>
      </c>
      <c r="K37" s="18">
        <f t="shared" si="5"/>
        <v>0</v>
      </c>
      <c r="L37" s="18">
        <f t="shared" si="6"/>
        <v>43.913951400000002</v>
      </c>
      <c r="M37" s="18">
        <f t="shared" si="7"/>
        <v>0</v>
      </c>
      <c r="N37" s="18">
        <f t="shared" si="8"/>
        <v>39.291430200000001</v>
      </c>
      <c r="O37" s="18">
        <f t="shared" si="9"/>
        <v>0</v>
      </c>
      <c r="P37" s="15">
        <f t="shared" si="10"/>
        <v>35.63193425</v>
      </c>
      <c r="Q37" s="15">
        <f t="shared" si="11"/>
        <v>0</v>
      </c>
    </row>
    <row r="38" spans="1:17" s="244" customFormat="1" ht="13.5" thickBot="1">
      <c r="A38" s="1358"/>
      <c r="B38" s="229"/>
      <c r="C38" s="744">
        <v>7714901</v>
      </c>
      <c r="D38" s="223" t="s">
        <v>3919</v>
      </c>
      <c r="E38" s="224">
        <v>1580.85</v>
      </c>
      <c r="F38" s="13">
        <f t="shared" si="0"/>
        <v>869.46749999999997</v>
      </c>
      <c r="G38" s="16">
        <f t="shared" si="1"/>
        <v>0</v>
      </c>
      <c r="H38" s="14">
        <f t="shared" si="2"/>
        <v>27.275195475</v>
      </c>
      <c r="I38" s="15">
        <f t="shared" si="3"/>
        <v>0</v>
      </c>
      <c r="J38" s="15">
        <f t="shared" si="4"/>
        <v>23.8234095</v>
      </c>
      <c r="K38" s="15">
        <f t="shared" si="5"/>
        <v>0</v>
      </c>
      <c r="L38" s="15">
        <f t="shared" si="6"/>
        <v>19.823858999999999</v>
      </c>
      <c r="M38" s="15">
        <f t="shared" si="7"/>
        <v>0</v>
      </c>
      <c r="N38" s="15">
        <f t="shared" si="8"/>
        <v>17.737137000000001</v>
      </c>
      <c r="O38" s="15">
        <f t="shared" si="9"/>
        <v>0</v>
      </c>
      <c r="P38" s="15">
        <f t="shared" si="10"/>
        <v>16.085148749999998</v>
      </c>
      <c r="Q38" s="15">
        <f t="shared" si="11"/>
        <v>0</v>
      </c>
    </row>
    <row r="39" spans="1:17" s="219" customFormat="1" ht="13.5" thickBot="1">
      <c r="A39" s="1358"/>
      <c r="B39" s="221"/>
      <c r="C39" s="237">
        <v>7714917</v>
      </c>
      <c r="D39" s="235" t="s">
        <v>3932</v>
      </c>
      <c r="E39" s="231">
        <v>4502.47</v>
      </c>
      <c r="F39" s="79">
        <f t="shared" si="0"/>
        <v>2476.3585000000003</v>
      </c>
      <c r="G39" s="80">
        <f t="shared" si="1"/>
        <v>0</v>
      </c>
      <c r="H39" s="79">
        <f t="shared" si="2"/>
        <v>77.683366145000008</v>
      </c>
      <c r="I39" s="18">
        <f t="shared" si="3"/>
        <v>0</v>
      </c>
      <c r="J39" s="18">
        <f t="shared" si="4"/>
        <v>67.852222900000015</v>
      </c>
      <c r="K39" s="18">
        <f t="shared" si="5"/>
        <v>0</v>
      </c>
      <c r="L39" s="18">
        <f t="shared" si="6"/>
        <v>56.460973800000005</v>
      </c>
      <c r="M39" s="18">
        <f t="shared" si="7"/>
        <v>0</v>
      </c>
      <c r="N39" s="18">
        <f t="shared" si="8"/>
        <v>50.517713400000012</v>
      </c>
      <c r="O39" s="18">
        <f t="shared" si="9"/>
        <v>0</v>
      </c>
      <c r="P39" s="15">
        <f t="shared" si="10"/>
        <v>45.81263225</v>
      </c>
      <c r="Q39" s="15">
        <f t="shared" si="11"/>
        <v>0</v>
      </c>
    </row>
    <row r="40" spans="1:17" s="219" customFormat="1" ht="13.5" thickBot="1">
      <c r="A40" s="1358"/>
      <c r="B40" s="221"/>
      <c r="C40" s="746">
        <v>7714911</v>
      </c>
      <c r="D40" s="225" t="s">
        <v>3926</v>
      </c>
      <c r="E40" s="231">
        <v>1380.76</v>
      </c>
      <c r="F40" s="79">
        <f t="shared" si="0"/>
        <v>759.41800000000001</v>
      </c>
      <c r="G40" s="80">
        <f t="shared" si="1"/>
        <v>0</v>
      </c>
      <c r="H40" s="79">
        <f t="shared" si="2"/>
        <v>23.822942660000002</v>
      </c>
      <c r="I40" s="18">
        <f t="shared" si="3"/>
        <v>0</v>
      </c>
      <c r="J40" s="18">
        <f t="shared" si="4"/>
        <v>20.8080532</v>
      </c>
      <c r="K40" s="18">
        <f t="shared" si="5"/>
        <v>0</v>
      </c>
      <c r="L40" s="18">
        <f t="shared" si="6"/>
        <v>17.314730400000002</v>
      </c>
      <c r="M40" s="18">
        <f t="shared" si="7"/>
        <v>0</v>
      </c>
      <c r="N40" s="18">
        <f t="shared" si="8"/>
        <v>15.492127200000001</v>
      </c>
      <c r="O40" s="18">
        <f t="shared" si="9"/>
        <v>0</v>
      </c>
      <c r="P40" s="15">
        <f t="shared" si="10"/>
        <v>14.049232999999999</v>
      </c>
      <c r="Q40" s="15">
        <f t="shared" si="11"/>
        <v>0</v>
      </c>
    </row>
    <row r="41" spans="1:17" s="219" customFormat="1" ht="13.5" thickBot="1">
      <c r="A41" s="1358"/>
      <c r="B41" s="221"/>
      <c r="C41" s="744">
        <v>7714902</v>
      </c>
      <c r="D41" s="225" t="s">
        <v>3920</v>
      </c>
      <c r="E41" s="224">
        <v>1580.85</v>
      </c>
      <c r="F41" s="13">
        <f t="shared" si="0"/>
        <v>869.46749999999997</v>
      </c>
      <c r="G41" s="16">
        <f t="shared" si="1"/>
        <v>0</v>
      </c>
      <c r="H41" s="14">
        <f t="shared" si="2"/>
        <v>27.275195475</v>
      </c>
      <c r="I41" s="15">
        <f t="shared" si="3"/>
        <v>0</v>
      </c>
      <c r="J41" s="15">
        <f t="shared" si="4"/>
        <v>23.8234095</v>
      </c>
      <c r="K41" s="15">
        <f t="shared" si="5"/>
        <v>0</v>
      </c>
      <c r="L41" s="15">
        <f t="shared" si="6"/>
        <v>19.823858999999999</v>
      </c>
      <c r="M41" s="15">
        <f t="shared" si="7"/>
        <v>0</v>
      </c>
      <c r="N41" s="15">
        <f t="shared" si="8"/>
        <v>17.737137000000001</v>
      </c>
      <c r="O41" s="15">
        <f t="shared" si="9"/>
        <v>0</v>
      </c>
      <c r="P41" s="15">
        <f t="shared" si="10"/>
        <v>16.085148749999998</v>
      </c>
      <c r="Q41" s="15">
        <f t="shared" si="11"/>
        <v>0</v>
      </c>
    </row>
    <row r="42" spans="1:17" s="219" customFormat="1" ht="13.5" thickBot="1">
      <c r="A42" s="1358"/>
      <c r="B42" s="221"/>
      <c r="C42" s="746">
        <v>7714912</v>
      </c>
      <c r="D42" s="225" t="s">
        <v>3927</v>
      </c>
      <c r="E42" s="224">
        <v>1500.81</v>
      </c>
      <c r="F42" s="79">
        <f t="shared" si="0"/>
        <v>825.44550000000004</v>
      </c>
      <c r="G42" s="80">
        <f t="shared" si="1"/>
        <v>0</v>
      </c>
      <c r="H42" s="79">
        <f t="shared" si="2"/>
        <v>25.894225335000002</v>
      </c>
      <c r="I42" s="18">
        <f t="shared" si="3"/>
        <v>0</v>
      </c>
      <c r="J42" s="18">
        <f t="shared" si="4"/>
        <v>22.617206700000001</v>
      </c>
      <c r="K42" s="18">
        <f t="shared" si="5"/>
        <v>0</v>
      </c>
      <c r="L42" s="18">
        <f t="shared" si="6"/>
        <v>18.820157400000003</v>
      </c>
      <c r="M42" s="18">
        <f t="shared" si="7"/>
        <v>0</v>
      </c>
      <c r="N42" s="18">
        <f t="shared" si="8"/>
        <v>16.839088200000003</v>
      </c>
      <c r="O42" s="18">
        <f t="shared" si="9"/>
        <v>0</v>
      </c>
      <c r="P42" s="15">
        <f t="shared" si="10"/>
        <v>15.270741749999999</v>
      </c>
      <c r="Q42" s="15">
        <f t="shared" si="11"/>
        <v>0</v>
      </c>
    </row>
    <row r="43" spans="1:17" s="219" customFormat="1" ht="13.5" thickBot="1">
      <c r="A43" s="1358"/>
      <c r="B43" s="221"/>
      <c r="C43" s="744">
        <v>7714903</v>
      </c>
      <c r="D43" s="225" t="s">
        <v>3921</v>
      </c>
      <c r="E43" s="224">
        <v>1580.85</v>
      </c>
      <c r="F43" s="13">
        <f t="shared" si="0"/>
        <v>869.46749999999997</v>
      </c>
      <c r="G43" s="16">
        <f t="shared" si="1"/>
        <v>0</v>
      </c>
      <c r="H43" s="14">
        <f t="shared" si="2"/>
        <v>27.275195475</v>
      </c>
      <c r="I43" s="15">
        <f t="shared" si="3"/>
        <v>0</v>
      </c>
      <c r="J43" s="15">
        <f t="shared" si="4"/>
        <v>23.8234095</v>
      </c>
      <c r="K43" s="15">
        <f t="shared" si="5"/>
        <v>0</v>
      </c>
      <c r="L43" s="15">
        <f t="shared" si="6"/>
        <v>19.823858999999999</v>
      </c>
      <c r="M43" s="15">
        <f t="shared" si="7"/>
        <v>0</v>
      </c>
      <c r="N43" s="15">
        <f t="shared" si="8"/>
        <v>17.737137000000001</v>
      </c>
      <c r="O43" s="15">
        <f t="shared" si="9"/>
        <v>0</v>
      </c>
      <c r="P43" s="15">
        <f t="shared" si="10"/>
        <v>16.085148749999998</v>
      </c>
      <c r="Q43" s="15">
        <f t="shared" si="11"/>
        <v>0</v>
      </c>
    </row>
    <row r="44" spans="1:17" s="219" customFormat="1" ht="13.5" thickBot="1">
      <c r="A44" s="1358"/>
      <c r="B44" s="221"/>
      <c r="C44" s="746">
        <v>7714913</v>
      </c>
      <c r="D44" s="225" t="s">
        <v>3928</v>
      </c>
      <c r="E44" s="224">
        <v>1500.81</v>
      </c>
      <c r="F44" s="79">
        <f t="shared" si="0"/>
        <v>825.44550000000004</v>
      </c>
      <c r="G44" s="80">
        <f t="shared" si="1"/>
        <v>0</v>
      </c>
      <c r="H44" s="79">
        <f t="shared" si="2"/>
        <v>25.894225335000002</v>
      </c>
      <c r="I44" s="18">
        <f t="shared" si="3"/>
        <v>0</v>
      </c>
      <c r="J44" s="18">
        <f t="shared" si="4"/>
        <v>22.617206700000001</v>
      </c>
      <c r="K44" s="18">
        <f t="shared" si="5"/>
        <v>0</v>
      </c>
      <c r="L44" s="18">
        <f t="shared" si="6"/>
        <v>18.820157400000003</v>
      </c>
      <c r="M44" s="18">
        <f t="shared" si="7"/>
        <v>0</v>
      </c>
      <c r="N44" s="18">
        <f t="shared" si="8"/>
        <v>16.839088200000003</v>
      </c>
      <c r="O44" s="18">
        <f t="shared" si="9"/>
        <v>0</v>
      </c>
      <c r="P44" s="15">
        <f t="shared" si="10"/>
        <v>15.270741749999999</v>
      </c>
      <c r="Q44" s="15">
        <f t="shared" si="11"/>
        <v>0</v>
      </c>
    </row>
    <row r="45" spans="1:17" s="219" customFormat="1" ht="13.5" thickBot="1">
      <c r="A45" s="1358"/>
      <c r="B45" s="221"/>
      <c r="C45" s="746">
        <v>7714906</v>
      </c>
      <c r="D45" s="225" t="s">
        <v>3924</v>
      </c>
      <c r="E45" s="231">
        <v>1500.81</v>
      </c>
      <c r="F45" s="79">
        <f t="shared" si="0"/>
        <v>825.44550000000004</v>
      </c>
      <c r="G45" s="81">
        <f t="shared" si="1"/>
        <v>0</v>
      </c>
      <c r="H45" s="18">
        <f t="shared" si="2"/>
        <v>25.894225335000002</v>
      </c>
      <c r="I45" s="18">
        <f t="shared" si="3"/>
        <v>0</v>
      </c>
      <c r="J45" s="18">
        <f t="shared" si="4"/>
        <v>22.617206700000001</v>
      </c>
      <c r="K45" s="18">
        <f t="shared" si="5"/>
        <v>0</v>
      </c>
      <c r="L45" s="18">
        <f t="shared" si="6"/>
        <v>18.820157400000003</v>
      </c>
      <c r="M45" s="18">
        <f t="shared" si="7"/>
        <v>0</v>
      </c>
      <c r="N45" s="18">
        <f t="shared" si="8"/>
        <v>16.839088200000003</v>
      </c>
      <c r="O45" s="18">
        <f t="shared" si="9"/>
        <v>0</v>
      </c>
      <c r="P45" s="15">
        <f t="shared" si="10"/>
        <v>15.270741749999999</v>
      </c>
      <c r="Q45" s="15">
        <f t="shared" si="11"/>
        <v>0</v>
      </c>
    </row>
    <row r="46" spans="1:17" s="219" customFormat="1" ht="13.5" thickBot="1">
      <c r="A46" s="1358"/>
      <c r="B46" s="221"/>
      <c r="C46" s="745">
        <v>7714904</v>
      </c>
      <c r="D46" s="227" t="s">
        <v>3922</v>
      </c>
      <c r="E46" s="228">
        <v>1500.81</v>
      </c>
      <c r="F46" s="13">
        <f t="shared" si="0"/>
        <v>825.44550000000004</v>
      </c>
      <c r="G46" s="16">
        <f t="shared" si="1"/>
        <v>0</v>
      </c>
      <c r="H46" s="14">
        <f t="shared" si="2"/>
        <v>25.894225335000002</v>
      </c>
      <c r="I46" s="15">
        <f t="shared" si="3"/>
        <v>0</v>
      </c>
      <c r="J46" s="15">
        <f t="shared" si="4"/>
        <v>22.617206700000001</v>
      </c>
      <c r="K46" s="15">
        <f t="shared" si="5"/>
        <v>0</v>
      </c>
      <c r="L46" s="15">
        <f t="shared" si="6"/>
        <v>18.820157400000003</v>
      </c>
      <c r="M46" s="15">
        <f t="shared" si="7"/>
        <v>0</v>
      </c>
      <c r="N46" s="15">
        <f t="shared" si="8"/>
        <v>16.839088200000003</v>
      </c>
      <c r="O46" s="15">
        <f t="shared" si="9"/>
        <v>0</v>
      </c>
      <c r="P46" s="15">
        <f t="shared" si="10"/>
        <v>15.270741749999999</v>
      </c>
      <c r="Q46" s="15">
        <f t="shared" si="11"/>
        <v>0</v>
      </c>
    </row>
    <row r="47" spans="1:17" s="244" customFormat="1" ht="13.5" thickBot="1">
      <c r="A47" s="1358"/>
      <c r="B47" s="229"/>
      <c r="C47" s="237">
        <v>7714918</v>
      </c>
      <c r="D47" s="235" t="s">
        <v>3933</v>
      </c>
      <c r="E47" s="231">
        <v>2601.41</v>
      </c>
      <c r="F47" s="79">
        <f t="shared" si="0"/>
        <v>1430.7755</v>
      </c>
      <c r="G47" s="80">
        <f t="shared" si="1"/>
        <v>0</v>
      </c>
      <c r="H47" s="79">
        <f t="shared" si="2"/>
        <v>44.883427435000002</v>
      </c>
      <c r="I47" s="18">
        <f t="shared" si="3"/>
        <v>0</v>
      </c>
      <c r="J47" s="18">
        <f t="shared" si="4"/>
        <v>39.203248700000003</v>
      </c>
      <c r="K47" s="18">
        <f t="shared" si="5"/>
        <v>0</v>
      </c>
      <c r="L47" s="18">
        <f t="shared" si="6"/>
        <v>32.6216814</v>
      </c>
      <c r="M47" s="18">
        <f t="shared" si="7"/>
        <v>0</v>
      </c>
      <c r="N47" s="18">
        <f t="shared" si="8"/>
        <v>29.187820200000001</v>
      </c>
      <c r="O47" s="18">
        <f t="shared" si="9"/>
        <v>0</v>
      </c>
      <c r="P47" s="15">
        <f t="shared" si="10"/>
        <v>26.46934675</v>
      </c>
      <c r="Q47" s="15">
        <f t="shared" si="11"/>
        <v>0</v>
      </c>
    </row>
    <row r="48" spans="1:17" s="244" customFormat="1" ht="13.5" thickBot="1">
      <c r="A48" s="1358"/>
      <c r="B48" s="229"/>
      <c r="C48" s="744">
        <v>7714905</v>
      </c>
      <c r="D48" s="223" t="s">
        <v>3923</v>
      </c>
      <c r="E48" s="224">
        <v>1500.81</v>
      </c>
      <c r="F48" s="13">
        <f t="shared" si="0"/>
        <v>825.44550000000004</v>
      </c>
      <c r="G48" s="16">
        <f t="shared" si="1"/>
        <v>0</v>
      </c>
      <c r="H48" s="14">
        <f t="shared" si="2"/>
        <v>25.894225335000002</v>
      </c>
      <c r="I48" s="15">
        <f t="shared" si="3"/>
        <v>0</v>
      </c>
      <c r="J48" s="15">
        <f t="shared" si="4"/>
        <v>22.617206700000001</v>
      </c>
      <c r="K48" s="15">
        <f t="shared" si="5"/>
        <v>0</v>
      </c>
      <c r="L48" s="15">
        <f t="shared" si="6"/>
        <v>18.820157400000003</v>
      </c>
      <c r="M48" s="15">
        <f t="shared" si="7"/>
        <v>0</v>
      </c>
      <c r="N48" s="15">
        <f t="shared" si="8"/>
        <v>16.839088200000003</v>
      </c>
      <c r="O48" s="18">
        <f t="shared" si="9"/>
        <v>0</v>
      </c>
      <c r="P48" s="15">
        <f t="shared" si="10"/>
        <v>15.270741749999999</v>
      </c>
      <c r="Q48" s="15">
        <f t="shared" si="11"/>
        <v>0</v>
      </c>
    </row>
    <row r="49" spans="1:17" s="244" customFormat="1" ht="13.5" thickBot="1">
      <c r="A49" s="1358"/>
      <c r="B49" s="229"/>
      <c r="C49" s="237">
        <v>7714919</v>
      </c>
      <c r="D49" s="235" t="s">
        <v>3934</v>
      </c>
      <c r="E49" s="231">
        <v>5002.74</v>
      </c>
      <c r="F49" s="79">
        <f t="shared" si="0"/>
        <v>2751.5070000000001</v>
      </c>
      <c r="G49" s="80">
        <f t="shared" si="1"/>
        <v>0</v>
      </c>
      <c r="H49" s="79">
        <f t="shared" si="2"/>
        <v>86.314774590000013</v>
      </c>
      <c r="I49" s="18">
        <f t="shared" si="3"/>
        <v>0</v>
      </c>
      <c r="J49" s="18">
        <f t="shared" si="4"/>
        <v>75.391291800000005</v>
      </c>
      <c r="K49" s="18">
        <f t="shared" si="5"/>
        <v>0</v>
      </c>
      <c r="L49" s="18">
        <f t="shared" si="6"/>
        <v>62.734359600000005</v>
      </c>
      <c r="M49" s="18">
        <f t="shared" si="7"/>
        <v>0</v>
      </c>
      <c r="N49" s="18">
        <f t="shared" si="8"/>
        <v>56.130742800000007</v>
      </c>
      <c r="O49" s="18">
        <f t="shared" si="9"/>
        <v>0</v>
      </c>
      <c r="P49" s="15">
        <f t="shared" si="10"/>
        <v>50.902879499999997</v>
      </c>
      <c r="Q49" s="15">
        <f t="shared" si="11"/>
        <v>0</v>
      </c>
    </row>
    <row r="50" spans="1:17" s="244" customFormat="1" ht="13.5" thickBot="1">
      <c r="A50" s="1358"/>
      <c r="B50" s="229"/>
      <c r="C50" s="237">
        <v>7714915</v>
      </c>
      <c r="D50" s="235" t="s">
        <v>3930</v>
      </c>
      <c r="E50" s="231">
        <v>1600.87</v>
      </c>
      <c r="F50" s="79">
        <f t="shared" si="0"/>
        <v>880.47850000000005</v>
      </c>
      <c r="G50" s="80">
        <f t="shared" si="1"/>
        <v>0</v>
      </c>
      <c r="H50" s="79">
        <f t="shared" si="2"/>
        <v>27.620610545000005</v>
      </c>
      <c r="I50" s="18">
        <f t="shared" si="3"/>
        <v>0</v>
      </c>
      <c r="J50" s="18">
        <f t="shared" si="4"/>
        <v>24.125110900000003</v>
      </c>
      <c r="K50" s="18">
        <f t="shared" si="5"/>
        <v>0</v>
      </c>
      <c r="L50" s="18">
        <f t="shared" si="6"/>
        <v>20.0749098</v>
      </c>
      <c r="M50" s="18">
        <f t="shared" si="7"/>
        <v>0</v>
      </c>
      <c r="N50" s="18">
        <f t="shared" si="8"/>
        <v>17.961761400000004</v>
      </c>
      <c r="O50" s="18">
        <f t="shared" si="9"/>
        <v>0</v>
      </c>
      <c r="P50" s="15">
        <f t="shared" si="10"/>
        <v>16.288852250000001</v>
      </c>
      <c r="Q50" s="15">
        <f t="shared" si="11"/>
        <v>0</v>
      </c>
    </row>
    <row r="51" spans="1:17" s="244" customFormat="1" ht="13.5" thickBot="1">
      <c r="A51" s="1358"/>
      <c r="B51" s="229"/>
      <c r="C51" s="237">
        <v>7714916</v>
      </c>
      <c r="D51" s="235" t="s">
        <v>3931</v>
      </c>
      <c r="E51" s="231">
        <v>1600.87</v>
      </c>
      <c r="F51" s="79">
        <f t="shared" si="0"/>
        <v>880.47850000000005</v>
      </c>
      <c r="G51" s="80">
        <f t="shared" si="1"/>
        <v>0</v>
      </c>
      <c r="H51" s="79">
        <f t="shared" si="2"/>
        <v>27.620610545000005</v>
      </c>
      <c r="I51" s="18">
        <f t="shared" si="3"/>
        <v>0</v>
      </c>
      <c r="J51" s="18">
        <f t="shared" si="4"/>
        <v>24.125110900000003</v>
      </c>
      <c r="K51" s="18">
        <f t="shared" si="5"/>
        <v>0</v>
      </c>
      <c r="L51" s="18">
        <f t="shared" si="6"/>
        <v>20.0749098</v>
      </c>
      <c r="M51" s="18">
        <f t="shared" si="7"/>
        <v>0</v>
      </c>
      <c r="N51" s="18">
        <f t="shared" si="8"/>
        <v>17.961761400000004</v>
      </c>
      <c r="O51" s="18">
        <f t="shared" si="9"/>
        <v>0</v>
      </c>
      <c r="P51" s="15">
        <f t="shared" si="10"/>
        <v>16.288852250000001</v>
      </c>
      <c r="Q51" s="15">
        <f t="shared" si="11"/>
        <v>0</v>
      </c>
    </row>
    <row r="52" spans="1:17" s="244" customFormat="1" ht="13.5" thickBot="1">
      <c r="A52" s="1358"/>
      <c r="B52" s="229"/>
      <c r="C52" s="746" t="s">
        <v>4127</v>
      </c>
      <c r="D52" s="225" t="s">
        <v>4179</v>
      </c>
      <c r="E52" s="224">
        <v>4038.83</v>
      </c>
      <c r="F52" s="79">
        <f t="shared" si="0"/>
        <v>2221.3565000000003</v>
      </c>
      <c r="G52" s="81">
        <f t="shared" si="1"/>
        <v>0</v>
      </c>
      <c r="H52" s="18">
        <f t="shared" si="2"/>
        <v>69.683953405000011</v>
      </c>
      <c r="I52" s="18">
        <f t="shared" si="3"/>
        <v>0</v>
      </c>
      <c r="J52" s="18">
        <f t="shared" si="4"/>
        <v>60.865168100000012</v>
      </c>
      <c r="K52" s="18">
        <f t="shared" si="5"/>
        <v>0</v>
      </c>
      <c r="L52" s="18">
        <f t="shared" si="6"/>
        <v>50.646928200000012</v>
      </c>
      <c r="M52" s="18">
        <f t="shared" si="7"/>
        <v>0</v>
      </c>
      <c r="N52" s="18">
        <f t="shared" si="8"/>
        <v>45.315672600000013</v>
      </c>
      <c r="O52" s="18">
        <f t="shared" si="9"/>
        <v>0</v>
      </c>
      <c r="P52" s="15">
        <f t="shared" si="10"/>
        <v>41.095095250000007</v>
      </c>
      <c r="Q52" s="15">
        <f t="shared" si="11"/>
        <v>0</v>
      </c>
    </row>
    <row r="53" spans="1:17" s="244" customFormat="1" ht="13.5" thickBot="1">
      <c r="A53" s="1358"/>
      <c r="B53" s="229"/>
      <c r="C53" s="746" t="s">
        <v>4129</v>
      </c>
      <c r="D53" s="225" t="s">
        <v>4181</v>
      </c>
      <c r="E53" s="224">
        <v>3583.13</v>
      </c>
      <c r="F53" s="79">
        <f t="shared" si="0"/>
        <v>1970.7215000000001</v>
      </c>
      <c r="G53" s="81">
        <f t="shared" si="1"/>
        <v>0</v>
      </c>
      <c r="H53" s="18">
        <f t="shared" si="2"/>
        <v>61.821533455000008</v>
      </c>
      <c r="I53" s="18">
        <f t="shared" si="3"/>
        <v>0</v>
      </c>
      <c r="J53" s="18">
        <f t="shared" si="4"/>
        <v>53.997769100000006</v>
      </c>
      <c r="K53" s="18">
        <f t="shared" si="5"/>
        <v>0</v>
      </c>
      <c r="L53" s="18">
        <f t="shared" si="6"/>
        <v>44.932450200000005</v>
      </c>
      <c r="M53" s="18">
        <f t="shared" si="7"/>
        <v>0</v>
      </c>
      <c r="N53" s="18">
        <f t="shared" si="8"/>
        <v>40.202718600000004</v>
      </c>
      <c r="O53" s="18">
        <f t="shared" si="9"/>
        <v>0</v>
      </c>
      <c r="P53" s="15">
        <f t="shared" si="10"/>
        <v>36.458347750000001</v>
      </c>
      <c r="Q53" s="15">
        <f t="shared" si="11"/>
        <v>0</v>
      </c>
    </row>
    <row r="54" spans="1:17" s="244" customFormat="1" ht="13.5" thickBot="1">
      <c r="A54" s="1358"/>
      <c r="B54" s="229"/>
      <c r="C54" s="746" t="s">
        <v>4128</v>
      </c>
      <c r="D54" s="225" t="s">
        <v>4180</v>
      </c>
      <c r="E54" s="224">
        <v>3583.13</v>
      </c>
      <c r="F54" s="79">
        <f t="shared" si="0"/>
        <v>1970.7215000000001</v>
      </c>
      <c r="G54" s="81">
        <f t="shared" si="1"/>
        <v>0</v>
      </c>
      <c r="H54" s="18">
        <f t="shared" si="2"/>
        <v>61.821533455000008</v>
      </c>
      <c r="I54" s="18">
        <f t="shared" si="3"/>
        <v>0</v>
      </c>
      <c r="J54" s="18">
        <f t="shared" si="4"/>
        <v>53.997769100000006</v>
      </c>
      <c r="K54" s="18">
        <f t="shared" si="5"/>
        <v>0</v>
      </c>
      <c r="L54" s="18">
        <f t="shared" si="6"/>
        <v>44.932450200000005</v>
      </c>
      <c r="M54" s="18">
        <f t="shared" si="7"/>
        <v>0</v>
      </c>
      <c r="N54" s="18">
        <f t="shared" si="8"/>
        <v>40.202718600000004</v>
      </c>
      <c r="O54" s="18">
        <f t="shared" si="9"/>
        <v>0</v>
      </c>
      <c r="P54" s="15">
        <f t="shared" si="10"/>
        <v>36.458347750000001</v>
      </c>
      <c r="Q54" s="15">
        <f t="shared" si="11"/>
        <v>0</v>
      </c>
    </row>
    <row r="55" spans="1:17" s="244" customFormat="1" ht="13.5" thickBot="1">
      <c r="A55" s="1358"/>
      <c r="B55" s="229"/>
      <c r="C55" s="746">
        <v>7714909</v>
      </c>
      <c r="D55" s="225" t="s">
        <v>3925</v>
      </c>
      <c r="E55" s="231">
        <v>1580.85</v>
      </c>
      <c r="F55" s="79">
        <f t="shared" si="0"/>
        <v>869.46749999999997</v>
      </c>
      <c r="G55" s="81">
        <f t="shared" si="1"/>
        <v>0</v>
      </c>
      <c r="H55" s="18">
        <f t="shared" si="2"/>
        <v>27.275195475</v>
      </c>
      <c r="I55" s="18">
        <f t="shared" si="3"/>
        <v>0</v>
      </c>
      <c r="J55" s="18">
        <f t="shared" si="4"/>
        <v>23.8234095</v>
      </c>
      <c r="K55" s="18">
        <f t="shared" si="5"/>
        <v>0</v>
      </c>
      <c r="L55" s="18">
        <f t="shared" si="6"/>
        <v>19.823858999999999</v>
      </c>
      <c r="M55" s="18">
        <f t="shared" si="7"/>
        <v>0</v>
      </c>
      <c r="N55" s="18">
        <f t="shared" si="8"/>
        <v>17.737137000000001</v>
      </c>
      <c r="O55" s="18">
        <f t="shared" si="9"/>
        <v>0</v>
      </c>
      <c r="P55" s="15">
        <f t="shared" si="10"/>
        <v>16.085148749999998</v>
      </c>
      <c r="Q55" s="15">
        <f t="shared" si="11"/>
        <v>0</v>
      </c>
    </row>
    <row r="56" spans="1:17" s="244" customFormat="1" ht="13.5" thickBot="1">
      <c r="A56" s="1358"/>
      <c r="B56" s="229"/>
      <c r="C56" s="237" t="s">
        <v>4169</v>
      </c>
      <c r="D56" s="235" t="s">
        <v>4170</v>
      </c>
      <c r="E56" s="231">
        <v>5500</v>
      </c>
      <c r="F56" s="79">
        <f t="shared" si="0"/>
        <v>3025.0000000000005</v>
      </c>
      <c r="G56" s="81">
        <f t="shared" si="1"/>
        <v>0</v>
      </c>
      <c r="H56" s="18">
        <f t="shared" si="2"/>
        <v>94.894250000000014</v>
      </c>
      <c r="I56" s="18">
        <f t="shared" si="3"/>
        <v>0</v>
      </c>
      <c r="J56" s="18">
        <f t="shared" si="4"/>
        <v>82.885000000000019</v>
      </c>
      <c r="K56" s="18">
        <f t="shared" si="5"/>
        <v>0</v>
      </c>
      <c r="L56" s="18">
        <f t="shared" si="6"/>
        <v>68.970000000000013</v>
      </c>
      <c r="M56" s="18">
        <f t="shared" si="7"/>
        <v>0</v>
      </c>
      <c r="N56" s="18">
        <f t="shared" si="8"/>
        <v>61.710000000000015</v>
      </c>
      <c r="O56" s="18">
        <f t="shared" si="9"/>
        <v>0</v>
      </c>
      <c r="P56" s="15">
        <f t="shared" si="10"/>
        <v>55.962500000000006</v>
      </c>
      <c r="Q56" s="15">
        <f t="shared" si="11"/>
        <v>0</v>
      </c>
    </row>
    <row r="57" spans="1:17" s="244" customFormat="1" ht="13.5" thickBot="1">
      <c r="A57" s="1358"/>
      <c r="B57" s="229"/>
      <c r="C57" s="746">
        <v>45204557</v>
      </c>
      <c r="D57" s="225" t="s">
        <v>3987</v>
      </c>
      <c r="E57" s="224">
        <v>11990</v>
      </c>
      <c r="F57" s="79">
        <f t="shared" si="0"/>
        <v>6594.5000000000009</v>
      </c>
      <c r="G57" s="81">
        <f t="shared" si="1"/>
        <v>0</v>
      </c>
      <c r="H57" s="18">
        <f t="shared" si="2"/>
        <v>206.86946500000005</v>
      </c>
      <c r="I57" s="18">
        <f t="shared" si="3"/>
        <v>0</v>
      </c>
      <c r="J57" s="18">
        <f t="shared" si="4"/>
        <v>180.68930000000003</v>
      </c>
      <c r="K57" s="18">
        <f t="shared" si="5"/>
        <v>0</v>
      </c>
      <c r="L57" s="18">
        <f t="shared" si="6"/>
        <v>150.35460000000003</v>
      </c>
      <c r="M57" s="18">
        <f t="shared" si="7"/>
        <v>0</v>
      </c>
      <c r="N57" s="18">
        <f t="shared" si="8"/>
        <v>134.52780000000004</v>
      </c>
      <c r="O57" s="18">
        <f t="shared" si="9"/>
        <v>0</v>
      </c>
      <c r="P57" s="15">
        <f t="shared" si="10"/>
        <v>121.99825000000001</v>
      </c>
      <c r="Q57" s="15">
        <f t="shared" si="11"/>
        <v>0</v>
      </c>
    </row>
    <row r="58" spans="1:17" s="244" customFormat="1" ht="26.25" thickBot="1">
      <c r="A58" s="1358"/>
      <c r="B58" s="229"/>
      <c r="C58" s="746">
        <v>45204332</v>
      </c>
      <c r="D58" s="225" t="s">
        <v>3986</v>
      </c>
      <c r="E58" s="224">
        <v>13500</v>
      </c>
      <c r="F58" s="79">
        <f t="shared" si="0"/>
        <v>7425.0000000000009</v>
      </c>
      <c r="G58" s="81">
        <f t="shared" si="1"/>
        <v>0</v>
      </c>
      <c r="H58" s="18">
        <f t="shared" si="2"/>
        <v>232.92225000000005</v>
      </c>
      <c r="I58" s="18">
        <f t="shared" si="3"/>
        <v>0</v>
      </c>
      <c r="J58" s="18">
        <f t="shared" si="4"/>
        <v>203.44500000000002</v>
      </c>
      <c r="K58" s="18">
        <f t="shared" si="5"/>
        <v>0</v>
      </c>
      <c r="L58" s="18">
        <f t="shared" si="6"/>
        <v>169.29000000000002</v>
      </c>
      <c r="M58" s="18">
        <f t="shared" si="7"/>
        <v>0</v>
      </c>
      <c r="N58" s="18">
        <f t="shared" si="8"/>
        <v>151.47000000000003</v>
      </c>
      <c r="O58" s="18">
        <f t="shared" si="9"/>
        <v>0</v>
      </c>
      <c r="P58" s="15">
        <f t="shared" si="10"/>
        <v>137.36250000000001</v>
      </c>
      <c r="Q58" s="15">
        <f t="shared" si="11"/>
        <v>0</v>
      </c>
    </row>
    <row r="59" spans="1:17" s="244" customFormat="1" ht="13.5" thickBot="1">
      <c r="A59" s="1358"/>
      <c r="B59" s="229"/>
      <c r="C59" s="746">
        <v>7717974</v>
      </c>
      <c r="D59" s="225" t="s">
        <v>3945</v>
      </c>
      <c r="E59" s="224">
        <v>154.84</v>
      </c>
      <c r="F59" s="79">
        <f t="shared" si="0"/>
        <v>85.162000000000006</v>
      </c>
      <c r="G59" s="81">
        <f t="shared" si="1"/>
        <v>0</v>
      </c>
      <c r="H59" s="18">
        <f t="shared" si="2"/>
        <v>2.6715319400000004</v>
      </c>
      <c r="I59" s="18">
        <f t="shared" si="3"/>
        <v>0</v>
      </c>
      <c r="J59" s="18">
        <f t="shared" si="4"/>
        <v>2.3334388000000001</v>
      </c>
      <c r="K59" s="18">
        <f t="shared" si="5"/>
        <v>0</v>
      </c>
      <c r="L59" s="18">
        <f t="shared" si="6"/>
        <v>1.9416936000000002</v>
      </c>
      <c r="M59" s="18">
        <f t="shared" si="7"/>
        <v>0</v>
      </c>
      <c r="N59" s="18">
        <f t="shared" si="8"/>
        <v>1.7373048000000002</v>
      </c>
      <c r="O59" s="18">
        <f t="shared" si="9"/>
        <v>0</v>
      </c>
      <c r="P59" s="15">
        <f t="shared" si="10"/>
        <v>1.5754969999999999</v>
      </c>
      <c r="Q59" s="15">
        <f t="shared" si="11"/>
        <v>0</v>
      </c>
    </row>
    <row r="60" spans="1:17" s="244" customFormat="1" ht="13.5" thickBot="1">
      <c r="A60" s="1358"/>
      <c r="B60" s="229"/>
      <c r="C60" s="237">
        <v>7717968</v>
      </c>
      <c r="D60" s="235" t="s">
        <v>3940</v>
      </c>
      <c r="E60" s="231">
        <v>142.6</v>
      </c>
      <c r="F60" s="79">
        <f t="shared" ref="F60:F91" si="12">E60*(1-45%)</f>
        <v>78.430000000000007</v>
      </c>
      <c r="G60" s="81">
        <f t="shared" ref="G60:G91" si="13">F60*B60</f>
        <v>0</v>
      </c>
      <c r="H60" s="18">
        <f t="shared" ref="H60:H91" si="14">F60*0.03137</f>
        <v>2.4603491000000002</v>
      </c>
      <c r="I60" s="18">
        <f t="shared" ref="I60:I91" si="15">H60*B60</f>
        <v>0</v>
      </c>
      <c r="J60" s="18">
        <f t="shared" ref="J60:J93" si="16">F60*0.0274</f>
        <v>2.1489820000000002</v>
      </c>
      <c r="K60" s="18">
        <f t="shared" ref="K60:K91" si="17">J60*B60</f>
        <v>0</v>
      </c>
      <c r="L60" s="18">
        <f t="shared" ref="L60:L91" si="18">F60*0.0228</f>
        <v>1.7882040000000001</v>
      </c>
      <c r="M60" s="18">
        <f t="shared" ref="M60:M91" si="19">L60*B60</f>
        <v>0</v>
      </c>
      <c r="N60" s="18">
        <f t="shared" ref="N60:N91" si="20">F60*0.0204</f>
        <v>1.5999720000000002</v>
      </c>
      <c r="O60" s="18">
        <f t="shared" ref="O60:O91" si="21">N60*B60</f>
        <v>0</v>
      </c>
      <c r="P60" s="15">
        <f t="shared" ref="P60:P91" si="22">F60*0.0185</f>
        <v>1.450955</v>
      </c>
      <c r="Q60" s="15">
        <f t="shared" ref="Q60:Q91" si="23">P60*B60</f>
        <v>0</v>
      </c>
    </row>
    <row r="61" spans="1:17" s="244" customFormat="1" ht="13.5" thickBot="1">
      <c r="A61" s="1358"/>
      <c r="B61" s="229"/>
      <c r="C61" s="237">
        <v>7717962</v>
      </c>
      <c r="D61" s="235" t="s">
        <v>3935</v>
      </c>
      <c r="E61" s="231">
        <v>141.21</v>
      </c>
      <c r="F61" s="79">
        <f t="shared" si="12"/>
        <v>77.665500000000009</v>
      </c>
      <c r="G61" s="81">
        <f t="shared" si="13"/>
        <v>0</v>
      </c>
      <c r="H61" s="18">
        <f t="shared" si="14"/>
        <v>2.4363667350000004</v>
      </c>
      <c r="I61" s="18">
        <f t="shared" si="15"/>
        <v>0</v>
      </c>
      <c r="J61" s="18">
        <f t="shared" si="16"/>
        <v>2.1280347000000002</v>
      </c>
      <c r="K61" s="18">
        <f t="shared" si="17"/>
        <v>0</v>
      </c>
      <c r="L61" s="18">
        <f t="shared" si="18"/>
        <v>1.7707734000000002</v>
      </c>
      <c r="M61" s="18">
        <f t="shared" si="19"/>
        <v>0</v>
      </c>
      <c r="N61" s="18">
        <f t="shared" si="20"/>
        <v>1.5843762000000003</v>
      </c>
      <c r="O61" s="18">
        <f t="shared" si="21"/>
        <v>0</v>
      </c>
      <c r="P61" s="15">
        <f t="shared" si="22"/>
        <v>1.4368117500000002</v>
      </c>
      <c r="Q61" s="15">
        <f t="shared" si="23"/>
        <v>0</v>
      </c>
    </row>
    <row r="62" spans="1:17" s="244" customFormat="1" ht="13.5" thickBot="1">
      <c r="A62" s="1358"/>
      <c r="B62" s="229"/>
      <c r="C62" s="237">
        <v>7717963</v>
      </c>
      <c r="D62" s="235" t="s">
        <v>3936</v>
      </c>
      <c r="E62" s="231">
        <v>122.89</v>
      </c>
      <c r="F62" s="79">
        <f t="shared" si="12"/>
        <v>67.589500000000001</v>
      </c>
      <c r="G62" s="81">
        <f t="shared" si="13"/>
        <v>0</v>
      </c>
      <c r="H62" s="18">
        <f t="shared" si="14"/>
        <v>2.1202826150000003</v>
      </c>
      <c r="I62" s="18">
        <f t="shared" si="15"/>
        <v>0</v>
      </c>
      <c r="J62" s="18">
        <f t="shared" si="16"/>
        <v>1.8519523</v>
      </c>
      <c r="K62" s="18">
        <f t="shared" si="17"/>
        <v>0</v>
      </c>
      <c r="L62" s="18">
        <f t="shared" si="18"/>
        <v>1.5410406000000001</v>
      </c>
      <c r="M62" s="18">
        <f t="shared" si="19"/>
        <v>0</v>
      </c>
      <c r="N62" s="18">
        <f t="shared" si="20"/>
        <v>1.3788258000000002</v>
      </c>
      <c r="O62" s="18">
        <f t="shared" si="21"/>
        <v>0</v>
      </c>
      <c r="P62" s="15">
        <f t="shared" si="22"/>
        <v>1.2504057499999999</v>
      </c>
      <c r="Q62" s="15">
        <f t="shared" si="23"/>
        <v>0</v>
      </c>
    </row>
    <row r="63" spans="1:17" s="244" customFormat="1" ht="13.5" thickBot="1">
      <c r="A63" s="1358"/>
      <c r="B63" s="229"/>
      <c r="C63" s="237">
        <v>7717969</v>
      </c>
      <c r="D63" s="235" t="s">
        <v>3941</v>
      </c>
      <c r="E63" s="231">
        <v>124.08</v>
      </c>
      <c r="F63" s="79">
        <f t="shared" si="12"/>
        <v>68.244</v>
      </c>
      <c r="G63" s="81">
        <f t="shared" si="13"/>
        <v>0</v>
      </c>
      <c r="H63" s="18">
        <f t="shared" si="14"/>
        <v>2.1408142800000003</v>
      </c>
      <c r="I63" s="18">
        <f t="shared" si="15"/>
        <v>0</v>
      </c>
      <c r="J63" s="18">
        <f t="shared" si="16"/>
        <v>1.8698856000000001</v>
      </c>
      <c r="K63" s="18">
        <f t="shared" si="17"/>
        <v>0</v>
      </c>
      <c r="L63" s="18">
        <f t="shared" si="18"/>
        <v>1.5559632000000001</v>
      </c>
      <c r="M63" s="18">
        <f t="shared" si="19"/>
        <v>0</v>
      </c>
      <c r="N63" s="18">
        <f t="shared" si="20"/>
        <v>1.3921776000000001</v>
      </c>
      <c r="O63" s="18">
        <f t="shared" si="21"/>
        <v>0</v>
      </c>
      <c r="P63" s="15">
        <f t="shared" si="22"/>
        <v>1.2625139999999999</v>
      </c>
      <c r="Q63" s="15">
        <f t="shared" si="23"/>
        <v>0</v>
      </c>
    </row>
    <row r="64" spans="1:17" s="244" customFormat="1" ht="13.5" thickBot="1">
      <c r="A64" s="1358"/>
      <c r="B64" s="229"/>
      <c r="C64" s="237">
        <v>7717965</v>
      </c>
      <c r="D64" s="235" t="s">
        <v>4159</v>
      </c>
      <c r="E64" s="231">
        <v>111.45</v>
      </c>
      <c r="F64" s="79">
        <f t="shared" si="12"/>
        <v>61.297500000000007</v>
      </c>
      <c r="G64" s="81">
        <f t="shared" si="13"/>
        <v>0</v>
      </c>
      <c r="H64" s="18">
        <f t="shared" si="14"/>
        <v>1.9229025750000004</v>
      </c>
      <c r="I64" s="18">
        <f t="shared" si="15"/>
        <v>0</v>
      </c>
      <c r="J64" s="18">
        <f t="shared" si="16"/>
        <v>1.6795515000000003</v>
      </c>
      <c r="K64" s="18">
        <f t="shared" si="17"/>
        <v>0</v>
      </c>
      <c r="L64" s="18">
        <f t="shared" si="18"/>
        <v>1.3975830000000002</v>
      </c>
      <c r="M64" s="18">
        <f t="shared" si="19"/>
        <v>0</v>
      </c>
      <c r="N64" s="18">
        <f t="shared" si="20"/>
        <v>1.2504690000000003</v>
      </c>
      <c r="O64" s="18">
        <f t="shared" si="21"/>
        <v>0</v>
      </c>
      <c r="P64" s="15">
        <f t="shared" si="22"/>
        <v>1.13400375</v>
      </c>
      <c r="Q64" s="15">
        <f t="shared" si="23"/>
        <v>0</v>
      </c>
    </row>
    <row r="65" spans="1:17" s="244" customFormat="1" ht="13.5" thickBot="1">
      <c r="A65" s="1358"/>
      <c r="B65" s="229"/>
      <c r="C65" s="746">
        <v>7717975</v>
      </c>
      <c r="D65" s="225" t="s">
        <v>4160</v>
      </c>
      <c r="E65" s="224">
        <v>134.54</v>
      </c>
      <c r="F65" s="79">
        <f t="shared" si="12"/>
        <v>73.997</v>
      </c>
      <c r="G65" s="80">
        <f t="shared" si="13"/>
        <v>0</v>
      </c>
      <c r="H65" s="79">
        <f t="shared" si="14"/>
        <v>2.32128589</v>
      </c>
      <c r="I65" s="18">
        <f t="shared" si="15"/>
        <v>0</v>
      </c>
      <c r="J65" s="18">
        <f t="shared" si="16"/>
        <v>2.0275178</v>
      </c>
      <c r="K65" s="18">
        <f t="shared" si="17"/>
        <v>0</v>
      </c>
      <c r="L65" s="18">
        <f t="shared" si="18"/>
        <v>1.6871316000000001</v>
      </c>
      <c r="M65" s="18">
        <f t="shared" si="19"/>
        <v>0</v>
      </c>
      <c r="N65" s="18">
        <f t="shared" si="20"/>
        <v>1.5095388000000001</v>
      </c>
      <c r="O65" s="18">
        <f t="shared" si="21"/>
        <v>0</v>
      </c>
      <c r="P65" s="15">
        <f t="shared" si="22"/>
        <v>1.3689445</v>
      </c>
      <c r="Q65" s="15">
        <f t="shared" si="23"/>
        <v>0</v>
      </c>
    </row>
    <row r="66" spans="1:17" s="244" customFormat="1" ht="13.5" thickBot="1">
      <c r="A66" s="1358"/>
      <c r="B66" s="229"/>
      <c r="C66" s="237">
        <v>7717964</v>
      </c>
      <c r="D66" s="235" t="s">
        <v>3937</v>
      </c>
      <c r="E66" s="231">
        <v>113.74</v>
      </c>
      <c r="F66" s="79">
        <f t="shared" si="12"/>
        <v>62.557000000000002</v>
      </c>
      <c r="G66" s="80">
        <f t="shared" si="13"/>
        <v>0</v>
      </c>
      <c r="H66" s="79">
        <f t="shared" si="14"/>
        <v>1.9624130900000003</v>
      </c>
      <c r="I66" s="18">
        <f t="shared" si="15"/>
        <v>0</v>
      </c>
      <c r="J66" s="18">
        <f t="shared" si="16"/>
        <v>1.7140618000000001</v>
      </c>
      <c r="K66" s="18">
        <f t="shared" si="17"/>
        <v>0</v>
      </c>
      <c r="L66" s="18">
        <f t="shared" si="18"/>
        <v>1.4262996000000001</v>
      </c>
      <c r="M66" s="18">
        <f t="shared" si="19"/>
        <v>0</v>
      </c>
      <c r="N66" s="18">
        <f t="shared" si="20"/>
        <v>1.2761628</v>
      </c>
      <c r="O66" s="18">
        <f t="shared" si="21"/>
        <v>0</v>
      </c>
      <c r="P66" s="15">
        <f t="shared" si="22"/>
        <v>1.1573045</v>
      </c>
      <c r="Q66" s="15">
        <f t="shared" si="23"/>
        <v>0</v>
      </c>
    </row>
    <row r="67" spans="1:17" s="244" customFormat="1" ht="13.5" thickBot="1">
      <c r="A67" s="1358"/>
      <c r="B67" s="229"/>
      <c r="C67" s="746">
        <v>7717976</v>
      </c>
      <c r="D67" s="225" t="s">
        <v>4161</v>
      </c>
      <c r="E67" s="224">
        <v>124.34</v>
      </c>
      <c r="F67" s="79">
        <f t="shared" si="12"/>
        <v>68.387</v>
      </c>
      <c r="G67" s="80">
        <f t="shared" si="13"/>
        <v>0</v>
      </c>
      <c r="H67" s="79">
        <f t="shared" si="14"/>
        <v>2.1453001899999999</v>
      </c>
      <c r="I67" s="18">
        <f t="shared" si="15"/>
        <v>0</v>
      </c>
      <c r="J67" s="18">
        <f t="shared" si="16"/>
        <v>1.8738038000000001</v>
      </c>
      <c r="K67" s="18">
        <f t="shared" si="17"/>
        <v>0</v>
      </c>
      <c r="L67" s="18">
        <f t="shared" si="18"/>
        <v>1.5592236000000002</v>
      </c>
      <c r="M67" s="18">
        <f t="shared" si="19"/>
        <v>0</v>
      </c>
      <c r="N67" s="18">
        <f t="shared" si="20"/>
        <v>1.3950948000000001</v>
      </c>
      <c r="O67" s="18">
        <f t="shared" si="21"/>
        <v>0</v>
      </c>
      <c r="P67" s="15">
        <f t="shared" si="22"/>
        <v>1.2651595</v>
      </c>
      <c r="Q67" s="15">
        <f t="shared" si="23"/>
        <v>0</v>
      </c>
    </row>
    <row r="68" spans="1:17" s="244" customFormat="1" ht="13.5" thickBot="1">
      <c r="A68" s="1358"/>
      <c r="B68" s="229"/>
      <c r="C68" s="746">
        <v>7717970</v>
      </c>
      <c r="D68" s="225" t="s">
        <v>3942</v>
      </c>
      <c r="E68" s="224">
        <v>114.89</v>
      </c>
      <c r="F68" s="79">
        <f t="shared" si="12"/>
        <v>63.189500000000002</v>
      </c>
      <c r="G68" s="80">
        <f t="shared" si="13"/>
        <v>0</v>
      </c>
      <c r="H68" s="79">
        <f t="shared" si="14"/>
        <v>1.9822546150000002</v>
      </c>
      <c r="I68" s="18">
        <f t="shared" si="15"/>
        <v>0</v>
      </c>
      <c r="J68" s="18">
        <f t="shared" si="16"/>
        <v>1.7313923000000002</v>
      </c>
      <c r="K68" s="18">
        <f t="shared" si="17"/>
        <v>0</v>
      </c>
      <c r="L68" s="18">
        <f t="shared" si="18"/>
        <v>1.4407206000000001</v>
      </c>
      <c r="M68" s="18">
        <f t="shared" si="19"/>
        <v>0</v>
      </c>
      <c r="N68" s="18">
        <f t="shared" si="20"/>
        <v>1.2890658000000002</v>
      </c>
      <c r="O68" s="18">
        <f t="shared" si="21"/>
        <v>0</v>
      </c>
      <c r="P68" s="15">
        <f t="shared" si="22"/>
        <v>1.16900575</v>
      </c>
      <c r="Q68" s="15">
        <f t="shared" si="23"/>
        <v>0</v>
      </c>
    </row>
    <row r="69" spans="1:17" s="244" customFormat="1" ht="13.5" thickBot="1">
      <c r="A69" s="1358"/>
      <c r="B69" s="229"/>
      <c r="C69" s="746">
        <v>7717977</v>
      </c>
      <c r="D69" s="225" t="s">
        <v>3947</v>
      </c>
      <c r="E69" s="224">
        <v>122.49</v>
      </c>
      <c r="F69" s="79">
        <f t="shared" si="12"/>
        <v>67.369500000000002</v>
      </c>
      <c r="G69" s="80">
        <f t="shared" si="13"/>
        <v>0</v>
      </c>
      <c r="H69" s="79">
        <f t="shared" si="14"/>
        <v>2.1133812150000004</v>
      </c>
      <c r="I69" s="18">
        <f t="shared" si="15"/>
        <v>0</v>
      </c>
      <c r="J69" s="18">
        <f t="shared" si="16"/>
        <v>1.8459243000000001</v>
      </c>
      <c r="K69" s="18">
        <f t="shared" si="17"/>
        <v>0</v>
      </c>
      <c r="L69" s="18">
        <f t="shared" si="18"/>
        <v>1.5360246000000002</v>
      </c>
      <c r="M69" s="18">
        <f t="shared" si="19"/>
        <v>0</v>
      </c>
      <c r="N69" s="18">
        <f t="shared" si="20"/>
        <v>1.3743378000000002</v>
      </c>
      <c r="O69" s="18">
        <f t="shared" si="21"/>
        <v>0</v>
      </c>
      <c r="P69" s="15">
        <f t="shared" si="22"/>
        <v>1.2463357500000001</v>
      </c>
      <c r="Q69" s="15">
        <f t="shared" si="23"/>
        <v>0</v>
      </c>
    </row>
    <row r="70" spans="1:17" s="244" customFormat="1" ht="13.5" thickBot="1">
      <c r="A70" s="1358"/>
      <c r="B70" s="229"/>
      <c r="C70" s="746">
        <v>7717971</v>
      </c>
      <c r="D70" s="225" t="s">
        <v>3943</v>
      </c>
      <c r="E70" s="224">
        <v>112.55</v>
      </c>
      <c r="F70" s="79">
        <f t="shared" si="12"/>
        <v>61.902500000000003</v>
      </c>
      <c r="G70" s="80">
        <f t="shared" si="13"/>
        <v>0</v>
      </c>
      <c r="H70" s="79">
        <f t="shared" si="14"/>
        <v>1.9418814250000003</v>
      </c>
      <c r="I70" s="18">
        <f t="shared" si="15"/>
        <v>0</v>
      </c>
      <c r="J70" s="18">
        <f t="shared" si="16"/>
        <v>1.6961285000000001</v>
      </c>
      <c r="K70" s="18">
        <f t="shared" si="17"/>
        <v>0</v>
      </c>
      <c r="L70" s="18">
        <f t="shared" si="18"/>
        <v>1.4113770000000001</v>
      </c>
      <c r="M70" s="18">
        <f t="shared" si="19"/>
        <v>0</v>
      </c>
      <c r="N70" s="18">
        <f t="shared" si="20"/>
        <v>1.2628110000000001</v>
      </c>
      <c r="O70" s="18">
        <f t="shared" si="21"/>
        <v>0</v>
      </c>
      <c r="P70" s="15">
        <f t="shared" si="22"/>
        <v>1.1451962499999999</v>
      </c>
      <c r="Q70" s="15">
        <f t="shared" si="23"/>
        <v>0</v>
      </c>
    </row>
    <row r="71" spans="1:17" s="244" customFormat="1" ht="13.5" thickBot="1">
      <c r="A71" s="1358"/>
      <c r="B71" s="229"/>
      <c r="C71" s="237">
        <v>7717966</v>
      </c>
      <c r="D71" s="235" t="s">
        <v>3939</v>
      </c>
      <c r="E71" s="231">
        <v>102.27</v>
      </c>
      <c r="F71" s="79">
        <f t="shared" si="12"/>
        <v>56.2485</v>
      </c>
      <c r="G71" s="80">
        <f t="shared" si="13"/>
        <v>0</v>
      </c>
      <c r="H71" s="79">
        <f t="shared" si="14"/>
        <v>1.764515445</v>
      </c>
      <c r="I71" s="18">
        <f t="shared" si="15"/>
        <v>0</v>
      </c>
      <c r="J71" s="18">
        <f t="shared" si="16"/>
        <v>1.5412089</v>
      </c>
      <c r="K71" s="18">
        <f t="shared" si="17"/>
        <v>0</v>
      </c>
      <c r="L71" s="18">
        <f t="shared" si="18"/>
        <v>1.2824658</v>
      </c>
      <c r="M71" s="18">
        <f t="shared" si="19"/>
        <v>0</v>
      </c>
      <c r="N71" s="18">
        <f t="shared" si="20"/>
        <v>1.1474694000000001</v>
      </c>
      <c r="O71" s="18">
        <f t="shared" si="21"/>
        <v>0</v>
      </c>
      <c r="P71" s="15">
        <f t="shared" si="22"/>
        <v>1.04059725</v>
      </c>
      <c r="Q71" s="15">
        <f t="shared" si="23"/>
        <v>0</v>
      </c>
    </row>
    <row r="72" spans="1:17" s="219" customFormat="1" ht="13.5" thickBot="1">
      <c r="A72" s="1358"/>
      <c r="B72" s="221"/>
      <c r="C72" s="744">
        <v>7717978</v>
      </c>
      <c r="D72" s="223" t="s">
        <v>3948</v>
      </c>
      <c r="E72" s="224">
        <v>111.77</v>
      </c>
      <c r="F72" s="13">
        <f t="shared" si="12"/>
        <v>61.473500000000001</v>
      </c>
      <c r="G72" s="16">
        <f t="shared" si="13"/>
        <v>0</v>
      </c>
      <c r="H72" s="14">
        <f t="shared" si="14"/>
        <v>1.9284236950000002</v>
      </c>
      <c r="I72" s="15">
        <f t="shared" si="15"/>
        <v>0</v>
      </c>
      <c r="J72" s="15">
        <f t="shared" si="16"/>
        <v>1.6843739</v>
      </c>
      <c r="K72" s="15">
        <f t="shared" si="17"/>
        <v>0</v>
      </c>
      <c r="L72" s="15">
        <f t="shared" si="18"/>
        <v>1.4015958000000002</v>
      </c>
      <c r="M72" s="15">
        <f t="shared" si="19"/>
        <v>0</v>
      </c>
      <c r="N72" s="15">
        <f t="shared" si="20"/>
        <v>1.2540594</v>
      </c>
      <c r="O72" s="15">
        <f t="shared" si="21"/>
        <v>0</v>
      </c>
      <c r="P72" s="15">
        <f t="shared" si="22"/>
        <v>1.1372597499999999</v>
      </c>
      <c r="Q72" s="15">
        <f t="shared" si="23"/>
        <v>0</v>
      </c>
    </row>
    <row r="73" spans="1:17" s="219" customFormat="1" ht="13.5" thickBot="1">
      <c r="A73" s="1358"/>
      <c r="B73" s="221"/>
      <c r="C73" s="746">
        <v>7717972</v>
      </c>
      <c r="D73" s="225" t="s">
        <v>3944</v>
      </c>
      <c r="E73" s="224">
        <v>103.1</v>
      </c>
      <c r="F73" s="79">
        <f t="shared" si="12"/>
        <v>56.704999999999998</v>
      </c>
      <c r="G73" s="80">
        <f t="shared" si="13"/>
        <v>0</v>
      </c>
      <c r="H73" s="79">
        <f t="shared" si="14"/>
        <v>1.7788358500000001</v>
      </c>
      <c r="I73" s="18">
        <f t="shared" si="15"/>
        <v>0</v>
      </c>
      <c r="J73" s="18">
        <f t="shared" si="16"/>
        <v>1.553717</v>
      </c>
      <c r="K73" s="18">
        <f t="shared" si="17"/>
        <v>0</v>
      </c>
      <c r="L73" s="18">
        <f t="shared" si="18"/>
        <v>1.2928740000000001</v>
      </c>
      <c r="M73" s="18">
        <f t="shared" si="19"/>
        <v>0</v>
      </c>
      <c r="N73" s="18">
        <f t="shared" si="20"/>
        <v>1.156782</v>
      </c>
      <c r="O73" s="18">
        <f t="shared" si="21"/>
        <v>0</v>
      </c>
      <c r="P73" s="15">
        <f t="shared" si="22"/>
        <v>1.0490424999999999</v>
      </c>
      <c r="Q73" s="15">
        <f t="shared" si="23"/>
        <v>0</v>
      </c>
    </row>
    <row r="74" spans="1:17" s="219" customFormat="1" ht="13.5" thickBot="1">
      <c r="A74" s="1358"/>
      <c r="B74" s="221"/>
      <c r="C74" s="746" t="s">
        <v>4124</v>
      </c>
      <c r="D74" s="225" t="s">
        <v>4176</v>
      </c>
      <c r="E74" s="224">
        <v>99.44</v>
      </c>
      <c r="F74" s="79">
        <f t="shared" si="12"/>
        <v>54.692</v>
      </c>
      <c r="G74" s="80">
        <f t="shared" si="13"/>
        <v>0</v>
      </c>
      <c r="H74" s="79">
        <f t="shared" si="14"/>
        <v>1.7156880400000001</v>
      </c>
      <c r="I74" s="18">
        <f t="shared" si="15"/>
        <v>0</v>
      </c>
      <c r="J74" s="18">
        <f t="shared" si="16"/>
        <v>1.4985608000000001</v>
      </c>
      <c r="K74" s="18">
        <f t="shared" si="17"/>
        <v>0</v>
      </c>
      <c r="L74" s="18">
        <f t="shared" si="18"/>
        <v>1.2469776000000001</v>
      </c>
      <c r="M74" s="18">
        <f t="shared" si="19"/>
        <v>0</v>
      </c>
      <c r="N74" s="18">
        <f t="shared" si="20"/>
        <v>1.1157168000000002</v>
      </c>
      <c r="O74" s="18">
        <f t="shared" si="21"/>
        <v>0</v>
      </c>
      <c r="P74" s="15">
        <f t="shared" si="22"/>
        <v>1.0118019999999999</v>
      </c>
      <c r="Q74" s="15">
        <f t="shared" si="23"/>
        <v>0</v>
      </c>
    </row>
    <row r="75" spans="1:17" s="219" customFormat="1" ht="13.5" thickBot="1">
      <c r="A75" s="1358"/>
      <c r="B75" s="221"/>
      <c r="C75" s="746" t="s">
        <v>4125</v>
      </c>
      <c r="D75" s="225" t="s">
        <v>4177</v>
      </c>
      <c r="E75" s="224">
        <v>99.44</v>
      </c>
      <c r="F75" s="79">
        <f t="shared" si="12"/>
        <v>54.692</v>
      </c>
      <c r="G75" s="80">
        <f t="shared" si="13"/>
        <v>0</v>
      </c>
      <c r="H75" s="79">
        <f t="shared" si="14"/>
        <v>1.7156880400000001</v>
      </c>
      <c r="I75" s="18">
        <f t="shared" si="15"/>
        <v>0</v>
      </c>
      <c r="J75" s="18">
        <f t="shared" si="16"/>
        <v>1.4985608000000001</v>
      </c>
      <c r="K75" s="18">
        <f t="shared" si="17"/>
        <v>0</v>
      </c>
      <c r="L75" s="18">
        <f t="shared" si="18"/>
        <v>1.2469776000000001</v>
      </c>
      <c r="M75" s="18">
        <f t="shared" si="19"/>
        <v>0</v>
      </c>
      <c r="N75" s="18">
        <f t="shared" si="20"/>
        <v>1.1157168000000002</v>
      </c>
      <c r="O75" s="18">
        <f t="shared" si="21"/>
        <v>0</v>
      </c>
      <c r="P75" s="15">
        <f t="shared" si="22"/>
        <v>1.0118019999999999</v>
      </c>
      <c r="Q75" s="15">
        <f t="shared" si="23"/>
        <v>0</v>
      </c>
    </row>
    <row r="76" spans="1:17" s="219" customFormat="1" ht="13.5" thickBot="1">
      <c r="A76" s="1358"/>
      <c r="B76" s="221"/>
      <c r="C76" s="746" t="s">
        <v>4126</v>
      </c>
      <c r="D76" s="225" t="s">
        <v>4178</v>
      </c>
      <c r="E76" s="224">
        <v>99.44</v>
      </c>
      <c r="F76" s="79">
        <f t="shared" si="12"/>
        <v>54.692</v>
      </c>
      <c r="G76" s="81">
        <f t="shared" si="13"/>
        <v>0</v>
      </c>
      <c r="H76" s="18">
        <f t="shared" si="14"/>
        <v>1.7156880400000001</v>
      </c>
      <c r="I76" s="18">
        <f t="shared" si="15"/>
        <v>0</v>
      </c>
      <c r="J76" s="18">
        <f t="shared" si="16"/>
        <v>1.4985608000000001</v>
      </c>
      <c r="K76" s="18">
        <f t="shared" si="17"/>
        <v>0</v>
      </c>
      <c r="L76" s="18">
        <f t="shared" si="18"/>
        <v>1.2469776000000001</v>
      </c>
      <c r="M76" s="18">
        <f t="shared" si="19"/>
        <v>0</v>
      </c>
      <c r="N76" s="18">
        <f t="shared" si="20"/>
        <v>1.1157168000000002</v>
      </c>
      <c r="O76" s="18">
        <f t="shared" si="21"/>
        <v>0</v>
      </c>
      <c r="P76" s="15">
        <f t="shared" si="22"/>
        <v>1.0118019999999999</v>
      </c>
      <c r="Q76" s="15">
        <f t="shared" si="23"/>
        <v>0</v>
      </c>
    </row>
    <row r="77" spans="1:17" s="219" customFormat="1" ht="13.5" thickBot="1">
      <c r="A77" s="1358"/>
      <c r="B77" s="221"/>
      <c r="C77" s="746" t="s">
        <v>3753</v>
      </c>
      <c r="D77" s="225" t="s">
        <v>4189</v>
      </c>
      <c r="E77" s="224">
        <v>1448</v>
      </c>
      <c r="F77" s="79">
        <f t="shared" si="12"/>
        <v>796.40000000000009</v>
      </c>
      <c r="G77" s="80">
        <f t="shared" si="13"/>
        <v>0</v>
      </c>
      <c r="H77" s="79">
        <f t="shared" si="14"/>
        <v>24.983068000000003</v>
      </c>
      <c r="I77" s="18">
        <f t="shared" si="15"/>
        <v>0</v>
      </c>
      <c r="J77" s="18">
        <f t="shared" si="16"/>
        <v>21.821360000000002</v>
      </c>
      <c r="K77" s="18">
        <f t="shared" si="17"/>
        <v>0</v>
      </c>
      <c r="L77" s="18">
        <f t="shared" si="18"/>
        <v>18.157920000000004</v>
      </c>
      <c r="M77" s="18">
        <f t="shared" si="19"/>
        <v>0</v>
      </c>
      <c r="N77" s="18">
        <f t="shared" si="20"/>
        <v>16.246560000000002</v>
      </c>
      <c r="O77" s="18">
        <f t="shared" si="21"/>
        <v>0</v>
      </c>
      <c r="P77" s="15">
        <f t="shared" si="22"/>
        <v>14.733400000000001</v>
      </c>
      <c r="Q77" s="15">
        <f t="shared" si="23"/>
        <v>0</v>
      </c>
    </row>
    <row r="78" spans="1:17" s="244" customFormat="1" ht="13.5" thickBot="1">
      <c r="A78" s="1358"/>
      <c r="B78" s="229"/>
      <c r="C78" s="745" t="s">
        <v>3728</v>
      </c>
      <c r="D78" s="227" t="s">
        <v>3950</v>
      </c>
      <c r="E78" s="228">
        <v>20814</v>
      </c>
      <c r="F78" s="13">
        <f t="shared" si="12"/>
        <v>11447.7</v>
      </c>
      <c r="G78" s="16">
        <f t="shared" si="13"/>
        <v>0</v>
      </c>
      <c r="H78" s="14">
        <f t="shared" si="14"/>
        <v>359.11434900000006</v>
      </c>
      <c r="I78" s="15">
        <f t="shared" si="15"/>
        <v>0</v>
      </c>
      <c r="J78" s="15">
        <f t="shared" si="16"/>
        <v>313.66698000000002</v>
      </c>
      <c r="K78" s="15">
        <f t="shared" si="17"/>
        <v>0</v>
      </c>
      <c r="L78" s="15">
        <f t="shared" si="18"/>
        <v>261.00756000000001</v>
      </c>
      <c r="M78" s="15">
        <f t="shared" si="19"/>
        <v>0</v>
      </c>
      <c r="N78" s="15">
        <f t="shared" si="20"/>
        <v>233.53308000000004</v>
      </c>
      <c r="O78" s="15">
        <f t="shared" si="21"/>
        <v>0</v>
      </c>
      <c r="P78" s="15">
        <f t="shared" si="22"/>
        <v>211.78245000000001</v>
      </c>
      <c r="Q78" s="15">
        <f t="shared" si="23"/>
        <v>0</v>
      </c>
    </row>
    <row r="79" spans="1:17" s="244" customFormat="1" ht="13.5" thickBot="1">
      <c r="A79" s="1358"/>
      <c r="B79" s="229"/>
      <c r="C79" s="744" t="s">
        <v>543</v>
      </c>
      <c r="D79" s="225" t="s">
        <v>3996</v>
      </c>
      <c r="E79" s="224">
        <v>12870</v>
      </c>
      <c r="F79" s="13">
        <f t="shared" si="12"/>
        <v>7078.5000000000009</v>
      </c>
      <c r="G79" s="16">
        <f t="shared" si="13"/>
        <v>0</v>
      </c>
      <c r="H79" s="14">
        <f t="shared" si="14"/>
        <v>222.05254500000004</v>
      </c>
      <c r="I79" s="15">
        <f t="shared" si="15"/>
        <v>0</v>
      </c>
      <c r="J79" s="15">
        <f t="shared" si="16"/>
        <v>193.95090000000002</v>
      </c>
      <c r="K79" s="15">
        <f t="shared" si="17"/>
        <v>0</v>
      </c>
      <c r="L79" s="15">
        <f t="shared" si="18"/>
        <v>161.38980000000004</v>
      </c>
      <c r="M79" s="15">
        <f t="shared" si="19"/>
        <v>0</v>
      </c>
      <c r="N79" s="15">
        <f t="shared" si="20"/>
        <v>144.40140000000002</v>
      </c>
      <c r="O79" s="15">
        <f t="shared" si="21"/>
        <v>0</v>
      </c>
      <c r="P79" s="15">
        <f t="shared" si="22"/>
        <v>130.95225000000002</v>
      </c>
      <c r="Q79" s="15">
        <f t="shared" si="23"/>
        <v>0</v>
      </c>
    </row>
    <row r="80" spans="1:17" s="219" customFormat="1" ht="13.5" thickBot="1">
      <c r="A80" s="1358"/>
      <c r="B80" s="221"/>
      <c r="C80" s="746">
        <v>45206716</v>
      </c>
      <c r="D80" s="225" t="s">
        <v>4203</v>
      </c>
      <c r="E80" s="224">
        <v>1100</v>
      </c>
      <c r="F80" s="79">
        <f t="shared" si="12"/>
        <v>605</v>
      </c>
      <c r="G80" s="80">
        <f t="shared" si="13"/>
        <v>0</v>
      </c>
      <c r="H80" s="79">
        <f t="shared" si="14"/>
        <v>18.978850000000001</v>
      </c>
      <c r="I80" s="18">
        <f t="shared" si="15"/>
        <v>0</v>
      </c>
      <c r="J80" s="18">
        <f t="shared" si="16"/>
        <v>16.577000000000002</v>
      </c>
      <c r="K80" s="18">
        <f t="shared" si="17"/>
        <v>0</v>
      </c>
      <c r="L80" s="18">
        <f t="shared" si="18"/>
        <v>13.794</v>
      </c>
      <c r="M80" s="18">
        <f t="shared" si="19"/>
        <v>0</v>
      </c>
      <c r="N80" s="18">
        <f t="shared" si="20"/>
        <v>12.342000000000001</v>
      </c>
      <c r="O80" s="18">
        <f t="shared" si="21"/>
        <v>0</v>
      </c>
      <c r="P80" s="15">
        <f t="shared" si="22"/>
        <v>11.192499999999999</v>
      </c>
      <c r="Q80" s="15">
        <f t="shared" si="23"/>
        <v>0</v>
      </c>
    </row>
    <row r="81" spans="1:17" s="219" customFormat="1" ht="26.25" thickBot="1">
      <c r="A81" s="1358"/>
      <c r="B81" s="221"/>
      <c r="C81" s="237">
        <v>45201479</v>
      </c>
      <c r="D81" s="235" t="s">
        <v>3981</v>
      </c>
      <c r="E81" s="231">
        <v>1820</v>
      </c>
      <c r="F81" s="79">
        <f t="shared" si="12"/>
        <v>1001.0000000000001</v>
      </c>
      <c r="G81" s="80">
        <f t="shared" si="13"/>
        <v>0</v>
      </c>
      <c r="H81" s="79">
        <f t="shared" si="14"/>
        <v>31.401370000000007</v>
      </c>
      <c r="I81" s="18">
        <f t="shared" si="15"/>
        <v>0</v>
      </c>
      <c r="J81" s="18">
        <f t="shared" si="16"/>
        <v>27.427400000000002</v>
      </c>
      <c r="K81" s="18">
        <f t="shared" si="17"/>
        <v>0</v>
      </c>
      <c r="L81" s="18">
        <f t="shared" si="18"/>
        <v>22.822800000000004</v>
      </c>
      <c r="M81" s="18">
        <f t="shared" si="19"/>
        <v>0</v>
      </c>
      <c r="N81" s="18">
        <f t="shared" si="20"/>
        <v>20.420400000000004</v>
      </c>
      <c r="O81" s="18">
        <f t="shared" si="21"/>
        <v>0</v>
      </c>
      <c r="P81" s="15">
        <f t="shared" si="22"/>
        <v>18.5185</v>
      </c>
      <c r="Q81" s="15">
        <f t="shared" si="23"/>
        <v>0</v>
      </c>
    </row>
    <row r="82" spans="1:17" s="219" customFormat="1" ht="26.25" thickBot="1">
      <c r="A82" s="1358"/>
      <c r="B82" s="221"/>
      <c r="C82" s="237">
        <v>45201481</v>
      </c>
      <c r="D82" s="235" t="s">
        <v>3982</v>
      </c>
      <c r="E82" s="231">
        <v>3450</v>
      </c>
      <c r="F82" s="79">
        <f t="shared" si="12"/>
        <v>1897.5000000000002</v>
      </c>
      <c r="G82" s="80">
        <f t="shared" si="13"/>
        <v>0</v>
      </c>
      <c r="H82" s="79">
        <f t="shared" si="14"/>
        <v>59.524575000000013</v>
      </c>
      <c r="I82" s="18">
        <f t="shared" si="15"/>
        <v>0</v>
      </c>
      <c r="J82" s="18">
        <f t="shared" si="16"/>
        <v>51.991500000000009</v>
      </c>
      <c r="K82" s="18">
        <f t="shared" si="17"/>
        <v>0</v>
      </c>
      <c r="L82" s="18">
        <f t="shared" si="18"/>
        <v>43.263000000000005</v>
      </c>
      <c r="M82" s="18">
        <f t="shared" si="19"/>
        <v>0</v>
      </c>
      <c r="N82" s="18">
        <f t="shared" si="20"/>
        <v>38.70900000000001</v>
      </c>
      <c r="O82" s="18">
        <f t="shared" si="21"/>
        <v>0</v>
      </c>
      <c r="P82" s="15">
        <f t="shared" si="22"/>
        <v>35.103750000000005</v>
      </c>
      <c r="Q82" s="15">
        <f t="shared" si="23"/>
        <v>0</v>
      </c>
    </row>
    <row r="83" spans="1:17" s="219" customFormat="1" ht="26.25" thickBot="1">
      <c r="A83" s="1358"/>
      <c r="B83" s="221"/>
      <c r="C83" s="237">
        <v>45201483</v>
      </c>
      <c r="D83" s="235" t="s">
        <v>3983</v>
      </c>
      <c r="E83" s="231">
        <v>4900</v>
      </c>
      <c r="F83" s="79">
        <f t="shared" si="12"/>
        <v>2695</v>
      </c>
      <c r="G83" s="80">
        <f t="shared" si="13"/>
        <v>0</v>
      </c>
      <c r="H83" s="79">
        <f t="shared" si="14"/>
        <v>84.542150000000007</v>
      </c>
      <c r="I83" s="18">
        <f t="shared" si="15"/>
        <v>0</v>
      </c>
      <c r="J83" s="18">
        <f t="shared" si="16"/>
        <v>73.843000000000004</v>
      </c>
      <c r="K83" s="18">
        <f t="shared" si="17"/>
        <v>0</v>
      </c>
      <c r="L83" s="18">
        <f t="shared" si="18"/>
        <v>61.446000000000005</v>
      </c>
      <c r="M83" s="18">
        <f t="shared" si="19"/>
        <v>0</v>
      </c>
      <c r="N83" s="18">
        <f t="shared" si="20"/>
        <v>54.978000000000002</v>
      </c>
      <c r="O83" s="18">
        <f t="shared" si="21"/>
        <v>0</v>
      </c>
      <c r="P83" s="15">
        <f t="shared" si="22"/>
        <v>49.857499999999995</v>
      </c>
      <c r="Q83" s="15">
        <f t="shared" si="23"/>
        <v>0</v>
      </c>
    </row>
    <row r="84" spans="1:17" s="219" customFormat="1" ht="26.25" thickBot="1">
      <c r="A84" s="1358"/>
      <c r="B84" s="221"/>
      <c r="C84" s="237">
        <v>45201485</v>
      </c>
      <c r="D84" s="235" t="s">
        <v>3984</v>
      </c>
      <c r="E84" s="231">
        <v>5800</v>
      </c>
      <c r="F84" s="79">
        <f t="shared" si="12"/>
        <v>3190.0000000000005</v>
      </c>
      <c r="G84" s="80">
        <f t="shared" si="13"/>
        <v>0</v>
      </c>
      <c r="H84" s="79">
        <f t="shared" si="14"/>
        <v>100.07030000000002</v>
      </c>
      <c r="I84" s="18">
        <f t="shared" si="15"/>
        <v>0</v>
      </c>
      <c r="J84" s="18">
        <f t="shared" si="16"/>
        <v>87.40600000000002</v>
      </c>
      <c r="K84" s="18">
        <f t="shared" si="17"/>
        <v>0</v>
      </c>
      <c r="L84" s="18">
        <f t="shared" si="18"/>
        <v>72.732000000000014</v>
      </c>
      <c r="M84" s="18">
        <f t="shared" si="19"/>
        <v>0</v>
      </c>
      <c r="N84" s="18">
        <f t="shared" si="20"/>
        <v>65.076000000000008</v>
      </c>
      <c r="O84" s="18">
        <f t="shared" si="21"/>
        <v>0</v>
      </c>
      <c r="P84" s="15">
        <f t="shared" si="22"/>
        <v>59.015000000000008</v>
      </c>
      <c r="Q84" s="15">
        <f t="shared" si="23"/>
        <v>0</v>
      </c>
    </row>
    <row r="85" spans="1:17" s="219" customFormat="1" ht="26.25" thickBot="1">
      <c r="A85" s="1358"/>
      <c r="B85" s="221"/>
      <c r="C85" s="746">
        <v>45201487</v>
      </c>
      <c r="D85" s="225" t="s">
        <v>3985</v>
      </c>
      <c r="E85" s="224">
        <v>6800</v>
      </c>
      <c r="F85" s="79">
        <f t="shared" si="12"/>
        <v>3740.0000000000005</v>
      </c>
      <c r="G85" s="80">
        <f t="shared" si="13"/>
        <v>0</v>
      </c>
      <c r="H85" s="79">
        <f t="shared" si="14"/>
        <v>117.32380000000002</v>
      </c>
      <c r="I85" s="18">
        <f t="shared" si="15"/>
        <v>0</v>
      </c>
      <c r="J85" s="18">
        <f t="shared" si="16"/>
        <v>102.47600000000001</v>
      </c>
      <c r="K85" s="18">
        <f t="shared" si="17"/>
        <v>0</v>
      </c>
      <c r="L85" s="18">
        <f t="shared" si="18"/>
        <v>85.27200000000002</v>
      </c>
      <c r="M85" s="18">
        <f t="shared" si="19"/>
        <v>0</v>
      </c>
      <c r="N85" s="18">
        <f t="shared" si="20"/>
        <v>76.296000000000021</v>
      </c>
      <c r="O85" s="18">
        <f t="shared" si="21"/>
        <v>0</v>
      </c>
      <c r="P85" s="15">
        <f t="shared" si="22"/>
        <v>69.190000000000012</v>
      </c>
      <c r="Q85" s="15">
        <f t="shared" si="23"/>
        <v>0</v>
      </c>
    </row>
    <row r="86" spans="1:17" s="219" customFormat="1" ht="13.5" thickBot="1">
      <c r="A86" s="1358"/>
      <c r="B86" s="221"/>
      <c r="C86" s="746">
        <v>45206712</v>
      </c>
      <c r="D86" s="225" t="s">
        <v>3784</v>
      </c>
      <c r="E86" s="224">
        <v>2500</v>
      </c>
      <c r="F86" s="79">
        <f t="shared" si="12"/>
        <v>1375</v>
      </c>
      <c r="G86" s="81">
        <f t="shared" si="13"/>
        <v>0</v>
      </c>
      <c r="H86" s="18">
        <f t="shared" si="14"/>
        <v>43.133750000000006</v>
      </c>
      <c r="I86" s="18">
        <f t="shared" si="15"/>
        <v>0</v>
      </c>
      <c r="J86" s="18">
        <f t="shared" si="16"/>
        <v>37.675000000000004</v>
      </c>
      <c r="K86" s="18">
        <f t="shared" si="17"/>
        <v>0</v>
      </c>
      <c r="L86" s="18">
        <f t="shared" si="18"/>
        <v>31.35</v>
      </c>
      <c r="M86" s="18">
        <f t="shared" si="19"/>
        <v>0</v>
      </c>
      <c r="N86" s="18">
        <f t="shared" si="20"/>
        <v>28.05</v>
      </c>
      <c r="O86" s="18">
        <f t="shared" si="21"/>
        <v>0</v>
      </c>
      <c r="P86" s="15">
        <f t="shared" si="22"/>
        <v>25.4375</v>
      </c>
      <c r="Q86" s="15">
        <f t="shared" si="23"/>
        <v>0</v>
      </c>
    </row>
    <row r="87" spans="1:17" s="219" customFormat="1" ht="26.25" thickBot="1">
      <c r="A87" s="1358"/>
      <c r="B87" s="221"/>
      <c r="C87" s="746">
        <v>45206719</v>
      </c>
      <c r="D87" s="225" t="s">
        <v>3820</v>
      </c>
      <c r="E87" s="224">
        <v>3000</v>
      </c>
      <c r="F87" s="79">
        <f t="shared" si="12"/>
        <v>1650.0000000000002</v>
      </c>
      <c r="G87" s="80">
        <f t="shared" si="13"/>
        <v>0</v>
      </c>
      <c r="H87" s="79">
        <f t="shared" si="14"/>
        <v>51.760500000000008</v>
      </c>
      <c r="I87" s="18">
        <f t="shared" si="15"/>
        <v>0</v>
      </c>
      <c r="J87" s="18">
        <f t="shared" si="16"/>
        <v>45.210000000000008</v>
      </c>
      <c r="K87" s="18">
        <f t="shared" si="17"/>
        <v>0</v>
      </c>
      <c r="L87" s="18">
        <f t="shared" si="18"/>
        <v>37.620000000000005</v>
      </c>
      <c r="M87" s="18">
        <f t="shared" si="19"/>
        <v>0</v>
      </c>
      <c r="N87" s="18">
        <f t="shared" si="20"/>
        <v>33.660000000000004</v>
      </c>
      <c r="O87" s="18">
        <f t="shared" si="21"/>
        <v>0</v>
      </c>
      <c r="P87" s="15">
        <f t="shared" si="22"/>
        <v>30.525000000000002</v>
      </c>
      <c r="Q87" s="15">
        <f t="shared" si="23"/>
        <v>0</v>
      </c>
    </row>
    <row r="88" spans="1:17" s="244" customFormat="1" ht="13.5" thickBot="1">
      <c r="A88" s="1358"/>
      <c r="B88" s="229"/>
      <c r="C88" s="237">
        <v>100000006365</v>
      </c>
      <c r="D88" s="235" t="s">
        <v>4199</v>
      </c>
      <c r="E88" s="231">
        <v>899</v>
      </c>
      <c r="F88" s="79">
        <f t="shared" si="12"/>
        <v>494.45000000000005</v>
      </c>
      <c r="G88" s="80">
        <f t="shared" si="13"/>
        <v>0</v>
      </c>
      <c r="H88" s="79">
        <f t="shared" si="14"/>
        <v>15.510896500000003</v>
      </c>
      <c r="I88" s="18">
        <f t="shared" si="15"/>
        <v>0</v>
      </c>
      <c r="J88" s="18">
        <f t="shared" si="16"/>
        <v>13.547930000000001</v>
      </c>
      <c r="K88" s="18">
        <f t="shared" si="17"/>
        <v>0</v>
      </c>
      <c r="L88" s="18">
        <f t="shared" si="18"/>
        <v>11.273460000000002</v>
      </c>
      <c r="M88" s="18">
        <f t="shared" si="19"/>
        <v>0</v>
      </c>
      <c r="N88" s="18">
        <f t="shared" si="20"/>
        <v>10.086780000000001</v>
      </c>
      <c r="O88" s="18">
        <f t="shared" si="21"/>
        <v>0</v>
      </c>
      <c r="P88" s="15">
        <f t="shared" si="22"/>
        <v>9.1473250000000004</v>
      </c>
      <c r="Q88" s="15">
        <f t="shared" si="23"/>
        <v>0</v>
      </c>
    </row>
    <row r="89" spans="1:17" s="244" customFormat="1" ht="13.5" thickBot="1">
      <c r="A89" s="1358"/>
      <c r="B89" s="229"/>
      <c r="C89" s="237">
        <v>45112781</v>
      </c>
      <c r="D89" s="235" t="s">
        <v>3979</v>
      </c>
      <c r="E89" s="231">
        <v>5394</v>
      </c>
      <c r="F89" s="79">
        <f t="shared" si="12"/>
        <v>2966.7000000000003</v>
      </c>
      <c r="G89" s="80">
        <f t="shared" si="13"/>
        <v>0</v>
      </c>
      <c r="H89" s="79">
        <f t="shared" si="14"/>
        <v>93.065379000000021</v>
      </c>
      <c r="I89" s="18">
        <f t="shared" si="15"/>
        <v>0</v>
      </c>
      <c r="J89" s="18">
        <f t="shared" si="16"/>
        <v>81.287580000000005</v>
      </c>
      <c r="K89" s="18">
        <f t="shared" si="17"/>
        <v>0</v>
      </c>
      <c r="L89" s="18">
        <f t="shared" si="18"/>
        <v>67.640760000000014</v>
      </c>
      <c r="M89" s="18">
        <f t="shared" si="19"/>
        <v>0</v>
      </c>
      <c r="N89" s="18">
        <f t="shared" si="20"/>
        <v>60.520680000000013</v>
      </c>
      <c r="O89" s="18">
        <f t="shared" si="21"/>
        <v>0</v>
      </c>
      <c r="P89" s="15">
        <f t="shared" si="22"/>
        <v>54.883950000000006</v>
      </c>
      <c r="Q89" s="15">
        <f t="shared" si="23"/>
        <v>0</v>
      </c>
    </row>
    <row r="90" spans="1:17" s="244" customFormat="1" ht="13.5" thickBot="1">
      <c r="A90" s="1358"/>
      <c r="B90" s="229"/>
      <c r="C90" s="237">
        <v>100000006366</v>
      </c>
      <c r="D90" s="235" t="s">
        <v>4200</v>
      </c>
      <c r="E90" s="231">
        <v>700</v>
      </c>
      <c r="F90" s="79">
        <f t="shared" si="12"/>
        <v>385.00000000000006</v>
      </c>
      <c r="G90" s="80">
        <f t="shared" si="13"/>
        <v>0</v>
      </c>
      <c r="H90" s="79">
        <f t="shared" si="14"/>
        <v>12.077450000000002</v>
      </c>
      <c r="I90" s="18">
        <f t="shared" si="15"/>
        <v>0</v>
      </c>
      <c r="J90" s="18">
        <f t="shared" si="16"/>
        <v>10.549000000000001</v>
      </c>
      <c r="K90" s="18">
        <f t="shared" si="17"/>
        <v>0</v>
      </c>
      <c r="L90" s="18">
        <f t="shared" si="18"/>
        <v>8.7780000000000022</v>
      </c>
      <c r="M90" s="18">
        <f t="shared" si="19"/>
        <v>0</v>
      </c>
      <c r="N90" s="18">
        <f t="shared" si="20"/>
        <v>7.8540000000000019</v>
      </c>
      <c r="O90" s="18">
        <f t="shared" si="21"/>
        <v>0</v>
      </c>
      <c r="P90" s="15">
        <f t="shared" si="22"/>
        <v>7.1225000000000005</v>
      </c>
      <c r="Q90" s="15">
        <f t="shared" si="23"/>
        <v>0</v>
      </c>
    </row>
    <row r="91" spans="1:17" s="244" customFormat="1" ht="13.5" thickBot="1">
      <c r="A91" s="1358"/>
      <c r="B91" s="229"/>
      <c r="C91" s="746">
        <v>45206722</v>
      </c>
      <c r="D91" s="225" t="s">
        <v>3882</v>
      </c>
      <c r="E91" s="224">
        <v>4200</v>
      </c>
      <c r="F91" s="79">
        <f t="shared" si="12"/>
        <v>2310</v>
      </c>
      <c r="G91" s="80">
        <f t="shared" si="13"/>
        <v>0</v>
      </c>
      <c r="H91" s="79">
        <f t="shared" si="14"/>
        <v>72.464700000000008</v>
      </c>
      <c r="I91" s="18">
        <f t="shared" si="15"/>
        <v>0</v>
      </c>
      <c r="J91" s="18">
        <f t="shared" si="16"/>
        <v>63.294000000000004</v>
      </c>
      <c r="K91" s="18">
        <f t="shared" si="17"/>
        <v>0</v>
      </c>
      <c r="L91" s="18">
        <f t="shared" si="18"/>
        <v>52.667999999999999</v>
      </c>
      <c r="M91" s="18">
        <f t="shared" si="19"/>
        <v>0</v>
      </c>
      <c r="N91" s="18">
        <f t="shared" si="20"/>
        <v>47.124000000000002</v>
      </c>
      <c r="O91" s="18">
        <f t="shared" si="21"/>
        <v>0</v>
      </c>
      <c r="P91" s="15">
        <f t="shared" si="22"/>
        <v>42.734999999999999</v>
      </c>
      <c r="Q91" s="15">
        <f t="shared" si="23"/>
        <v>0</v>
      </c>
    </row>
    <row r="92" spans="1:17" s="244" customFormat="1" ht="13.5" thickBot="1">
      <c r="A92" s="1358"/>
      <c r="B92" s="229"/>
      <c r="C92" s="237">
        <v>100000006367</v>
      </c>
      <c r="D92" s="235" t="s">
        <v>4201</v>
      </c>
      <c r="E92" s="231">
        <v>1000</v>
      </c>
      <c r="F92" s="79">
        <f t="shared" ref="F92:F123" si="24">E92*(1-45%)</f>
        <v>550</v>
      </c>
      <c r="G92" s="80">
        <f t="shared" ref="G92:G123" si="25">F92*B92</f>
        <v>0</v>
      </c>
      <c r="H92" s="79">
        <f t="shared" ref="H92:H123" si="26">F92*0.03137</f>
        <v>17.253500000000003</v>
      </c>
      <c r="I92" s="18">
        <f t="shared" ref="I92:I123" si="27">H92*B92</f>
        <v>0</v>
      </c>
      <c r="J92" s="18">
        <f t="shared" si="16"/>
        <v>15.07</v>
      </c>
      <c r="K92" s="18">
        <f t="shared" ref="K92:K123" si="28">J92*B92</f>
        <v>0</v>
      </c>
      <c r="L92" s="18">
        <f t="shared" ref="L92:L123" si="29">F92*0.0228</f>
        <v>12.540000000000001</v>
      </c>
      <c r="M92" s="18">
        <f t="shared" ref="M92:M123" si="30">L92*B92</f>
        <v>0</v>
      </c>
      <c r="N92" s="18">
        <f t="shared" ref="N92:N123" si="31">F92*0.0204</f>
        <v>11.22</v>
      </c>
      <c r="O92" s="18">
        <f t="shared" ref="O92:O123" si="32">N92*B92</f>
        <v>0</v>
      </c>
      <c r="P92" s="15">
        <f t="shared" ref="P92:P123" si="33">F92*0.0185</f>
        <v>10.174999999999999</v>
      </c>
      <c r="Q92" s="15">
        <f t="shared" ref="Q92:Q123" si="34">P92*B92</f>
        <v>0</v>
      </c>
    </row>
    <row r="93" spans="1:17" s="244" customFormat="1" ht="26.25" thickBot="1">
      <c r="A93" s="1358"/>
      <c r="B93" s="229"/>
      <c r="C93" s="746">
        <v>45206725</v>
      </c>
      <c r="D93" s="225" t="s">
        <v>3883</v>
      </c>
      <c r="E93" s="224">
        <v>6000</v>
      </c>
      <c r="F93" s="79">
        <f t="shared" si="24"/>
        <v>3300.0000000000005</v>
      </c>
      <c r="G93" s="81">
        <f t="shared" si="25"/>
        <v>0</v>
      </c>
      <c r="H93" s="18">
        <f t="shared" si="26"/>
        <v>103.52100000000002</v>
      </c>
      <c r="I93" s="18">
        <f t="shared" si="27"/>
        <v>0</v>
      </c>
      <c r="J93" s="18">
        <f t="shared" si="16"/>
        <v>90.420000000000016</v>
      </c>
      <c r="K93" s="18">
        <f t="shared" si="28"/>
        <v>0</v>
      </c>
      <c r="L93" s="18">
        <f t="shared" si="29"/>
        <v>75.240000000000009</v>
      </c>
      <c r="M93" s="18">
        <f t="shared" si="30"/>
        <v>0</v>
      </c>
      <c r="N93" s="18">
        <f t="shared" si="31"/>
        <v>67.320000000000007</v>
      </c>
      <c r="O93" s="18">
        <f t="shared" si="32"/>
        <v>0</v>
      </c>
      <c r="P93" s="15">
        <f t="shared" si="33"/>
        <v>61.050000000000004</v>
      </c>
      <c r="Q93" s="15">
        <f t="shared" si="34"/>
        <v>0</v>
      </c>
    </row>
    <row r="94" spans="1:17" s="244" customFormat="1" ht="13.5" thickBot="1">
      <c r="A94" s="1358"/>
      <c r="B94" s="229"/>
      <c r="C94" s="746" t="s">
        <v>3830</v>
      </c>
      <c r="D94" s="225" t="s">
        <v>4164</v>
      </c>
      <c r="E94" s="231">
        <v>5726</v>
      </c>
      <c r="F94" s="79">
        <f t="shared" si="24"/>
        <v>3149.3</v>
      </c>
      <c r="G94" s="81">
        <f t="shared" si="25"/>
        <v>0</v>
      </c>
      <c r="H94" s="18">
        <f t="shared" si="26"/>
        <v>98.793541000000019</v>
      </c>
      <c r="I94" s="18">
        <f t="shared" si="27"/>
        <v>0</v>
      </c>
      <c r="J94" s="18">
        <f>F94*0.02564</f>
        <v>80.748052000000001</v>
      </c>
      <c r="K94" s="18">
        <f t="shared" si="28"/>
        <v>0</v>
      </c>
      <c r="L94" s="18">
        <f t="shared" si="29"/>
        <v>71.804040000000001</v>
      </c>
      <c r="M94" s="18">
        <f t="shared" si="30"/>
        <v>0</v>
      </c>
      <c r="N94" s="18">
        <f t="shared" si="31"/>
        <v>64.245720000000006</v>
      </c>
      <c r="O94" s="18">
        <f t="shared" si="32"/>
        <v>0</v>
      </c>
      <c r="P94" s="15">
        <f t="shared" si="33"/>
        <v>58.262050000000002</v>
      </c>
      <c r="Q94" s="15">
        <f t="shared" si="34"/>
        <v>0</v>
      </c>
    </row>
    <row r="95" spans="1:17" s="244" customFormat="1" ht="13.5" thickBot="1">
      <c r="A95" s="1358"/>
      <c r="B95" s="229"/>
      <c r="C95" s="237" t="s">
        <v>3738</v>
      </c>
      <c r="D95" s="235" t="s">
        <v>4168</v>
      </c>
      <c r="E95" s="231">
        <v>6497</v>
      </c>
      <c r="F95" s="79">
        <f t="shared" si="24"/>
        <v>3573.3500000000004</v>
      </c>
      <c r="G95" s="81">
        <f t="shared" si="25"/>
        <v>0</v>
      </c>
      <c r="H95" s="18">
        <f t="shared" si="26"/>
        <v>112.09598950000002</v>
      </c>
      <c r="I95" s="18">
        <f t="shared" si="27"/>
        <v>0</v>
      </c>
      <c r="J95" s="18">
        <f t="shared" ref="J95:J133" si="35">F95*0.0274</f>
        <v>97.909790000000015</v>
      </c>
      <c r="K95" s="18">
        <f t="shared" si="28"/>
        <v>0</v>
      </c>
      <c r="L95" s="18">
        <f t="shared" si="29"/>
        <v>81.472380000000015</v>
      </c>
      <c r="M95" s="18">
        <f t="shared" si="30"/>
        <v>0</v>
      </c>
      <c r="N95" s="18">
        <f t="shared" si="31"/>
        <v>72.896340000000009</v>
      </c>
      <c r="O95" s="18">
        <f t="shared" si="32"/>
        <v>0</v>
      </c>
      <c r="P95" s="15">
        <f t="shared" si="33"/>
        <v>66.106975000000006</v>
      </c>
      <c r="Q95" s="15">
        <f t="shared" si="34"/>
        <v>0</v>
      </c>
    </row>
    <row r="96" spans="1:17" s="244" customFormat="1" ht="26.25" thickBot="1">
      <c r="A96" s="1358"/>
      <c r="B96" s="229"/>
      <c r="C96" s="237">
        <v>45150368</v>
      </c>
      <c r="D96" s="235" t="s">
        <v>4202</v>
      </c>
      <c r="E96" s="231">
        <v>6370</v>
      </c>
      <c r="F96" s="79">
        <f t="shared" si="24"/>
        <v>3503.5000000000005</v>
      </c>
      <c r="G96" s="81">
        <f t="shared" si="25"/>
        <v>0</v>
      </c>
      <c r="H96" s="18">
        <f t="shared" si="26"/>
        <v>109.90479500000002</v>
      </c>
      <c r="I96" s="18">
        <f t="shared" si="27"/>
        <v>0</v>
      </c>
      <c r="J96" s="18">
        <f t="shared" si="35"/>
        <v>95.99590000000002</v>
      </c>
      <c r="K96" s="18">
        <f t="shared" si="28"/>
        <v>0</v>
      </c>
      <c r="L96" s="18">
        <f t="shared" si="29"/>
        <v>79.879800000000017</v>
      </c>
      <c r="M96" s="18">
        <f t="shared" si="30"/>
        <v>0</v>
      </c>
      <c r="N96" s="18">
        <f t="shared" si="31"/>
        <v>71.471400000000017</v>
      </c>
      <c r="O96" s="18">
        <f t="shared" si="32"/>
        <v>0</v>
      </c>
      <c r="P96" s="15">
        <f t="shared" si="33"/>
        <v>64.814750000000004</v>
      </c>
      <c r="Q96" s="15">
        <f t="shared" si="34"/>
        <v>0</v>
      </c>
    </row>
    <row r="97" spans="1:17" s="244" customFormat="1" ht="13.5" thickBot="1">
      <c r="A97" s="1358"/>
      <c r="B97" s="229"/>
      <c r="C97" s="237" t="s">
        <v>4130</v>
      </c>
      <c r="D97" s="235" t="s">
        <v>4182</v>
      </c>
      <c r="E97" s="231">
        <v>22968.75</v>
      </c>
      <c r="F97" s="79">
        <f t="shared" si="24"/>
        <v>12632.812500000002</v>
      </c>
      <c r="G97" s="81">
        <f t="shared" si="25"/>
        <v>0</v>
      </c>
      <c r="H97" s="18">
        <f t="shared" si="26"/>
        <v>396.29132812500006</v>
      </c>
      <c r="I97" s="18">
        <f t="shared" si="27"/>
        <v>0</v>
      </c>
      <c r="J97" s="18">
        <f t="shared" si="35"/>
        <v>346.13906250000008</v>
      </c>
      <c r="K97" s="18">
        <f t="shared" si="28"/>
        <v>0</v>
      </c>
      <c r="L97" s="18">
        <f t="shared" si="29"/>
        <v>288.02812500000005</v>
      </c>
      <c r="M97" s="18">
        <f t="shared" si="30"/>
        <v>0</v>
      </c>
      <c r="N97" s="18">
        <f t="shared" si="31"/>
        <v>257.70937500000008</v>
      </c>
      <c r="O97" s="18">
        <f t="shared" si="32"/>
        <v>0</v>
      </c>
      <c r="P97" s="15">
        <f t="shared" si="33"/>
        <v>233.70703125000003</v>
      </c>
      <c r="Q97" s="15">
        <f t="shared" si="34"/>
        <v>0</v>
      </c>
    </row>
    <row r="98" spans="1:17" s="244" customFormat="1" ht="13.5" thickBot="1">
      <c r="A98" s="1358"/>
      <c r="B98" s="229"/>
      <c r="C98" s="744">
        <v>7723000</v>
      </c>
      <c r="D98" s="223" t="s">
        <v>782</v>
      </c>
      <c r="E98" s="224">
        <v>47440.18</v>
      </c>
      <c r="F98" s="13">
        <f t="shared" si="24"/>
        <v>26092.099000000002</v>
      </c>
      <c r="G98" s="17">
        <f t="shared" si="25"/>
        <v>0</v>
      </c>
      <c r="H98" s="15">
        <f t="shared" si="26"/>
        <v>818.50914563000015</v>
      </c>
      <c r="I98" s="15">
        <f t="shared" si="27"/>
        <v>0</v>
      </c>
      <c r="J98" s="15">
        <f t="shared" si="35"/>
        <v>714.92351260000009</v>
      </c>
      <c r="K98" s="15">
        <f t="shared" si="28"/>
        <v>0</v>
      </c>
      <c r="L98" s="15">
        <f t="shared" si="29"/>
        <v>594.89985720000004</v>
      </c>
      <c r="M98" s="15">
        <f t="shared" si="30"/>
        <v>0</v>
      </c>
      <c r="N98" s="15">
        <f t="shared" si="31"/>
        <v>532.27881960000013</v>
      </c>
      <c r="O98" s="15">
        <f t="shared" si="32"/>
        <v>0</v>
      </c>
      <c r="P98" s="15">
        <f t="shared" si="33"/>
        <v>482.70383150000004</v>
      </c>
      <c r="Q98" s="15">
        <f t="shared" si="34"/>
        <v>0</v>
      </c>
    </row>
    <row r="99" spans="1:17" s="244" customFormat="1" ht="13.5" thickBot="1">
      <c r="A99" s="1358"/>
      <c r="B99" s="229"/>
      <c r="C99" s="237">
        <v>45150140</v>
      </c>
      <c r="D99" s="235" t="s">
        <v>3980</v>
      </c>
      <c r="E99" s="231">
        <v>1200</v>
      </c>
      <c r="F99" s="79">
        <f t="shared" si="24"/>
        <v>660</v>
      </c>
      <c r="G99" s="81">
        <f t="shared" si="25"/>
        <v>0</v>
      </c>
      <c r="H99" s="18">
        <f t="shared" si="26"/>
        <v>20.7042</v>
      </c>
      <c r="I99" s="18">
        <f t="shared" si="27"/>
        <v>0</v>
      </c>
      <c r="J99" s="18">
        <f t="shared" si="35"/>
        <v>18.084</v>
      </c>
      <c r="K99" s="18">
        <f t="shared" si="28"/>
        <v>0</v>
      </c>
      <c r="L99" s="18">
        <f t="shared" si="29"/>
        <v>15.048</v>
      </c>
      <c r="M99" s="18">
        <f t="shared" si="30"/>
        <v>0</v>
      </c>
      <c r="N99" s="18">
        <f t="shared" si="31"/>
        <v>13.464</v>
      </c>
      <c r="O99" s="18">
        <f t="shared" si="32"/>
        <v>0</v>
      </c>
      <c r="P99" s="15">
        <f t="shared" si="33"/>
        <v>12.209999999999999</v>
      </c>
      <c r="Q99" s="15">
        <f t="shared" si="34"/>
        <v>0</v>
      </c>
    </row>
    <row r="100" spans="1:17" s="244" customFormat="1" ht="13.5" thickBot="1">
      <c r="A100" s="1358"/>
      <c r="B100" s="229"/>
      <c r="C100" s="746" t="s">
        <v>575</v>
      </c>
      <c r="D100" s="225" t="s">
        <v>3962</v>
      </c>
      <c r="E100" s="224">
        <v>11660</v>
      </c>
      <c r="F100" s="79">
        <f t="shared" si="24"/>
        <v>6413.0000000000009</v>
      </c>
      <c r="G100" s="81">
        <f t="shared" si="25"/>
        <v>0</v>
      </c>
      <c r="H100" s="18">
        <f t="shared" si="26"/>
        <v>201.17581000000004</v>
      </c>
      <c r="I100" s="18">
        <f t="shared" si="27"/>
        <v>0</v>
      </c>
      <c r="J100" s="18">
        <f t="shared" si="35"/>
        <v>175.71620000000004</v>
      </c>
      <c r="K100" s="18">
        <f t="shared" si="28"/>
        <v>0</v>
      </c>
      <c r="L100" s="18">
        <f t="shared" si="29"/>
        <v>146.21640000000002</v>
      </c>
      <c r="M100" s="18">
        <f t="shared" si="30"/>
        <v>0</v>
      </c>
      <c r="N100" s="18">
        <f t="shared" si="31"/>
        <v>130.82520000000002</v>
      </c>
      <c r="O100" s="18">
        <f t="shared" si="32"/>
        <v>0</v>
      </c>
      <c r="P100" s="15">
        <f t="shared" si="33"/>
        <v>118.64050000000002</v>
      </c>
      <c r="Q100" s="15">
        <f t="shared" si="34"/>
        <v>0</v>
      </c>
    </row>
    <row r="101" spans="1:17" s="244" customFormat="1" ht="13.5" thickBot="1">
      <c r="A101" s="1358"/>
      <c r="B101" s="229"/>
      <c r="C101" s="237" t="s">
        <v>576</v>
      </c>
      <c r="D101" s="235" t="s">
        <v>4183</v>
      </c>
      <c r="E101" s="231">
        <v>2566</v>
      </c>
      <c r="F101" s="79">
        <f t="shared" si="24"/>
        <v>1411.3000000000002</v>
      </c>
      <c r="G101" s="81">
        <f t="shared" si="25"/>
        <v>0</v>
      </c>
      <c r="H101" s="18">
        <f t="shared" si="26"/>
        <v>44.272481000000006</v>
      </c>
      <c r="I101" s="18">
        <f t="shared" si="27"/>
        <v>0</v>
      </c>
      <c r="J101" s="18">
        <f t="shared" si="35"/>
        <v>38.669620000000009</v>
      </c>
      <c r="K101" s="18">
        <f t="shared" si="28"/>
        <v>0</v>
      </c>
      <c r="L101" s="18">
        <f t="shared" si="29"/>
        <v>32.177640000000004</v>
      </c>
      <c r="M101" s="18">
        <f t="shared" si="30"/>
        <v>0</v>
      </c>
      <c r="N101" s="18">
        <f t="shared" si="31"/>
        <v>28.790520000000004</v>
      </c>
      <c r="O101" s="18">
        <f t="shared" si="32"/>
        <v>0</v>
      </c>
      <c r="P101" s="15">
        <f t="shared" si="33"/>
        <v>26.109050000000003</v>
      </c>
      <c r="Q101" s="15">
        <f t="shared" si="34"/>
        <v>0</v>
      </c>
    </row>
    <row r="102" spans="1:17" s="244" customFormat="1" ht="13.5" thickBot="1">
      <c r="A102" s="1358"/>
      <c r="B102" s="229"/>
      <c r="C102" s="237" t="s">
        <v>267</v>
      </c>
      <c r="D102" s="235" t="s">
        <v>3850</v>
      </c>
      <c r="E102" s="231">
        <v>275</v>
      </c>
      <c r="F102" s="79">
        <f t="shared" si="24"/>
        <v>151.25</v>
      </c>
      <c r="G102" s="81">
        <f t="shared" si="25"/>
        <v>0</v>
      </c>
      <c r="H102" s="18">
        <f t="shared" si="26"/>
        <v>4.7447125000000003</v>
      </c>
      <c r="I102" s="18">
        <f t="shared" si="27"/>
        <v>0</v>
      </c>
      <c r="J102" s="18">
        <f t="shared" si="35"/>
        <v>4.1442500000000004</v>
      </c>
      <c r="K102" s="18">
        <f t="shared" si="28"/>
        <v>0</v>
      </c>
      <c r="L102" s="18">
        <f t="shared" si="29"/>
        <v>3.4485000000000001</v>
      </c>
      <c r="M102" s="18">
        <f t="shared" si="30"/>
        <v>0</v>
      </c>
      <c r="N102" s="18">
        <f t="shared" si="31"/>
        <v>3.0855000000000001</v>
      </c>
      <c r="O102" s="18">
        <f t="shared" si="32"/>
        <v>0</v>
      </c>
      <c r="P102" s="15">
        <f t="shared" si="33"/>
        <v>2.7981249999999998</v>
      </c>
      <c r="Q102" s="15">
        <f t="shared" si="34"/>
        <v>0</v>
      </c>
    </row>
    <row r="103" spans="1:17" s="244" customFormat="1" ht="13.5" thickBot="1">
      <c r="A103" s="1358"/>
      <c r="B103" s="229"/>
      <c r="C103" s="237" t="s">
        <v>618</v>
      </c>
      <c r="D103" s="235" t="s">
        <v>3856</v>
      </c>
      <c r="E103" s="231">
        <v>1954</v>
      </c>
      <c r="F103" s="79">
        <f t="shared" si="24"/>
        <v>1074.7</v>
      </c>
      <c r="G103" s="81">
        <f t="shared" si="25"/>
        <v>0</v>
      </c>
      <c r="H103" s="18">
        <f t="shared" si="26"/>
        <v>33.713339000000005</v>
      </c>
      <c r="I103" s="18">
        <f t="shared" si="27"/>
        <v>0</v>
      </c>
      <c r="J103" s="18">
        <f t="shared" si="35"/>
        <v>29.44678</v>
      </c>
      <c r="K103" s="18">
        <f t="shared" si="28"/>
        <v>0</v>
      </c>
      <c r="L103" s="18">
        <f t="shared" si="29"/>
        <v>24.503160000000001</v>
      </c>
      <c r="M103" s="18">
        <f t="shared" si="30"/>
        <v>0</v>
      </c>
      <c r="N103" s="18">
        <f t="shared" si="31"/>
        <v>21.923880000000004</v>
      </c>
      <c r="O103" s="18">
        <f t="shared" si="32"/>
        <v>0</v>
      </c>
      <c r="P103" s="15">
        <f t="shared" si="33"/>
        <v>19.88195</v>
      </c>
      <c r="Q103" s="15">
        <f t="shared" si="34"/>
        <v>0</v>
      </c>
    </row>
    <row r="104" spans="1:17" s="244" customFormat="1" ht="13.5" thickBot="1">
      <c r="A104" s="1358"/>
      <c r="B104" s="229"/>
      <c r="C104" s="746" t="s">
        <v>4206</v>
      </c>
      <c r="D104" s="225" t="s">
        <v>4207</v>
      </c>
      <c r="E104" s="224">
        <v>5200</v>
      </c>
      <c r="F104" s="79">
        <f t="shared" si="24"/>
        <v>2860.0000000000005</v>
      </c>
      <c r="G104" s="81">
        <f t="shared" si="25"/>
        <v>0</v>
      </c>
      <c r="H104" s="18">
        <f t="shared" si="26"/>
        <v>89.718200000000024</v>
      </c>
      <c r="I104" s="18">
        <f t="shared" si="27"/>
        <v>0</v>
      </c>
      <c r="J104" s="18">
        <f t="shared" si="35"/>
        <v>78.364000000000019</v>
      </c>
      <c r="K104" s="18">
        <f t="shared" si="28"/>
        <v>0</v>
      </c>
      <c r="L104" s="18">
        <f t="shared" si="29"/>
        <v>65.208000000000013</v>
      </c>
      <c r="M104" s="18">
        <f t="shared" si="30"/>
        <v>0</v>
      </c>
      <c r="N104" s="18">
        <f t="shared" si="31"/>
        <v>58.344000000000015</v>
      </c>
      <c r="O104" s="18">
        <f t="shared" si="32"/>
        <v>0</v>
      </c>
      <c r="P104" s="15">
        <f t="shared" si="33"/>
        <v>52.910000000000004</v>
      </c>
      <c r="Q104" s="15">
        <f t="shared" si="34"/>
        <v>0</v>
      </c>
    </row>
    <row r="105" spans="1:17" s="244" customFormat="1" ht="13.5" thickBot="1">
      <c r="A105" s="1358"/>
      <c r="B105" s="229"/>
      <c r="C105" s="746" t="s">
        <v>3766</v>
      </c>
      <c r="D105" s="225" t="s">
        <v>4214</v>
      </c>
      <c r="E105" s="224">
        <v>35280</v>
      </c>
      <c r="F105" s="79">
        <f t="shared" si="24"/>
        <v>19404</v>
      </c>
      <c r="G105" s="81">
        <f t="shared" si="25"/>
        <v>0</v>
      </c>
      <c r="H105" s="18">
        <f t="shared" si="26"/>
        <v>608.70348000000001</v>
      </c>
      <c r="I105" s="18">
        <f t="shared" si="27"/>
        <v>0</v>
      </c>
      <c r="J105" s="18">
        <f t="shared" si="35"/>
        <v>531.66960000000006</v>
      </c>
      <c r="K105" s="18">
        <f t="shared" si="28"/>
        <v>0</v>
      </c>
      <c r="L105" s="18">
        <f t="shared" si="29"/>
        <v>442.41120000000001</v>
      </c>
      <c r="M105" s="18">
        <f t="shared" si="30"/>
        <v>0</v>
      </c>
      <c r="N105" s="18">
        <f t="shared" si="31"/>
        <v>395.84160000000003</v>
      </c>
      <c r="O105" s="18">
        <f t="shared" si="32"/>
        <v>0</v>
      </c>
      <c r="P105" s="15">
        <f t="shared" si="33"/>
        <v>358.97399999999999</v>
      </c>
      <c r="Q105" s="15">
        <f t="shared" si="34"/>
        <v>0</v>
      </c>
    </row>
    <row r="106" spans="1:17" s="244" customFormat="1" ht="13.5" thickBot="1">
      <c r="A106" s="1358"/>
      <c r="B106" s="229"/>
      <c r="C106" s="746" t="s">
        <v>4204</v>
      </c>
      <c r="D106" s="225" t="s">
        <v>4205</v>
      </c>
      <c r="E106" s="224">
        <v>5200</v>
      </c>
      <c r="F106" s="79">
        <f t="shared" si="24"/>
        <v>2860.0000000000005</v>
      </c>
      <c r="G106" s="80">
        <f t="shared" si="25"/>
        <v>0</v>
      </c>
      <c r="H106" s="79">
        <f t="shared" si="26"/>
        <v>89.718200000000024</v>
      </c>
      <c r="I106" s="18">
        <f t="shared" si="27"/>
        <v>0</v>
      </c>
      <c r="J106" s="18">
        <f t="shared" si="35"/>
        <v>78.364000000000019</v>
      </c>
      <c r="K106" s="18">
        <f t="shared" si="28"/>
        <v>0</v>
      </c>
      <c r="L106" s="18">
        <f t="shared" si="29"/>
        <v>65.208000000000013</v>
      </c>
      <c r="M106" s="18">
        <f t="shared" si="30"/>
        <v>0</v>
      </c>
      <c r="N106" s="18">
        <f t="shared" si="31"/>
        <v>58.344000000000015</v>
      </c>
      <c r="O106" s="18">
        <f t="shared" si="32"/>
        <v>0</v>
      </c>
      <c r="P106" s="15">
        <f t="shared" si="33"/>
        <v>52.910000000000004</v>
      </c>
      <c r="Q106" s="15">
        <f t="shared" si="34"/>
        <v>0</v>
      </c>
    </row>
    <row r="107" spans="1:17" s="244" customFormat="1" ht="13.5" thickBot="1">
      <c r="A107" s="1358"/>
      <c r="B107" s="229"/>
      <c r="C107" s="746" t="s">
        <v>4208</v>
      </c>
      <c r="D107" s="225" t="s">
        <v>4209</v>
      </c>
      <c r="E107" s="224">
        <v>5200</v>
      </c>
      <c r="F107" s="79">
        <f t="shared" si="24"/>
        <v>2860.0000000000005</v>
      </c>
      <c r="G107" s="80">
        <f t="shared" si="25"/>
        <v>0</v>
      </c>
      <c r="H107" s="79">
        <f t="shared" si="26"/>
        <v>89.718200000000024</v>
      </c>
      <c r="I107" s="18">
        <f t="shared" si="27"/>
        <v>0</v>
      </c>
      <c r="J107" s="18">
        <f t="shared" si="35"/>
        <v>78.364000000000019</v>
      </c>
      <c r="K107" s="18">
        <f t="shared" si="28"/>
        <v>0</v>
      </c>
      <c r="L107" s="18">
        <f t="shared" si="29"/>
        <v>65.208000000000013</v>
      </c>
      <c r="M107" s="18">
        <f t="shared" si="30"/>
        <v>0</v>
      </c>
      <c r="N107" s="18">
        <f t="shared" si="31"/>
        <v>58.344000000000015</v>
      </c>
      <c r="O107" s="18">
        <f t="shared" si="32"/>
        <v>0</v>
      </c>
      <c r="P107" s="15">
        <f t="shared" si="33"/>
        <v>52.910000000000004</v>
      </c>
      <c r="Q107" s="15">
        <f t="shared" si="34"/>
        <v>0</v>
      </c>
    </row>
    <row r="108" spans="1:17" s="244" customFormat="1" ht="13.5" thickBot="1">
      <c r="A108" s="1358"/>
      <c r="B108" s="229"/>
      <c r="C108" s="746" t="s">
        <v>4210</v>
      </c>
      <c r="D108" s="225" t="s">
        <v>4211</v>
      </c>
      <c r="E108" s="224">
        <v>9995</v>
      </c>
      <c r="F108" s="79">
        <f t="shared" si="24"/>
        <v>5497.25</v>
      </c>
      <c r="G108" s="80">
        <f t="shared" si="25"/>
        <v>0</v>
      </c>
      <c r="H108" s="79">
        <f t="shared" si="26"/>
        <v>172.44873250000001</v>
      </c>
      <c r="I108" s="18">
        <f t="shared" si="27"/>
        <v>0</v>
      </c>
      <c r="J108" s="18">
        <f t="shared" si="35"/>
        <v>150.62465</v>
      </c>
      <c r="K108" s="18">
        <f t="shared" si="28"/>
        <v>0</v>
      </c>
      <c r="L108" s="18">
        <f t="shared" si="29"/>
        <v>125.3373</v>
      </c>
      <c r="M108" s="18">
        <f t="shared" si="30"/>
        <v>0</v>
      </c>
      <c r="N108" s="18">
        <f t="shared" si="31"/>
        <v>112.1439</v>
      </c>
      <c r="O108" s="18">
        <f t="shared" si="32"/>
        <v>0</v>
      </c>
      <c r="P108" s="15">
        <f t="shared" si="33"/>
        <v>101.699125</v>
      </c>
      <c r="Q108" s="15">
        <f t="shared" si="34"/>
        <v>0</v>
      </c>
    </row>
    <row r="109" spans="1:17" s="244" customFormat="1" ht="13.5" thickBot="1">
      <c r="A109" s="1358"/>
      <c r="B109" s="229"/>
      <c r="C109" s="746" t="s">
        <v>4197</v>
      </c>
      <c r="D109" s="225" t="s">
        <v>4198</v>
      </c>
      <c r="E109" s="224">
        <v>32016.6</v>
      </c>
      <c r="F109" s="79">
        <f t="shared" si="24"/>
        <v>17609.13</v>
      </c>
      <c r="G109" s="80">
        <f t="shared" si="25"/>
        <v>0</v>
      </c>
      <c r="H109" s="79">
        <f t="shared" si="26"/>
        <v>552.3984081000001</v>
      </c>
      <c r="I109" s="18">
        <f t="shared" si="27"/>
        <v>0</v>
      </c>
      <c r="J109" s="18">
        <f t="shared" si="35"/>
        <v>482.49016200000005</v>
      </c>
      <c r="K109" s="18">
        <f t="shared" si="28"/>
        <v>0</v>
      </c>
      <c r="L109" s="18">
        <f t="shared" si="29"/>
        <v>401.48816400000004</v>
      </c>
      <c r="M109" s="18">
        <f t="shared" si="30"/>
        <v>0</v>
      </c>
      <c r="N109" s="18">
        <f t="shared" si="31"/>
        <v>359.22625200000004</v>
      </c>
      <c r="O109" s="18">
        <f t="shared" si="32"/>
        <v>0</v>
      </c>
      <c r="P109" s="15">
        <f t="shared" si="33"/>
        <v>325.76890500000002</v>
      </c>
      <c r="Q109" s="15">
        <f t="shared" si="34"/>
        <v>0</v>
      </c>
    </row>
    <row r="110" spans="1:17" s="244" customFormat="1" ht="26.25" thickBot="1">
      <c r="A110" s="1358"/>
      <c r="B110" s="229"/>
      <c r="C110" s="746" t="s">
        <v>4215</v>
      </c>
      <c r="D110" s="225" t="s">
        <v>4216</v>
      </c>
      <c r="E110" s="224">
        <v>83058</v>
      </c>
      <c r="F110" s="79">
        <f t="shared" si="24"/>
        <v>45681.9</v>
      </c>
      <c r="G110" s="80">
        <f t="shared" si="25"/>
        <v>0</v>
      </c>
      <c r="H110" s="79">
        <f t="shared" si="26"/>
        <v>1433.0412030000002</v>
      </c>
      <c r="I110" s="18">
        <f t="shared" si="27"/>
        <v>0</v>
      </c>
      <c r="J110" s="18">
        <f t="shared" si="35"/>
        <v>1251.68406</v>
      </c>
      <c r="K110" s="18">
        <f t="shared" si="28"/>
        <v>0</v>
      </c>
      <c r="L110" s="18">
        <f t="shared" si="29"/>
        <v>1041.5473200000001</v>
      </c>
      <c r="M110" s="18">
        <f t="shared" si="30"/>
        <v>0</v>
      </c>
      <c r="N110" s="18">
        <f t="shared" si="31"/>
        <v>931.9107600000001</v>
      </c>
      <c r="O110" s="18">
        <f t="shared" si="32"/>
        <v>0</v>
      </c>
      <c r="P110" s="15">
        <f t="shared" si="33"/>
        <v>845.11514999999997</v>
      </c>
      <c r="Q110" s="15">
        <f t="shared" si="34"/>
        <v>0</v>
      </c>
    </row>
    <row r="111" spans="1:17" s="244" customFormat="1" ht="26.25" thickBot="1">
      <c r="A111" s="1358"/>
      <c r="B111" s="229"/>
      <c r="C111" s="746" t="s">
        <v>3909</v>
      </c>
      <c r="D111" s="225" t="s">
        <v>4212</v>
      </c>
      <c r="E111" s="224">
        <v>6900</v>
      </c>
      <c r="F111" s="79">
        <f t="shared" si="24"/>
        <v>3795.0000000000005</v>
      </c>
      <c r="G111" s="80">
        <f t="shared" si="25"/>
        <v>0</v>
      </c>
      <c r="H111" s="79">
        <f t="shared" si="26"/>
        <v>119.04915000000003</v>
      </c>
      <c r="I111" s="18">
        <f t="shared" si="27"/>
        <v>0</v>
      </c>
      <c r="J111" s="18">
        <f t="shared" si="35"/>
        <v>103.98300000000002</v>
      </c>
      <c r="K111" s="18">
        <f t="shared" si="28"/>
        <v>0</v>
      </c>
      <c r="L111" s="18">
        <f t="shared" si="29"/>
        <v>86.52600000000001</v>
      </c>
      <c r="M111" s="18">
        <f t="shared" si="30"/>
        <v>0</v>
      </c>
      <c r="N111" s="18">
        <f t="shared" si="31"/>
        <v>77.418000000000021</v>
      </c>
      <c r="O111" s="18">
        <f t="shared" si="32"/>
        <v>0</v>
      </c>
      <c r="P111" s="15">
        <f t="shared" si="33"/>
        <v>70.20750000000001</v>
      </c>
      <c r="Q111" s="15">
        <f t="shared" si="34"/>
        <v>0</v>
      </c>
    </row>
    <row r="112" spans="1:17" s="244" customFormat="1" ht="13.5" thickBot="1">
      <c r="A112" s="1358"/>
      <c r="B112" s="229"/>
      <c r="C112" s="746" t="s">
        <v>3832</v>
      </c>
      <c r="D112" s="225" t="s">
        <v>4110</v>
      </c>
      <c r="E112" s="224">
        <v>1716</v>
      </c>
      <c r="F112" s="79">
        <f t="shared" si="24"/>
        <v>943.80000000000007</v>
      </c>
      <c r="G112" s="80">
        <f t="shared" si="25"/>
        <v>0</v>
      </c>
      <c r="H112" s="79">
        <f t="shared" si="26"/>
        <v>29.607006000000005</v>
      </c>
      <c r="I112" s="18">
        <f t="shared" si="27"/>
        <v>0</v>
      </c>
      <c r="J112" s="18">
        <f t="shared" si="35"/>
        <v>25.860120000000002</v>
      </c>
      <c r="K112" s="18">
        <f t="shared" si="28"/>
        <v>0</v>
      </c>
      <c r="L112" s="18">
        <f t="shared" si="29"/>
        <v>21.518640000000001</v>
      </c>
      <c r="M112" s="18">
        <f t="shared" si="30"/>
        <v>0</v>
      </c>
      <c r="N112" s="18">
        <f t="shared" si="31"/>
        <v>19.253520000000002</v>
      </c>
      <c r="O112" s="18">
        <f t="shared" si="32"/>
        <v>0</v>
      </c>
      <c r="P112" s="15">
        <f t="shared" si="33"/>
        <v>17.4603</v>
      </c>
      <c r="Q112" s="15">
        <f t="shared" si="34"/>
        <v>0</v>
      </c>
    </row>
    <row r="113" spans="1:17" s="244" customFormat="1" ht="13.5" thickBot="1">
      <c r="A113" s="1358"/>
      <c r="B113" s="229"/>
      <c r="C113" s="746" t="s">
        <v>577</v>
      </c>
      <c r="D113" s="225" t="s">
        <v>3960</v>
      </c>
      <c r="E113" s="231">
        <v>19800</v>
      </c>
      <c r="F113" s="79">
        <f t="shared" si="24"/>
        <v>10890</v>
      </c>
      <c r="G113" s="80">
        <f t="shared" si="25"/>
        <v>0</v>
      </c>
      <c r="H113" s="79">
        <f t="shared" si="26"/>
        <v>341.61930000000001</v>
      </c>
      <c r="I113" s="18">
        <f t="shared" si="27"/>
        <v>0</v>
      </c>
      <c r="J113" s="18">
        <f t="shared" si="35"/>
        <v>298.38600000000002</v>
      </c>
      <c r="K113" s="18">
        <f t="shared" si="28"/>
        <v>0</v>
      </c>
      <c r="L113" s="18">
        <f t="shared" si="29"/>
        <v>248.292</v>
      </c>
      <c r="M113" s="18">
        <f t="shared" si="30"/>
        <v>0</v>
      </c>
      <c r="N113" s="18">
        <f t="shared" si="31"/>
        <v>222.15600000000001</v>
      </c>
      <c r="O113" s="18">
        <f t="shared" si="32"/>
        <v>0</v>
      </c>
      <c r="P113" s="15">
        <f t="shared" si="33"/>
        <v>201.465</v>
      </c>
      <c r="Q113" s="15">
        <f t="shared" si="34"/>
        <v>0</v>
      </c>
    </row>
    <row r="114" spans="1:17" s="244" customFormat="1" ht="26.25" thickBot="1">
      <c r="A114" s="1358"/>
      <c r="B114" s="229"/>
      <c r="C114" s="746">
        <v>3000014327</v>
      </c>
      <c r="D114" s="225" t="s">
        <v>4196</v>
      </c>
      <c r="E114" s="224">
        <v>9950</v>
      </c>
      <c r="F114" s="79">
        <f t="shared" si="24"/>
        <v>5472.5</v>
      </c>
      <c r="G114" s="80">
        <f t="shared" si="25"/>
        <v>0</v>
      </c>
      <c r="H114" s="79">
        <f t="shared" si="26"/>
        <v>171.672325</v>
      </c>
      <c r="I114" s="18">
        <f t="shared" si="27"/>
        <v>0</v>
      </c>
      <c r="J114" s="18">
        <f t="shared" si="35"/>
        <v>149.94650000000001</v>
      </c>
      <c r="K114" s="18">
        <f t="shared" si="28"/>
        <v>0</v>
      </c>
      <c r="L114" s="18">
        <f t="shared" si="29"/>
        <v>124.77300000000001</v>
      </c>
      <c r="M114" s="18">
        <f t="shared" si="30"/>
        <v>0</v>
      </c>
      <c r="N114" s="18">
        <f t="shared" si="31"/>
        <v>111.63900000000001</v>
      </c>
      <c r="O114" s="18">
        <f t="shared" si="32"/>
        <v>0</v>
      </c>
      <c r="P114" s="15">
        <f t="shared" si="33"/>
        <v>101.24124999999999</v>
      </c>
      <c r="Q114" s="15">
        <f t="shared" si="34"/>
        <v>0</v>
      </c>
    </row>
    <row r="115" spans="1:17" s="244" customFormat="1" ht="13.5" thickBot="1">
      <c r="A115" s="1358"/>
      <c r="B115" s="229"/>
      <c r="C115" s="237" t="s">
        <v>3746</v>
      </c>
      <c r="D115" s="235" t="s">
        <v>3971</v>
      </c>
      <c r="E115" s="231">
        <v>1232</v>
      </c>
      <c r="F115" s="79">
        <f t="shared" si="24"/>
        <v>677.6</v>
      </c>
      <c r="G115" s="80">
        <f t="shared" si="25"/>
        <v>0</v>
      </c>
      <c r="H115" s="79">
        <f t="shared" si="26"/>
        <v>21.256312000000001</v>
      </c>
      <c r="I115" s="18">
        <f t="shared" si="27"/>
        <v>0</v>
      </c>
      <c r="J115" s="18">
        <f t="shared" si="35"/>
        <v>18.566240000000001</v>
      </c>
      <c r="K115" s="18">
        <f t="shared" si="28"/>
        <v>0</v>
      </c>
      <c r="L115" s="18">
        <f t="shared" si="29"/>
        <v>15.449280000000002</v>
      </c>
      <c r="M115" s="18">
        <f t="shared" si="30"/>
        <v>0</v>
      </c>
      <c r="N115" s="18">
        <f t="shared" si="31"/>
        <v>13.823040000000001</v>
      </c>
      <c r="O115" s="18">
        <f t="shared" si="32"/>
        <v>0</v>
      </c>
      <c r="P115" s="15">
        <f t="shared" si="33"/>
        <v>12.535600000000001</v>
      </c>
      <c r="Q115" s="15">
        <f t="shared" si="34"/>
        <v>0</v>
      </c>
    </row>
    <row r="116" spans="1:17" s="244" customFormat="1" ht="13.5" thickBot="1">
      <c r="A116" s="1358"/>
      <c r="B116" s="229"/>
      <c r="C116" s="237" t="s">
        <v>3742</v>
      </c>
      <c r="D116" s="235" t="s">
        <v>3967</v>
      </c>
      <c r="E116" s="231">
        <v>980</v>
      </c>
      <c r="F116" s="79">
        <f t="shared" si="24"/>
        <v>539</v>
      </c>
      <c r="G116" s="80">
        <f t="shared" si="25"/>
        <v>0</v>
      </c>
      <c r="H116" s="79">
        <f t="shared" si="26"/>
        <v>16.908430000000003</v>
      </c>
      <c r="I116" s="18">
        <f t="shared" si="27"/>
        <v>0</v>
      </c>
      <c r="J116" s="18">
        <f t="shared" si="35"/>
        <v>14.768600000000001</v>
      </c>
      <c r="K116" s="18">
        <f t="shared" si="28"/>
        <v>0</v>
      </c>
      <c r="L116" s="18">
        <f t="shared" si="29"/>
        <v>12.289200000000001</v>
      </c>
      <c r="M116" s="18">
        <f t="shared" si="30"/>
        <v>0</v>
      </c>
      <c r="N116" s="18">
        <f t="shared" si="31"/>
        <v>10.995600000000001</v>
      </c>
      <c r="O116" s="18">
        <f t="shared" si="32"/>
        <v>0</v>
      </c>
      <c r="P116" s="15">
        <f t="shared" si="33"/>
        <v>9.9714999999999989</v>
      </c>
      <c r="Q116" s="15">
        <f t="shared" si="34"/>
        <v>0</v>
      </c>
    </row>
    <row r="117" spans="1:17" s="244" customFormat="1" ht="13.5" thickBot="1">
      <c r="A117" s="1358"/>
      <c r="B117" s="229"/>
      <c r="C117" s="744" t="s">
        <v>799</v>
      </c>
      <c r="D117" s="223" t="s">
        <v>3843</v>
      </c>
      <c r="E117" s="224">
        <v>384.77</v>
      </c>
      <c r="F117" s="13">
        <f t="shared" si="24"/>
        <v>211.62350000000001</v>
      </c>
      <c r="G117" s="16">
        <f t="shared" si="25"/>
        <v>0</v>
      </c>
      <c r="H117" s="14">
        <f t="shared" si="26"/>
        <v>6.6386291950000009</v>
      </c>
      <c r="I117" s="15">
        <f t="shared" si="27"/>
        <v>0</v>
      </c>
      <c r="J117" s="15">
        <f t="shared" si="35"/>
        <v>5.7984838999999999</v>
      </c>
      <c r="K117" s="15">
        <f t="shared" si="28"/>
        <v>0</v>
      </c>
      <c r="L117" s="15">
        <f t="shared" si="29"/>
        <v>4.8250158000000001</v>
      </c>
      <c r="M117" s="15">
        <f t="shared" si="30"/>
        <v>0</v>
      </c>
      <c r="N117" s="15">
        <f t="shared" si="31"/>
        <v>4.3171194000000002</v>
      </c>
      <c r="O117" s="15">
        <f t="shared" si="32"/>
        <v>0</v>
      </c>
      <c r="P117" s="15">
        <f t="shared" si="33"/>
        <v>3.9150347499999998</v>
      </c>
      <c r="Q117" s="15">
        <f t="shared" si="34"/>
        <v>0</v>
      </c>
    </row>
    <row r="118" spans="1:17" s="244" customFormat="1" ht="13.5" thickBot="1">
      <c r="A118" s="1358"/>
      <c r="B118" s="229"/>
      <c r="C118" s="237" t="s">
        <v>3737</v>
      </c>
      <c r="D118" s="235" t="s">
        <v>3963</v>
      </c>
      <c r="E118" s="231">
        <v>23047</v>
      </c>
      <c r="F118" s="79">
        <f t="shared" si="24"/>
        <v>12675.85</v>
      </c>
      <c r="G118" s="80">
        <f t="shared" si="25"/>
        <v>0</v>
      </c>
      <c r="H118" s="79">
        <f t="shared" si="26"/>
        <v>397.64141450000005</v>
      </c>
      <c r="I118" s="18">
        <f t="shared" si="27"/>
        <v>0</v>
      </c>
      <c r="J118" s="18">
        <f t="shared" si="35"/>
        <v>347.31829000000005</v>
      </c>
      <c r="K118" s="18">
        <f t="shared" si="28"/>
        <v>0</v>
      </c>
      <c r="L118" s="18">
        <f t="shared" si="29"/>
        <v>289.00938000000002</v>
      </c>
      <c r="M118" s="18">
        <f t="shared" si="30"/>
        <v>0</v>
      </c>
      <c r="N118" s="18">
        <f t="shared" si="31"/>
        <v>258.58734000000004</v>
      </c>
      <c r="O118" s="18">
        <f t="shared" si="32"/>
        <v>0</v>
      </c>
      <c r="P118" s="15">
        <f t="shared" si="33"/>
        <v>234.50322499999999</v>
      </c>
      <c r="Q118" s="15">
        <f t="shared" si="34"/>
        <v>0</v>
      </c>
    </row>
    <row r="119" spans="1:17" s="244" customFormat="1" ht="13.5" thickBot="1">
      <c r="A119" s="1358"/>
      <c r="B119" s="229"/>
      <c r="C119" s="746" t="s">
        <v>4190</v>
      </c>
      <c r="D119" s="225" t="s">
        <v>4191</v>
      </c>
      <c r="E119" s="224">
        <v>4075</v>
      </c>
      <c r="F119" s="79">
        <f t="shared" si="24"/>
        <v>2241.25</v>
      </c>
      <c r="G119" s="81">
        <f t="shared" si="25"/>
        <v>0</v>
      </c>
      <c r="H119" s="18">
        <f t="shared" si="26"/>
        <v>70.308012500000004</v>
      </c>
      <c r="I119" s="18">
        <f t="shared" si="27"/>
        <v>0</v>
      </c>
      <c r="J119" s="18">
        <f t="shared" si="35"/>
        <v>61.410250000000005</v>
      </c>
      <c r="K119" s="18">
        <f t="shared" si="28"/>
        <v>0</v>
      </c>
      <c r="L119" s="18">
        <f t="shared" si="29"/>
        <v>51.100500000000004</v>
      </c>
      <c r="M119" s="18">
        <f t="shared" si="30"/>
        <v>0</v>
      </c>
      <c r="N119" s="18">
        <f t="shared" si="31"/>
        <v>45.721500000000006</v>
      </c>
      <c r="O119" s="18">
        <f t="shared" si="32"/>
        <v>0</v>
      </c>
      <c r="P119" s="15">
        <f t="shared" si="33"/>
        <v>41.463124999999998</v>
      </c>
      <c r="Q119" s="15">
        <f t="shared" si="34"/>
        <v>0</v>
      </c>
    </row>
    <row r="120" spans="1:17" s="244" customFormat="1" ht="13.5" thickBot="1">
      <c r="A120" s="1358"/>
      <c r="B120" s="229"/>
      <c r="C120" s="746" t="s">
        <v>4192</v>
      </c>
      <c r="D120" s="225" t="s">
        <v>4193</v>
      </c>
      <c r="E120" s="224">
        <v>6292</v>
      </c>
      <c r="F120" s="79">
        <f t="shared" si="24"/>
        <v>3460.6000000000004</v>
      </c>
      <c r="G120" s="81">
        <f t="shared" si="25"/>
        <v>0</v>
      </c>
      <c r="H120" s="18">
        <f t="shared" si="26"/>
        <v>108.55902200000001</v>
      </c>
      <c r="I120" s="18">
        <f t="shared" si="27"/>
        <v>0</v>
      </c>
      <c r="J120" s="18">
        <f t="shared" si="35"/>
        <v>94.820440000000019</v>
      </c>
      <c r="K120" s="18">
        <f t="shared" si="28"/>
        <v>0</v>
      </c>
      <c r="L120" s="18">
        <f t="shared" si="29"/>
        <v>78.901680000000013</v>
      </c>
      <c r="M120" s="18">
        <f t="shared" si="30"/>
        <v>0</v>
      </c>
      <c r="N120" s="18">
        <f t="shared" si="31"/>
        <v>70.596240000000009</v>
      </c>
      <c r="O120" s="18">
        <f t="shared" si="32"/>
        <v>0</v>
      </c>
      <c r="P120" s="15">
        <f t="shared" si="33"/>
        <v>64.021100000000004</v>
      </c>
      <c r="Q120" s="15">
        <f t="shared" si="34"/>
        <v>0</v>
      </c>
    </row>
    <row r="121" spans="1:17" s="244" customFormat="1" ht="13.5" thickBot="1">
      <c r="A121" s="1358"/>
      <c r="B121" s="229"/>
      <c r="C121" s="746" t="s">
        <v>4194</v>
      </c>
      <c r="D121" s="225" t="s">
        <v>4195</v>
      </c>
      <c r="E121" s="224">
        <v>2493</v>
      </c>
      <c r="F121" s="79">
        <f t="shared" si="24"/>
        <v>1371.15</v>
      </c>
      <c r="G121" s="81">
        <f t="shared" si="25"/>
        <v>0</v>
      </c>
      <c r="H121" s="18">
        <f t="shared" si="26"/>
        <v>43.012975500000003</v>
      </c>
      <c r="I121" s="18">
        <f t="shared" si="27"/>
        <v>0</v>
      </c>
      <c r="J121" s="18">
        <f t="shared" si="35"/>
        <v>37.569510000000001</v>
      </c>
      <c r="K121" s="18">
        <f t="shared" si="28"/>
        <v>0</v>
      </c>
      <c r="L121" s="18">
        <f t="shared" si="29"/>
        <v>31.262220000000003</v>
      </c>
      <c r="M121" s="18">
        <f t="shared" si="30"/>
        <v>0</v>
      </c>
      <c r="N121" s="18">
        <f t="shared" si="31"/>
        <v>27.971460000000004</v>
      </c>
      <c r="O121" s="18">
        <f t="shared" si="32"/>
        <v>0</v>
      </c>
      <c r="P121" s="15">
        <f t="shared" si="33"/>
        <v>25.366275000000002</v>
      </c>
      <c r="Q121" s="15">
        <f t="shared" si="34"/>
        <v>0</v>
      </c>
    </row>
    <row r="122" spans="1:17" s="244" customFormat="1" ht="13.5" thickBot="1">
      <c r="A122" s="1358"/>
      <c r="B122" s="229"/>
      <c r="C122" s="746" t="s">
        <v>3752</v>
      </c>
      <c r="D122" s="225" t="s">
        <v>4188</v>
      </c>
      <c r="E122" s="224">
        <v>4685</v>
      </c>
      <c r="F122" s="79">
        <f t="shared" si="24"/>
        <v>2576.75</v>
      </c>
      <c r="G122" s="81">
        <f t="shared" si="25"/>
        <v>0</v>
      </c>
      <c r="H122" s="18">
        <f t="shared" si="26"/>
        <v>80.832647500000007</v>
      </c>
      <c r="I122" s="18">
        <f t="shared" si="27"/>
        <v>0</v>
      </c>
      <c r="J122" s="18">
        <f t="shared" si="35"/>
        <v>70.602950000000007</v>
      </c>
      <c r="K122" s="18">
        <f t="shared" si="28"/>
        <v>0</v>
      </c>
      <c r="L122" s="18">
        <f t="shared" si="29"/>
        <v>58.749900000000004</v>
      </c>
      <c r="M122" s="18">
        <f t="shared" si="30"/>
        <v>0</v>
      </c>
      <c r="N122" s="18">
        <f t="shared" si="31"/>
        <v>52.565700000000007</v>
      </c>
      <c r="O122" s="18">
        <f t="shared" si="32"/>
        <v>0</v>
      </c>
      <c r="P122" s="15">
        <f t="shared" si="33"/>
        <v>47.669874999999998</v>
      </c>
      <c r="Q122" s="15">
        <f t="shared" si="34"/>
        <v>0</v>
      </c>
    </row>
    <row r="123" spans="1:17" s="244" customFormat="1" ht="13.5" thickBot="1">
      <c r="A123" s="1358"/>
      <c r="B123" s="229"/>
      <c r="C123" s="744" t="s">
        <v>56</v>
      </c>
      <c r="D123" s="223" t="s">
        <v>3848</v>
      </c>
      <c r="E123" s="224">
        <v>490</v>
      </c>
      <c r="F123" s="13">
        <f t="shared" si="24"/>
        <v>269.5</v>
      </c>
      <c r="G123" s="16">
        <f t="shared" si="25"/>
        <v>0</v>
      </c>
      <c r="H123" s="14">
        <f t="shared" si="26"/>
        <v>8.4542150000000014</v>
      </c>
      <c r="I123" s="15">
        <f t="shared" si="27"/>
        <v>0</v>
      </c>
      <c r="J123" s="15">
        <f t="shared" si="35"/>
        <v>7.3843000000000005</v>
      </c>
      <c r="K123" s="15">
        <f t="shared" si="28"/>
        <v>0</v>
      </c>
      <c r="L123" s="15">
        <f t="shared" si="29"/>
        <v>6.1446000000000005</v>
      </c>
      <c r="M123" s="15">
        <f t="shared" si="30"/>
        <v>0</v>
      </c>
      <c r="N123" s="15">
        <f t="shared" si="31"/>
        <v>5.4978000000000007</v>
      </c>
      <c r="O123" s="15">
        <f t="shared" si="32"/>
        <v>0</v>
      </c>
      <c r="P123" s="15">
        <f t="shared" si="33"/>
        <v>4.9857499999999995</v>
      </c>
      <c r="Q123" s="15">
        <f t="shared" si="34"/>
        <v>0</v>
      </c>
    </row>
    <row r="124" spans="1:17" s="244" customFormat="1" ht="26.25" thickBot="1">
      <c r="A124" s="1358"/>
      <c r="B124" s="229"/>
      <c r="C124" s="746" t="s">
        <v>578</v>
      </c>
      <c r="D124" s="225" t="s">
        <v>3958</v>
      </c>
      <c r="E124" s="231">
        <v>1568</v>
      </c>
      <c r="F124" s="79">
        <f t="shared" ref="F124:F155" si="36">E124*(1-45%)</f>
        <v>862.40000000000009</v>
      </c>
      <c r="G124" s="80">
        <f t="shared" ref="G124:G155" si="37">F124*B124</f>
        <v>0</v>
      </c>
      <c r="H124" s="79">
        <f t="shared" ref="H124:H155" si="38">F124*0.03137</f>
        <v>27.053488000000005</v>
      </c>
      <c r="I124" s="18">
        <f t="shared" ref="I124:I155" si="39">H124*B124</f>
        <v>0</v>
      </c>
      <c r="J124" s="18">
        <f t="shared" si="35"/>
        <v>23.629760000000005</v>
      </c>
      <c r="K124" s="18">
        <f t="shared" ref="K124:K155" si="40">J124*B124</f>
        <v>0</v>
      </c>
      <c r="L124" s="18">
        <f t="shared" ref="L124:L133" si="41">F124*0.0228</f>
        <v>19.662720000000004</v>
      </c>
      <c r="M124" s="18">
        <f t="shared" ref="M124:M155" si="42">L124*B124</f>
        <v>0</v>
      </c>
      <c r="N124" s="18">
        <f t="shared" ref="N124:N155" si="43">F124*0.0204</f>
        <v>17.592960000000001</v>
      </c>
      <c r="O124" s="18">
        <f t="shared" ref="O124:O155" si="44">N124*B124</f>
        <v>0</v>
      </c>
      <c r="P124" s="15">
        <f t="shared" ref="P124:P155" si="45">F124*0.0185</f>
        <v>15.954400000000001</v>
      </c>
      <c r="Q124" s="15">
        <f t="shared" ref="Q124:Q155" si="46">P124*B124</f>
        <v>0</v>
      </c>
    </row>
    <row r="125" spans="1:17" s="244" customFormat="1" ht="13.5" thickBot="1">
      <c r="A125" s="1358"/>
      <c r="B125" s="229"/>
      <c r="C125" s="746" t="s">
        <v>546</v>
      </c>
      <c r="D125" s="225" t="s">
        <v>3862</v>
      </c>
      <c r="E125" s="224">
        <v>660</v>
      </c>
      <c r="F125" s="79">
        <f t="shared" si="36"/>
        <v>363.00000000000006</v>
      </c>
      <c r="G125" s="80">
        <f t="shared" si="37"/>
        <v>0</v>
      </c>
      <c r="H125" s="79">
        <f t="shared" si="38"/>
        <v>11.387310000000003</v>
      </c>
      <c r="I125" s="18">
        <f t="shared" si="39"/>
        <v>0</v>
      </c>
      <c r="J125" s="18">
        <f t="shared" si="35"/>
        <v>9.946200000000001</v>
      </c>
      <c r="K125" s="18">
        <f t="shared" si="40"/>
        <v>0</v>
      </c>
      <c r="L125" s="18">
        <f t="shared" si="41"/>
        <v>8.2764000000000024</v>
      </c>
      <c r="M125" s="18">
        <f t="shared" si="42"/>
        <v>0</v>
      </c>
      <c r="N125" s="18">
        <f t="shared" si="43"/>
        <v>7.4052000000000016</v>
      </c>
      <c r="O125" s="18">
        <f t="shared" si="44"/>
        <v>0</v>
      </c>
      <c r="P125" s="15">
        <f t="shared" si="45"/>
        <v>6.7155000000000005</v>
      </c>
      <c r="Q125" s="15">
        <f t="shared" si="46"/>
        <v>0</v>
      </c>
    </row>
    <row r="126" spans="1:17" s="244" customFormat="1" ht="13.5" thickBot="1">
      <c r="A126" s="1358"/>
      <c r="B126" s="229"/>
      <c r="C126" s="746" t="s">
        <v>3755</v>
      </c>
      <c r="D126" s="225" t="s">
        <v>3868</v>
      </c>
      <c r="E126" s="224">
        <v>539</v>
      </c>
      <c r="F126" s="79">
        <f t="shared" si="36"/>
        <v>296.45000000000005</v>
      </c>
      <c r="G126" s="80">
        <f t="shared" si="37"/>
        <v>0</v>
      </c>
      <c r="H126" s="79">
        <f t="shared" si="38"/>
        <v>9.2996365000000019</v>
      </c>
      <c r="I126" s="18">
        <f t="shared" si="39"/>
        <v>0</v>
      </c>
      <c r="J126" s="18">
        <f t="shared" si="35"/>
        <v>8.1227300000000007</v>
      </c>
      <c r="K126" s="18">
        <f t="shared" si="40"/>
        <v>0</v>
      </c>
      <c r="L126" s="18">
        <f t="shared" si="41"/>
        <v>6.7590600000000016</v>
      </c>
      <c r="M126" s="18">
        <f t="shared" si="42"/>
        <v>0</v>
      </c>
      <c r="N126" s="18">
        <f t="shared" si="43"/>
        <v>6.0475800000000017</v>
      </c>
      <c r="O126" s="18">
        <f t="shared" si="44"/>
        <v>0</v>
      </c>
      <c r="P126" s="15">
        <f t="shared" si="45"/>
        <v>5.484325000000001</v>
      </c>
      <c r="Q126" s="15">
        <f t="shared" si="46"/>
        <v>0</v>
      </c>
    </row>
    <row r="127" spans="1:17" s="244" customFormat="1" ht="13.5" thickBot="1">
      <c r="A127" s="1358"/>
      <c r="B127" s="229"/>
      <c r="C127" s="746" t="s">
        <v>3756</v>
      </c>
      <c r="D127" s="225" t="s">
        <v>3869</v>
      </c>
      <c r="E127" s="224">
        <v>847</v>
      </c>
      <c r="F127" s="79">
        <f t="shared" si="36"/>
        <v>465.85</v>
      </c>
      <c r="G127" s="80">
        <f t="shared" si="37"/>
        <v>0</v>
      </c>
      <c r="H127" s="79">
        <f t="shared" si="38"/>
        <v>14.613714500000002</v>
      </c>
      <c r="I127" s="18">
        <f t="shared" si="39"/>
        <v>0</v>
      </c>
      <c r="J127" s="18">
        <f t="shared" si="35"/>
        <v>12.764290000000001</v>
      </c>
      <c r="K127" s="18">
        <f t="shared" si="40"/>
        <v>0</v>
      </c>
      <c r="L127" s="18">
        <f t="shared" si="41"/>
        <v>10.62138</v>
      </c>
      <c r="M127" s="18">
        <f t="shared" si="42"/>
        <v>0</v>
      </c>
      <c r="N127" s="18">
        <f t="shared" si="43"/>
        <v>9.5033400000000015</v>
      </c>
      <c r="O127" s="18">
        <f t="shared" si="44"/>
        <v>0</v>
      </c>
      <c r="P127" s="15">
        <f t="shared" si="45"/>
        <v>8.6182250000000007</v>
      </c>
      <c r="Q127" s="15">
        <f t="shared" si="46"/>
        <v>0</v>
      </c>
    </row>
    <row r="128" spans="1:17" s="244" customFormat="1" ht="13.5" thickBot="1">
      <c r="A128" s="1358"/>
      <c r="B128" s="229"/>
      <c r="C128" s="237" t="s">
        <v>3745</v>
      </c>
      <c r="D128" s="235" t="s">
        <v>3970</v>
      </c>
      <c r="E128" s="231">
        <v>4613</v>
      </c>
      <c r="F128" s="79">
        <f t="shared" si="36"/>
        <v>2537.15</v>
      </c>
      <c r="G128" s="80">
        <f t="shared" si="37"/>
        <v>0</v>
      </c>
      <c r="H128" s="79">
        <f t="shared" si="38"/>
        <v>79.590395500000014</v>
      </c>
      <c r="I128" s="18">
        <f t="shared" si="39"/>
        <v>0</v>
      </c>
      <c r="J128" s="18">
        <f t="shared" si="35"/>
        <v>69.517910000000001</v>
      </c>
      <c r="K128" s="18">
        <f t="shared" si="40"/>
        <v>0</v>
      </c>
      <c r="L128" s="18">
        <f t="shared" si="41"/>
        <v>57.847020000000008</v>
      </c>
      <c r="M128" s="18">
        <f t="shared" si="42"/>
        <v>0</v>
      </c>
      <c r="N128" s="18">
        <f t="shared" si="43"/>
        <v>51.757860000000008</v>
      </c>
      <c r="O128" s="18">
        <f t="shared" si="44"/>
        <v>0</v>
      </c>
      <c r="P128" s="15">
        <f t="shared" si="45"/>
        <v>46.937275</v>
      </c>
      <c r="Q128" s="15">
        <f t="shared" si="46"/>
        <v>0</v>
      </c>
    </row>
    <row r="129" spans="1:17" s="244" customFormat="1" ht="13.5" thickBot="1">
      <c r="A129" s="1358"/>
      <c r="B129" s="229"/>
      <c r="C129" s="746" t="s">
        <v>3903</v>
      </c>
      <c r="D129" s="225" t="s">
        <v>4173</v>
      </c>
      <c r="E129" s="224">
        <v>3693</v>
      </c>
      <c r="F129" s="79">
        <f t="shared" si="36"/>
        <v>2031.15</v>
      </c>
      <c r="G129" s="80">
        <f t="shared" si="37"/>
        <v>0</v>
      </c>
      <c r="H129" s="79">
        <f t="shared" si="38"/>
        <v>63.71717550000001</v>
      </c>
      <c r="I129" s="18">
        <f t="shared" si="39"/>
        <v>0</v>
      </c>
      <c r="J129" s="18">
        <f t="shared" si="35"/>
        <v>55.653510000000004</v>
      </c>
      <c r="K129" s="18">
        <f t="shared" si="40"/>
        <v>0</v>
      </c>
      <c r="L129" s="18">
        <f t="shared" si="41"/>
        <v>46.310220000000001</v>
      </c>
      <c r="M129" s="18">
        <f t="shared" si="42"/>
        <v>0</v>
      </c>
      <c r="N129" s="18">
        <f t="shared" si="43"/>
        <v>41.435460000000006</v>
      </c>
      <c r="O129" s="18">
        <f t="shared" si="44"/>
        <v>0</v>
      </c>
      <c r="P129" s="15">
        <f t="shared" si="45"/>
        <v>37.576275000000003</v>
      </c>
      <c r="Q129" s="15">
        <f t="shared" si="46"/>
        <v>0</v>
      </c>
    </row>
    <row r="130" spans="1:17" s="244" customFormat="1" ht="13.5" thickBot="1">
      <c r="A130" s="1358"/>
      <c r="B130" s="229"/>
      <c r="C130" s="237">
        <v>45189980</v>
      </c>
      <c r="D130" s="235" t="s">
        <v>785</v>
      </c>
      <c r="E130" s="231">
        <v>5586</v>
      </c>
      <c r="F130" s="79">
        <f t="shared" si="36"/>
        <v>3072.3</v>
      </c>
      <c r="G130" s="80">
        <f t="shared" si="37"/>
        <v>0</v>
      </c>
      <c r="H130" s="79">
        <f t="shared" si="38"/>
        <v>96.378051000000013</v>
      </c>
      <c r="I130" s="18">
        <f t="shared" si="39"/>
        <v>0</v>
      </c>
      <c r="J130" s="18">
        <f t="shared" si="35"/>
        <v>84.181020000000004</v>
      </c>
      <c r="K130" s="18">
        <f t="shared" si="40"/>
        <v>0</v>
      </c>
      <c r="L130" s="18">
        <f t="shared" si="41"/>
        <v>70.048440000000014</v>
      </c>
      <c r="M130" s="18">
        <f t="shared" si="42"/>
        <v>0</v>
      </c>
      <c r="N130" s="18">
        <f t="shared" si="43"/>
        <v>62.674920000000007</v>
      </c>
      <c r="O130" s="18">
        <f t="shared" si="44"/>
        <v>0</v>
      </c>
      <c r="P130" s="15">
        <f t="shared" si="45"/>
        <v>56.83755</v>
      </c>
      <c r="Q130" s="15">
        <f t="shared" si="46"/>
        <v>0</v>
      </c>
    </row>
    <row r="131" spans="1:17" s="244" customFormat="1" ht="13.5" thickBot="1">
      <c r="A131" s="1358"/>
      <c r="B131" s="229"/>
      <c r="C131" s="237">
        <v>45162419</v>
      </c>
      <c r="D131" s="235" t="s">
        <v>786</v>
      </c>
      <c r="E131" s="231">
        <v>5362</v>
      </c>
      <c r="F131" s="79">
        <f t="shared" si="36"/>
        <v>2949.1000000000004</v>
      </c>
      <c r="G131" s="80">
        <f t="shared" si="37"/>
        <v>0</v>
      </c>
      <c r="H131" s="79">
        <f t="shared" si="38"/>
        <v>92.513267000000013</v>
      </c>
      <c r="I131" s="18">
        <f t="shared" si="39"/>
        <v>0</v>
      </c>
      <c r="J131" s="18">
        <f t="shared" si="35"/>
        <v>80.805340000000015</v>
      </c>
      <c r="K131" s="18">
        <f t="shared" si="40"/>
        <v>0</v>
      </c>
      <c r="L131" s="18">
        <f t="shared" si="41"/>
        <v>67.239480000000015</v>
      </c>
      <c r="M131" s="18">
        <f t="shared" si="42"/>
        <v>0</v>
      </c>
      <c r="N131" s="18">
        <f t="shared" si="43"/>
        <v>60.161640000000013</v>
      </c>
      <c r="O131" s="18">
        <f t="shared" si="44"/>
        <v>0</v>
      </c>
      <c r="P131" s="15">
        <f t="shared" si="45"/>
        <v>54.558350000000004</v>
      </c>
      <c r="Q131" s="15">
        <f t="shared" si="46"/>
        <v>0</v>
      </c>
    </row>
    <row r="132" spans="1:17" s="244" customFormat="1" ht="13.5" thickBot="1">
      <c r="A132" s="1358"/>
      <c r="B132" s="229"/>
      <c r="C132" s="744" t="s">
        <v>4162</v>
      </c>
      <c r="D132" s="225" t="s">
        <v>3844</v>
      </c>
      <c r="E132" s="224">
        <v>1060</v>
      </c>
      <c r="F132" s="13">
        <f t="shared" si="36"/>
        <v>583</v>
      </c>
      <c r="G132" s="16">
        <f t="shared" si="37"/>
        <v>0</v>
      </c>
      <c r="H132" s="14">
        <f t="shared" si="38"/>
        <v>18.288710000000002</v>
      </c>
      <c r="I132" s="15">
        <f t="shared" si="39"/>
        <v>0</v>
      </c>
      <c r="J132" s="15">
        <f t="shared" si="35"/>
        <v>15.9742</v>
      </c>
      <c r="K132" s="15">
        <f t="shared" si="40"/>
        <v>0</v>
      </c>
      <c r="L132" s="15">
        <f t="shared" si="41"/>
        <v>13.292400000000001</v>
      </c>
      <c r="M132" s="15">
        <f t="shared" si="42"/>
        <v>0</v>
      </c>
      <c r="N132" s="15">
        <f t="shared" si="43"/>
        <v>11.8932</v>
      </c>
      <c r="O132" s="15">
        <f t="shared" si="44"/>
        <v>0</v>
      </c>
      <c r="P132" s="15">
        <f t="shared" si="45"/>
        <v>10.785499999999999</v>
      </c>
      <c r="Q132" s="15">
        <f t="shared" si="46"/>
        <v>0</v>
      </c>
    </row>
    <row r="133" spans="1:17" s="244" customFormat="1" ht="13.5" thickBot="1">
      <c r="A133" s="1358"/>
      <c r="B133" s="229"/>
      <c r="C133" s="237" t="s">
        <v>3741</v>
      </c>
      <c r="D133" s="235" t="s">
        <v>3852</v>
      </c>
      <c r="E133" s="231">
        <v>4178</v>
      </c>
      <c r="F133" s="79">
        <f t="shared" si="36"/>
        <v>2297.9</v>
      </c>
      <c r="G133" s="80">
        <f t="shared" si="37"/>
        <v>0</v>
      </c>
      <c r="H133" s="79">
        <f t="shared" si="38"/>
        <v>72.08512300000001</v>
      </c>
      <c r="I133" s="18">
        <f t="shared" si="39"/>
        <v>0</v>
      </c>
      <c r="J133" s="18">
        <f t="shared" si="35"/>
        <v>62.962460000000007</v>
      </c>
      <c r="K133" s="18">
        <f t="shared" si="40"/>
        <v>0</v>
      </c>
      <c r="L133" s="18">
        <f t="shared" si="41"/>
        <v>52.392120000000006</v>
      </c>
      <c r="M133" s="18">
        <f t="shared" si="42"/>
        <v>0</v>
      </c>
      <c r="N133" s="18">
        <f t="shared" si="43"/>
        <v>46.877160000000003</v>
      </c>
      <c r="O133" s="18">
        <f t="shared" si="44"/>
        <v>0</v>
      </c>
      <c r="P133" s="15">
        <f t="shared" si="45"/>
        <v>42.511150000000001</v>
      </c>
      <c r="Q133" s="15">
        <f t="shared" si="46"/>
        <v>0</v>
      </c>
    </row>
    <row r="134" spans="1:17" s="244" customFormat="1" ht="13.5" thickBot="1">
      <c r="A134" s="1358"/>
      <c r="B134" s="229"/>
      <c r="C134" s="746" t="s">
        <v>3730</v>
      </c>
      <c r="D134" s="225" t="s">
        <v>3952</v>
      </c>
      <c r="E134" s="231">
        <v>49322</v>
      </c>
      <c r="F134" s="79">
        <f t="shared" si="36"/>
        <v>27127.100000000002</v>
      </c>
      <c r="G134" s="80">
        <f t="shared" si="37"/>
        <v>0</v>
      </c>
      <c r="H134" s="79">
        <f t="shared" si="38"/>
        <v>850.97712700000011</v>
      </c>
      <c r="I134" s="18">
        <f t="shared" si="39"/>
        <v>0</v>
      </c>
      <c r="J134" s="18">
        <f>F134*0.02564</f>
        <v>695.53884400000004</v>
      </c>
      <c r="K134" s="18">
        <f t="shared" si="40"/>
        <v>0</v>
      </c>
      <c r="L134" s="18">
        <f>F134*0.0256</f>
        <v>694.4537600000001</v>
      </c>
      <c r="M134" s="18">
        <f t="shared" si="42"/>
        <v>0</v>
      </c>
      <c r="N134" s="18">
        <f t="shared" si="43"/>
        <v>553.39284000000009</v>
      </c>
      <c r="O134" s="18">
        <f t="shared" si="44"/>
        <v>0</v>
      </c>
      <c r="P134" s="15">
        <f t="shared" si="45"/>
        <v>501.85135000000002</v>
      </c>
      <c r="Q134" s="15">
        <f t="shared" si="46"/>
        <v>0</v>
      </c>
    </row>
    <row r="135" spans="1:17" s="244" customFormat="1" ht="13.5" thickBot="1">
      <c r="A135" s="1358"/>
      <c r="B135" s="229"/>
      <c r="C135" s="746" t="s">
        <v>3904</v>
      </c>
      <c r="D135" s="225" t="s">
        <v>4174</v>
      </c>
      <c r="E135" s="224">
        <v>6160</v>
      </c>
      <c r="F135" s="79">
        <f t="shared" si="36"/>
        <v>3388.0000000000005</v>
      </c>
      <c r="G135" s="80">
        <f t="shared" si="37"/>
        <v>0</v>
      </c>
      <c r="H135" s="79">
        <f t="shared" si="38"/>
        <v>106.28156000000003</v>
      </c>
      <c r="I135" s="18">
        <f t="shared" si="39"/>
        <v>0</v>
      </c>
      <c r="J135" s="18">
        <f t="shared" ref="J135:J141" si="47">F135*0.0274</f>
        <v>92.83120000000001</v>
      </c>
      <c r="K135" s="18">
        <f t="shared" si="40"/>
        <v>0</v>
      </c>
      <c r="L135" s="18">
        <f t="shared" ref="L135:L145" si="48">F135*0.0228</f>
        <v>77.246400000000008</v>
      </c>
      <c r="M135" s="18">
        <f t="shared" si="42"/>
        <v>0</v>
      </c>
      <c r="N135" s="18">
        <f t="shared" si="43"/>
        <v>69.115200000000016</v>
      </c>
      <c r="O135" s="18">
        <f t="shared" si="44"/>
        <v>0</v>
      </c>
      <c r="P135" s="15">
        <f t="shared" si="45"/>
        <v>62.678000000000004</v>
      </c>
      <c r="Q135" s="15">
        <f t="shared" si="46"/>
        <v>0</v>
      </c>
    </row>
    <row r="136" spans="1:17" s="244" customFormat="1" ht="13.5" thickBot="1">
      <c r="A136" s="1358"/>
      <c r="B136" s="229"/>
      <c r="C136" s="746" t="s">
        <v>3905</v>
      </c>
      <c r="D136" s="225" t="s">
        <v>4175</v>
      </c>
      <c r="E136" s="224">
        <v>4312</v>
      </c>
      <c r="F136" s="79">
        <f t="shared" si="36"/>
        <v>2371.6000000000004</v>
      </c>
      <c r="G136" s="80">
        <f t="shared" si="37"/>
        <v>0</v>
      </c>
      <c r="H136" s="79">
        <f t="shared" si="38"/>
        <v>74.397092000000015</v>
      </c>
      <c r="I136" s="18">
        <f t="shared" si="39"/>
        <v>0</v>
      </c>
      <c r="J136" s="18">
        <f t="shared" si="47"/>
        <v>64.981840000000005</v>
      </c>
      <c r="K136" s="18">
        <f t="shared" si="40"/>
        <v>0</v>
      </c>
      <c r="L136" s="18">
        <f t="shared" si="48"/>
        <v>54.072480000000013</v>
      </c>
      <c r="M136" s="18">
        <f t="shared" si="42"/>
        <v>0</v>
      </c>
      <c r="N136" s="18">
        <f t="shared" si="43"/>
        <v>48.380640000000014</v>
      </c>
      <c r="O136" s="18">
        <f t="shared" si="44"/>
        <v>0</v>
      </c>
      <c r="P136" s="15">
        <f t="shared" si="45"/>
        <v>43.874600000000008</v>
      </c>
      <c r="Q136" s="15">
        <f t="shared" si="46"/>
        <v>0</v>
      </c>
    </row>
    <row r="137" spans="1:17" s="244" customFormat="1" ht="13.5" thickBot="1">
      <c r="A137" s="1358"/>
      <c r="B137" s="229"/>
      <c r="C137" s="746" t="s">
        <v>3750</v>
      </c>
      <c r="D137" s="225" t="s">
        <v>4184</v>
      </c>
      <c r="E137" s="224">
        <v>12777</v>
      </c>
      <c r="F137" s="79">
        <f t="shared" si="36"/>
        <v>7027.35</v>
      </c>
      <c r="G137" s="80">
        <f t="shared" si="37"/>
        <v>0</v>
      </c>
      <c r="H137" s="79">
        <f t="shared" si="38"/>
        <v>220.44796950000003</v>
      </c>
      <c r="I137" s="18">
        <f t="shared" si="39"/>
        <v>0</v>
      </c>
      <c r="J137" s="18">
        <f t="shared" si="47"/>
        <v>192.54939000000002</v>
      </c>
      <c r="K137" s="18">
        <f t="shared" si="40"/>
        <v>0</v>
      </c>
      <c r="L137" s="18">
        <f t="shared" si="48"/>
        <v>160.22358000000003</v>
      </c>
      <c r="M137" s="18">
        <f t="shared" si="42"/>
        <v>0</v>
      </c>
      <c r="N137" s="18">
        <f t="shared" si="43"/>
        <v>143.35794000000001</v>
      </c>
      <c r="O137" s="18">
        <f t="shared" si="44"/>
        <v>0</v>
      </c>
      <c r="P137" s="15">
        <f t="shared" si="45"/>
        <v>130.00597500000001</v>
      </c>
      <c r="Q137" s="15">
        <f t="shared" si="46"/>
        <v>0</v>
      </c>
    </row>
    <row r="138" spans="1:17" s="244" customFormat="1" ht="13.5" thickBot="1">
      <c r="A138" s="1358"/>
      <c r="B138" s="229"/>
      <c r="C138" s="746" t="s">
        <v>3751</v>
      </c>
      <c r="D138" s="225" t="s">
        <v>4185</v>
      </c>
      <c r="E138" s="224">
        <v>23056</v>
      </c>
      <c r="F138" s="79">
        <f t="shared" si="36"/>
        <v>12680.800000000001</v>
      </c>
      <c r="G138" s="80">
        <f t="shared" si="37"/>
        <v>0</v>
      </c>
      <c r="H138" s="79">
        <f t="shared" si="38"/>
        <v>397.79669600000005</v>
      </c>
      <c r="I138" s="18">
        <f t="shared" si="39"/>
        <v>0</v>
      </c>
      <c r="J138" s="18">
        <f t="shared" si="47"/>
        <v>347.45392000000004</v>
      </c>
      <c r="K138" s="18">
        <f t="shared" si="40"/>
        <v>0</v>
      </c>
      <c r="L138" s="18">
        <f t="shared" si="48"/>
        <v>289.12224000000003</v>
      </c>
      <c r="M138" s="18">
        <f t="shared" si="42"/>
        <v>0</v>
      </c>
      <c r="N138" s="18">
        <f t="shared" si="43"/>
        <v>258.68832000000003</v>
      </c>
      <c r="O138" s="18">
        <f t="shared" si="44"/>
        <v>0</v>
      </c>
      <c r="P138" s="15">
        <f t="shared" si="45"/>
        <v>234.59480000000002</v>
      </c>
      <c r="Q138" s="15">
        <f t="shared" si="46"/>
        <v>0</v>
      </c>
    </row>
    <row r="139" spans="1:17" s="244" customFormat="1" ht="26.25" thickBot="1">
      <c r="A139" s="1358"/>
      <c r="B139" s="229"/>
      <c r="C139" s="746" t="s">
        <v>4186</v>
      </c>
      <c r="D139" s="225" t="s">
        <v>4187</v>
      </c>
      <c r="E139" s="224">
        <v>23188</v>
      </c>
      <c r="F139" s="79">
        <f t="shared" si="36"/>
        <v>12753.400000000001</v>
      </c>
      <c r="G139" s="81">
        <f t="shared" si="37"/>
        <v>0</v>
      </c>
      <c r="H139" s="18">
        <f t="shared" si="38"/>
        <v>400.07415800000007</v>
      </c>
      <c r="I139" s="18">
        <f t="shared" si="39"/>
        <v>0</v>
      </c>
      <c r="J139" s="18">
        <f t="shared" si="47"/>
        <v>349.44316000000003</v>
      </c>
      <c r="K139" s="18">
        <f t="shared" si="40"/>
        <v>0</v>
      </c>
      <c r="L139" s="18">
        <f t="shared" si="48"/>
        <v>290.77752000000004</v>
      </c>
      <c r="M139" s="18">
        <f t="shared" si="42"/>
        <v>0</v>
      </c>
      <c r="N139" s="18">
        <f t="shared" si="43"/>
        <v>260.16936000000004</v>
      </c>
      <c r="O139" s="18">
        <f t="shared" si="44"/>
        <v>0</v>
      </c>
      <c r="P139" s="15">
        <f t="shared" si="45"/>
        <v>235.93790000000001</v>
      </c>
      <c r="Q139" s="15">
        <f t="shared" si="46"/>
        <v>0</v>
      </c>
    </row>
    <row r="140" spans="1:17" s="244" customFormat="1" ht="13.5" thickBot="1">
      <c r="A140" s="1358"/>
      <c r="B140" s="229"/>
      <c r="C140" s="744" t="s">
        <v>158</v>
      </c>
      <c r="D140" s="225" t="s">
        <v>4163</v>
      </c>
      <c r="E140" s="224">
        <v>1225</v>
      </c>
      <c r="F140" s="13">
        <f t="shared" si="36"/>
        <v>673.75</v>
      </c>
      <c r="G140" s="17">
        <f t="shared" si="37"/>
        <v>0</v>
      </c>
      <c r="H140" s="15">
        <f t="shared" si="38"/>
        <v>21.135537500000002</v>
      </c>
      <c r="I140" s="15">
        <f t="shared" si="39"/>
        <v>0</v>
      </c>
      <c r="J140" s="15">
        <f t="shared" si="47"/>
        <v>18.460750000000001</v>
      </c>
      <c r="K140" s="15">
        <f t="shared" si="40"/>
        <v>0</v>
      </c>
      <c r="L140" s="15">
        <f t="shared" si="48"/>
        <v>15.361500000000001</v>
      </c>
      <c r="M140" s="15">
        <f t="shared" si="42"/>
        <v>0</v>
      </c>
      <c r="N140" s="15">
        <f t="shared" si="43"/>
        <v>13.7445</v>
      </c>
      <c r="O140" s="15">
        <f t="shared" si="44"/>
        <v>0</v>
      </c>
      <c r="P140" s="15">
        <f t="shared" si="45"/>
        <v>12.464374999999999</v>
      </c>
      <c r="Q140" s="15">
        <f t="shared" si="46"/>
        <v>0</v>
      </c>
    </row>
    <row r="141" spans="1:17" s="244" customFormat="1" ht="13.5" thickBot="1">
      <c r="A141" s="1358"/>
      <c r="B141" s="229"/>
      <c r="C141" s="237" t="s">
        <v>3740</v>
      </c>
      <c r="D141" s="235" t="s">
        <v>3851</v>
      </c>
      <c r="E141" s="231">
        <v>919</v>
      </c>
      <c r="F141" s="79">
        <f t="shared" si="36"/>
        <v>505.45000000000005</v>
      </c>
      <c r="G141" s="81">
        <f t="shared" si="37"/>
        <v>0</v>
      </c>
      <c r="H141" s="18">
        <f t="shared" si="38"/>
        <v>15.855966500000003</v>
      </c>
      <c r="I141" s="18">
        <f t="shared" si="39"/>
        <v>0</v>
      </c>
      <c r="J141" s="18">
        <f t="shared" si="47"/>
        <v>13.849330000000002</v>
      </c>
      <c r="K141" s="18">
        <f t="shared" si="40"/>
        <v>0</v>
      </c>
      <c r="L141" s="18">
        <f t="shared" si="48"/>
        <v>11.524260000000002</v>
      </c>
      <c r="M141" s="18">
        <f t="shared" si="42"/>
        <v>0</v>
      </c>
      <c r="N141" s="18">
        <f t="shared" si="43"/>
        <v>10.311180000000002</v>
      </c>
      <c r="O141" s="18">
        <f t="shared" si="44"/>
        <v>0</v>
      </c>
      <c r="P141" s="15">
        <f t="shared" si="45"/>
        <v>9.3508250000000004</v>
      </c>
      <c r="Q141" s="15">
        <f t="shared" si="46"/>
        <v>0</v>
      </c>
    </row>
    <row r="142" spans="1:17" s="244" customFormat="1" ht="13.5" thickBot="1">
      <c r="A142" s="1358"/>
      <c r="B142" s="229"/>
      <c r="C142" s="746">
        <v>13307100</v>
      </c>
      <c r="D142" s="225" t="s">
        <v>4156</v>
      </c>
      <c r="E142" s="231">
        <v>27994.22</v>
      </c>
      <c r="F142" s="79">
        <f t="shared" si="36"/>
        <v>15396.821000000002</v>
      </c>
      <c r="G142" s="81">
        <f t="shared" si="37"/>
        <v>0</v>
      </c>
      <c r="H142" s="18">
        <f t="shared" si="38"/>
        <v>482.99827477000008</v>
      </c>
      <c r="I142" s="18">
        <f t="shared" si="39"/>
        <v>0</v>
      </c>
      <c r="J142" s="18">
        <f>F142*0.02564</f>
        <v>394.77449044000002</v>
      </c>
      <c r="K142" s="18">
        <f t="shared" si="40"/>
        <v>0</v>
      </c>
      <c r="L142" s="18">
        <f t="shared" si="48"/>
        <v>351.04751880000003</v>
      </c>
      <c r="M142" s="18">
        <f t="shared" si="42"/>
        <v>0</v>
      </c>
      <c r="N142" s="18">
        <f t="shared" si="43"/>
        <v>314.09514840000008</v>
      </c>
      <c r="O142" s="18">
        <f t="shared" si="44"/>
        <v>0</v>
      </c>
      <c r="P142" s="15">
        <f t="shared" si="45"/>
        <v>284.84118850000004</v>
      </c>
      <c r="Q142" s="15">
        <f t="shared" si="46"/>
        <v>0</v>
      </c>
    </row>
    <row r="143" spans="1:17" s="244" customFormat="1" ht="13.5" thickBot="1">
      <c r="A143" s="1358"/>
      <c r="B143" s="229"/>
      <c r="C143" s="744">
        <v>13200002</v>
      </c>
      <c r="D143" s="223" t="s">
        <v>4154</v>
      </c>
      <c r="E143" s="224">
        <v>596.77</v>
      </c>
      <c r="F143" s="13">
        <f t="shared" si="36"/>
        <v>328.2235</v>
      </c>
      <c r="G143" s="17">
        <f t="shared" si="37"/>
        <v>0</v>
      </c>
      <c r="H143" s="15">
        <f t="shared" si="38"/>
        <v>10.296371195000001</v>
      </c>
      <c r="I143" s="15">
        <f t="shared" si="39"/>
        <v>0</v>
      </c>
      <c r="J143" s="15">
        <f>F143*0.0274</f>
        <v>8.9933239</v>
      </c>
      <c r="K143" s="15">
        <f t="shared" si="40"/>
        <v>0</v>
      </c>
      <c r="L143" s="15">
        <f t="shared" si="48"/>
        <v>7.4834958</v>
      </c>
      <c r="M143" s="15">
        <f t="shared" si="42"/>
        <v>0</v>
      </c>
      <c r="N143" s="15">
        <f t="shared" si="43"/>
        <v>6.6957594000000009</v>
      </c>
      <c r="O143" s="18">
        <f t="shared" si="44"/>
        <v>0</v>
      </c>
      <c r="P143" s="15">
        <f t="shared" si="45"/>
        <v>6.07213475</v>
      </c>
      <c r="Q143" s="15">
        <f t="shared" si="46"/>
        <v>0</v>
      </c>
    </row>
    <row r="144" spans="1:17" s="244" customFormat="1" ht="13.5" thickBot="1">
      <c r="A144" s="1358"/>
      <c r="B144" s="229"/>
      <c r="C144" s="744">
        <v>4704000</v>
      </c>
      <c r="D144" s="223" t="s">
        <v>791</v>
      </c>
      <c r="E144" s="224">
        <v>6400</v>
      </c>
      <c r="F144" s="13">
        <f t="shared" si="36"/>
        <v>3520.0000000000005</v>
      </c>
      <c r="G144" s="17">
        <f t="shared" si="37"/>
        <v>0</v>
      </c>
      <c r="H144" s="15">
        <f t="shared" si="38"/>
        <v>110.42240000000002</v>
      </c>
      <c r="I144" s="15">
        <f t="shared" si="39"/>
        <v>0</v>
      </c>
      <c r="J144" s="15">
        <f>F144*0.0274</f>
        <v>96.448000000000022</v>
      </c>
      <c r="K144" s="15">
        <f t="shared" si="40"/>
        <v>0</v>
      </c>
      <c r="L144" s="15">
        <f t="shared" si="48"/>
        <v>80.256000000000014</v>
      </c>
      <c r="M144" s="15">
        <f t="shared" si="42"/>
        <v>0</v>
      </c>
      <c r="N144" s="15">
        <f t="shared" si="43"/>
        <v>71.808000000000021</v>
      </c>
      <c r="O144" s="15">
        <f t="shared" si="44"/>
        <v>0</v>
      </c>
      <c r="P144" s="15">
        <f t="shared" si="45"/>
        <v>65.12</v>
      </c>
      <c r="Q144" s="15">
        <f t="shared" si="46"/>
        <v>0</v>
      </c>
    </row>
    <row r="145" spans="1:17" s="244" customFormat="1" ht="13.5" thickBot="1">
      <c r="A145" s="1358"/>
      <c r="B145" s="229"/>
      <c r="C145" s="745">
        <v>12207100</v>
      </c>
      <c r="D145" s="227" t="s">
        <v>4153</v>
      </c>
      <c r="E145" s="228">
        <v>45969.56</v>
      </c>
      <c r="F145" s="13">
        <f t="shared" si="36"/>
        <v>25283.258000000002</v>
      </c>
      <c r="G145" s="17">
        <f t="shared" si="37"/>
        <v>0</v>
      </c>
      <c r="H145" s="15">
        <f t="shared" si="38"/>
        <v>793.13580346000015</v>
      </c>
      <c r="I145" s="15">
        <f t="shared" si="39"/>
        <v>0</v>
      </c>
      <c r="J145" s="15">
        <f>F145*0.0274</f>
        <v>692.76126920000002</v>
      </c>
      <c r="K145" s="15">
        <f t="shared" si="40"/>
        <v>0</v>
      </c>
      <c r="L145" s="15">
        <f t="shared" si="48"/>
        <v>576.45828240000003</v>
      </c>
      <c r="M145" s="15">
        <f t="shared" si="42"/>
        <v>0</v>
      </c>
      <c r="N145" s="15">
        <f t="shared" si="43"/>
        <v>515.77846320000003</v>
      </c>
      <c r="O145" s="15">
        <f t="shared" si="44"/>
        <v>0</v>
      </c>
      <c r="P145" s="15">
        <f t="shared" si="45"/>
        <v>467.740273</v>
      </c>
      <c r="Q145" s="15">
        <f t="shared" si="46"/>
        <v>0</v>
      </c>
    </row>
    <row r="146" spans="1:17" s="244" customFormat="1" ht="13.5" thickBot="1">
      <c r="A146" s="1358"/>
      <c r="B146" s="229"/>
      <c r="C146" s="746">
        <v>13207000</v>
      </c>
      <c r="D146" s="225" t="s">
        <v>4155</v>
      </c>
      <c r="E146" s="231">
        <v>23472.81</v>
      </c>
      <c r="F146" s="79">
        <f t="shared" si="36"/>
        <v>12910.045500000002</v>
      </c>
      <c r="G146" s="81">
        <f t="shared" si="37"/>
        <v>0</v>
      </c>
      <c r="H146" s="18">
        <f t="shared" si="38"/>
        <v>404.98812733500012</v>
      </c>
      <c r="I146" s="18">
        <f t="shared" si="39"/>
        <v>0</v>
      </c>
      <c r="J146" s="18">
        <f>F146*0.02564</f>
        <v>331.01356662000006</v>
      </c>
      <c r="K146" s="18">
        <f t="shared" si="40"/>
        <v>0</v>
      </c>
      <c r="L146" s="18">
        <f>F146*0.0256</f>
        <v>330.49716480000006</v>
      </c>
      <c r="M146" s="18">
        <f t="shared" si="42"/>
        <v>0</v>
      </c>
      <c r="N146" s="18">
        <f t="shared" si="43"/>
        <v>263.36492820000007</v>
      </c>
      <c r="O146" s="18">
        <f t="shared" si="44"/>
        <v>0</v>
      </c>
      <c r="P146" s="15">
        <f t="shared" si="45"/>
        <v>238.83584175000001</v>
      </c>
      <c r="Q146" s="15">
        <f t="shared" si="46"/>
        <v>0</v>
      </c>
    </row>
    <row r="147" spans="1:17" s="244" customFormat="1" ht="13.5" thickBot="1">
      <c r="A147" s="1358"/>
      <c r="B147" s="229"/>
      <c r="C147" s="744">
        <v>13700022</v>
      </c>
      <c r="D147" s="223" t="s">
        <v>4157</v>
      </c>
      <c r="E147" s="224">
        <v>16738.7</v>
      </c>
      <c r="F147" s="13">
        <f t="shared" si="36"/>
        <v>9206.2850000000017</v>
      </c>
      <c r="G147" s="17">
        <f t="shared" si="37"/>
        <v>0</v>
      </c>
      <c r="H147" s="15">
        <f t="shared" si="38"/>
        <v>288.80116045000005</v>
      </c>
      <c r="I147" s="15">
        <f t="shared" si="39"/>
        <v>0</v>
      </c>
      <c r="J147" s="15">
        <f t="shared" ref="J147:J167" si="49">F147*0.0274</f>
        <v>252.25220900000005</v>
      </c>
      <c r="K147" s="15">
        <f t="shared" si="40"/>
        <v>0</v>
      </c>
      <c r="L147" s="15">
        <f t="shared" ref="L147:L167" si="50">F147*0.0228</f>
        <v>209.90329800000004</v>
      </c>
      <c r="M147" s="15">
        <f t="shared" si="42"/>
        <v>0</v>
      </c>
      <c r="N147" s="15">
        <f t="shared" si="43"/>
        <v>187.80821400000005</v>
      </c>
      <c r="O147" s="15">
        <f t="shared" si="44"/>
        <v>0</v>
      </c>
      <c r="P147" s="15">
        <f t="shared" si="45"/>
        <v>170.31627250000003</v>
      </c>
      <c r="Q147" s="15">
        <f t="shared" si="46"/>
        <v>0</v>
      </c>
    </row>
    <row r="148" spans="1:17" s="244" customFormat="1" ht="26.25" thickBot="1">
      <c r="A148" s="1358"/>
      <c r="B148" s="229"/>
      <c r="C148" s="744" t="s">
        <v>4151</v>
      </c>
      <c r="D148" s="225" t="s">
        <v>4152</v>
      </c>
      <c r="E148" s="224">
        <v>265</v>
      </c>
      <c r="F148" s="13">
        <f t="shared" si="36"/>
        <v>145.75</v>
      </c>
      <c r="G148" s="17">
        <f t="shared" si="37"/>
        <v>0</v>
      </c>
      <c r="H148" s="15">
        <f t="shared" si="38"/>
        <v>4.5721775000000004</v>
      </c>
      <c r="I148" s="15">
        <f t="shared" si="39"/>
        <v>0</v>
      </c>
      <c r="J148" s="15">
        <f t="shared" si="49"/>
        <v>3.9935499999999999</v>
      </c>
      <c r="K148" s="15">
        <f t="shared" si="40"/>
        <v>0</v>
      </c>
      <c r="L148" s="15">
        <f t="shared" si="50"/>
        <v>3.3231000000000002</v>
      </c>
      <c r="M148" s="15">
        <f t="shared" si="42"/>
        <v>0</v>
      </c>
      <c r="N148" s="15">
        <f t="shared" si="43"/>
        <v>2.9733000000000001</v>
      </c>
      <c r="O148" s="15">
        <f t="shared" si="44"/>
        <v>0</v>
      </c>
      <c r="P148" s="15">
        <f t="shared" si="45"/>
        <v>2.6963749999999997</v>
      </c>
      <c r="Q148" s="15">
        <f t="shared" si="46"/>
        <v>0</v>
      </c>
    </row>
    <row r="149" spans="1:17" s="244" customFormat="1" ht="13.5" thickBot="1">
      <c r="A149" s="1358"/>
      <c r="B149" s="229"/>
      <c r="C149" s="744" t="s">
        <v>3731</v>
      </c>
      <c r="D149" s="223" t="s">
        <v>3953</v>
      </c>
      <c r="E149" s="224">
        <v>4098</v>
      </c>
      <c r="F149" s="13">
        <f t="shared" si="36"/>
        <v>2253.9</v>
      </c>
      <c r="G149" s="17">
        <f t="shared" si="37"/>
        <v>0</v>
      </c>
      <c r="H149" s="15">
        <f t="shared" si="38"/>
        <v>70.704843000000011</v>
      </c>
      <c r="I149" s="15">
        <f t="shared" si="39"/>
        <v>0</v>
      </c>
      <c r="J149" s="15">
        <f t="shared" si="49"/>
        <v>61.756860000000003</v>
      </c>
      <c r="K149" s="15">
        <f t="shared" si="40"/>
        <v>0</v>
      </c>
      <c r="L149" s="15">
        <f t="shared" si="50"/>
        <v>51.388920000000006</v>
      </c>
      <c r="M149" s="15">
        <f t="shared" si="42"/>
        <v>0</v>
      </c>
      <c r="N149" s="15">
        <f t="shared" si="43"/>
        <v>45.979560000000006</v>
      </c>
      <c r="O149" s="15">
        <f t="shared" si="44"/>
        <v>0</v>
      </c>
      <c r="P149" s="15">
        <f t="shared" si="45"/>
        <v>41.697150000000001</v>
      </c>
      <c r="Q149" s="15">
        <f t="shared" si="46"/>
        <v>0</v>
      </c>
    </row>
    <row r="150" spans="1:17" s="244" customFormat="1" ht="13.5" thickBot="1">
      <c r="A150" s="1358"/>
      <c r="B150" s="229"/>
      <c r="C150" s="746" t="s">
        <v>3736</v>
      </c>
      <c r="D150" s="225" t="s">
        <v>4167</v>
      </c>
      <c r="E150" s="224">
        <v>9680</v>
      </c>
      <c r="F150" s="79">
        <f t="shared" si="36"/>
        <v>5324</v>
      </c>
      <c r="G150" s="81">
        <f t="shared" si="37"/>
        <v>0</v>
      </c>
      <c r="H150" s="18">
        <f t="shared" si="38"/>
        <v>167.01388</v>
      </c>
      <c r="I150" s="18">
        <f t="shared" si="39"/>
        <v>0</v>
      </c>
      <c r="J150" s="18">
        <f t="shared" si="49"/>
        <v>145.8776</v>
      </c>
      <c r="K150" s="18">
        <f t="shared" si="40"/>
        <v>0</v>
      </c>
      <c r="L150" s="18">
        <f t="shared" si="50"/>
        <v>121.38720000000001</v>
      </c>
      <c r="M150" s="18">
        <f t="shared" si="42"/>
        <v>0</v>
      </c>
      <c r="N150" s="18">
        <f t="shared" si="43"/>
        <v>108.60960000000001</v>
      </c>
      <c r="O150" s="18">
        <f t="shared" si="44"/>
        <v>0</v>
      </c>
      <c r="P150" s="15">
        <f t="shared" si="45"/>
        <v>98.494</v>
      </c>
      <c r="Q150" s="15">
        <f t="shared" si="46"/>
        <v>0</v>
      </c>
    </row>
    <row r="151" spans="1:17" s="244" customFormat="1" ht="13.5" thickBot="1">
      <c r="A151" s="1358"/>
      <c r="B151" s="229"/>
      <c r="C151" s="237" t="s">
        <v>803</v>
      </c>
      <c r="D151" s="235" t="s">
        <v>3966</v>
      </c>
      <c r="E151" s="231">
        <v>5550</v>
      </c>
      <c r="F151" s="79">
        <f t="shared" si="36"/>
        <v>3052.5000000000005</v>
      </c>
      <c r="G151" s="81">
        <f t="shared" si="37"/>
        <v>0</v>
      </c>
      <c r="H151" s="18">
        <f t="shared" si="38"/>
        <v>95.756925000000024</v>
      </c>
      <c r="I151" s="18">
        <f t="shared" si="39"/>
        <v>0</v>
      </c>
      <c r="J151" s="18">
        <f t="shared" si="49"/>
        <v>83.638500000000022</v>
      </c>
      <c r="K151" s="18">
        <f t="shared" si="40"/>
        <v>0</v>
      </c>
      <c r="L151" s="18">
        <f t="shared" si="50"/>
        <v>69.597000000000008</v>
      </c>
      <c r="M151" s="18">
        <f t="shared" si="42"/>
        <v>0</v>
      </c>
      <c r="N151" s="18">
        <f t="shared" si="43"/>
        <v>62.271000000000015</v>
      </c>
      <c r="O151" s="18">
        <f t="shared" si="44"/>
        <v>0</v>
      </c>
      <c r="P151" s="15">
        <f t="shared" si="45"/>
        <v>56.471250000000005</v>
      </c>
      <c r="Q151" s="15">
        <f t="shared" si="46"/>
        <v>0</v>
      </c>
    </row>
    <row r="152" spans="1:17" s="244" customFormat="1" ht="13.5" thickBot="1">
      <c r="A152" s="1358"/>
      <c r="B152" s="229"/>
      <c r="C152" s="744" t="s">
        <v>3729</v>
      </c>
      <c r="D152" s="223" t="s">
        <v>3951</v>
      </c>
      <c r="E152" s="224">
        <v>30608</v>
      </c>
      <c r="F152" s="13">
        <f t="shared" si="36"/>
        <v>16834.400000000001</v>
      </c>
      <c r="G152" s="16">
        <f t="shared" si="37"/>
        <v>0</v>
      </c>
      <c r="H152" s="14">
        <f t="shared" si="38"/>
        <v>528.09512800000005</v>
      </c>
      <c r="I152" s="15">
        <f t="shared" si="39"/>
        <v>0</v>
      </c>
      <c r="J152" s="15">
        <f t="shared" si="49"/>
        <v>461.26256000000006</v>
      </c>
      <c r="K152" s="15">
        <f t="shared" si="40"/>
        <v>0</v>
      </c>
      <c r="L152" s="15">
        <f t="shared" si="50"/>
        <v>383.82432000000006</v>
      </c>
      <c r="M152" s="15">
        <f t="shared" si="42"/>
        <v>0</v>
      </c>
      <c r="N152" s="15">
        <f t="shared" si="43"/>
        <v>343.42176000000006</v>
      </c>
      <c r="O152" s="18">
        <f t="shared" si="44"/>
        <v>0</v>
      </c>
      <c r="P152" s="15">
        <f t="shared" si="45"/>
        <v>311.43639999999999</v>
      </c>
      <c r="Q152" s="15">
        <f t="shared" si="46"/>
        <v>0</v>
      </c>
    </row>
    <row r="153" spans="1:17" s="244" customFormat="1" ht="13.5" thickBot="1">
      <c r="A153" s="1358"/>
      <c r="B153" s="229"/>
      <c r="C153" s="744" t="s">
        <v>55</v>
      </c>
      <c r="D153" s="223" t="s">
        <v>4165</v>
      </c>
      <c r="E153" s="224">
        <v>2176</v>
      </c>
      <c r="F153" s="13">
        <f t="shared" si="36"/>
        <v>1196.8000000000002</v>
      </c>
      <c r="G153" s="16">
        <f t="shared" si="37"/>
        <v>0</v>
      </c>
      <c r="H153" s="14">
        <f t="shared" si="38"/>
        <v>37.543616000000007</v>
      </c>
      <c r="I153" s="15">
        <f t="shared" si="39"/>
        <v>0</v>
      </c>
      <c r="J153" s="15">
        <f t="shared" si="49"/>
        <v>32.792320000000004</v>
      </c>
      <c r="K153" s="15">
        <f t="shared" si="40"/>
        <v>0</v>
      </c>
      <c r="L153" s="15">
        <f t="shared" si="50"/>
        <v>27.287040000000005</v>
      </c>
      <c r="M153" s="15">
        <f t="shared" si="42"/>
        <v>0</v>
      </c>
      <c r="N153" s="15">
        <f t="shared" si="43"/>
        <v>24.414720000000006</v>
      </c>
      <c r="O153" s="15">
        <f t="shared" si="44"/>
        <v>0</v>
      </c>
      <c r="P153" s="15">
        <f t="shared" si="45"/>
        <v>22.140800000000002</v>
      </c>
      <c r="Q153" s="15">
        <f t="shared" si="46"/>
        <v>0</v>
      </c>
    </row>
    <row r="154" spans="1:17" s="244" customFormat="1" ht="13.5" thickBot="1">
      <c r="A154" s="1358"/>
      <c r="B154" s="229"/>
      <c r="C154" s="744" t="s">
        <v>3733</v>
      </c>
      <c r="D154" s="225" t="s">
        <v>4166</v>
      </c>
      <c r="E154" s="224">
        <v>17837</v>
      </c>
      <c r="F154" s="13">
        <f t="shared" si="36"/>
        <v>9810.35</v>
      </c>
      <c r="G154" s="16">
        <f t="shared" si="37"/>
        <v>0</v>
      </c>
      <c r="H154" s="14">
        <f t="shared" si="38"/>
        <v>307.75067950000005</v>
      </c>
      <c r="I154" s="15">
        <f t="shared" si="39"/>
        <v>0</v>
      </c>
      <c r="J154" s="15">
        <f t="shared" si="49"/>
        <v>268.80359000000004</v>
      </c>
      <c r="K154" s="15">
        <f t="shared" si="40"/>
        <v>0</v>
      </c>
      <c r="L154" s="15">
        <f t="shared" si="50"/>
        <v>223.67598000000001</v>
      </c>
      <c r="M154" s="15">
        <f t="shared" si="42"/>
        <v>0</v>
      </c>
      <c r="N154" s="15">
        <f t="shared" si="43"/>
        <v>200.13114000000002</v>
      </c>
      <c r="O154" s="15">
        <f t="shared" si="44"/>
        <v>0</v>
      </c>
      <c r="P154" s="15">
        <f t="shared" si="45"/>
        <v>181.49147500000001</v>
      </c>
      <c r="Q154" s="15">
        <f t="shared" si="46"/>
        <v>0</v>
      </c>
    </row>
    <row r="155" spans="1:17" s="244" customFormat="1" ht="13.5" thickBot="1">
      <c r="A155" s="1358"/>
      <c r="B155" s="229"/>
      <c r="C155" s="746" t="s">
        <v>555</v>
      </c>
      <c r="D155" s="225" t="s">
        <v>3959</v>
      </c>
      <c r="E155" s="231">
        <v>17812</v>
      </c>
      <c r="F155" s="79">
        <f t="shared" si="36"/>
        <v>9796.6</v>
      </c>
      <c r="G155" s="80">
        <f t="shared" si="37"/>
        <v>0</v>
      </c>
      <c r="H155" s="79">
        <f t="shared" si="38"/>
        <v>307.31934200000001</v>
      </c>
      <c r="I155" s="18">
        <f t="shared" si="39"/>
        <v>0</v>
      </c>
      <c r="J155" s="18">
        <f t="shared" si="49"/>
        <v>268.42684000000003</v>
      </c>
      <c r="K155" s="18">
        <f t="shared" si="40"/>
        <v>0</v>
      </c>
      <c r="L155" s="18">
        <f t="shared" si="50"/>
        <v>223.36248000000001</v>
      </c>
      <c r="M155" s="18">
        <f t="shared" si="42"/>
        <v>0</v>
      </c>
      <c r="N155" s="18">
        <f t="shared" si="43"/>
        <v>199.85064000000003</v>
      </c>
      <c r="O155" s="18">
        <f t="shared" si="44"/>
        <v>0</v>
      </c>
      <c r="P155" s="15">
        <f t="shared" si="45"/>
        <v>181.2371</v>
      </c>
      <c r="Q155" s="15">
        <f t="shared" si="46"/>
        <v>0</v>
      </c>
    </row>
    <row r="156" spans="1:17" s="244" customFormat="1" ht="26.25" thickBot="1">
      <c r="A156" s="1358"/>
      <c r="B156" s="229"/>
      <c r="C156" s="744" t="s">
        <v>3711</v>
      </c>
      <c r="D156" s="223" t="s">
        <v>3647</v>
      </c>
      <c r="E156" s="224">
        <v>773</v>
      </c>
      <c r="F156" s="13">
        <f t="shared" ref="F156:F167" si="51">E156*(1-45%)</f>
        <v>425.15000000000003</v>
      </c>
      <c r="G156" s="16">
        <f t="shared" ref="G156:G167" si="52">F156*B156</f>
        <v>0</v>
      </c>
      <c r="H156" s="14">
        <f t="shared" ref="H156:H167" si="53">F156*0.03137</f>
        <v>13.336955500000002</v>
      </c>
      <c r="I156" s="15">
        <f t="shared" ref="I156:I167" si="54">H156*B156</f>
        <v>0</v>
      </c>
      <c r="J156" s="15">
        <f t="shared" si="49"/>
        <v>11.649110000000002</v>
      </c>
      <c r="K156" s="15">
        <f t="shared" ref="K156:K167" si="55">J156*B156</f>
        <v>0</v>
      </c>
      <c r="L156" s="15">
        <f t="shared" si="50"/>
        <v>9.6934200000000015</v>
      </c>
      <c r="M156" s="15">
        <f t="shared" ref="M156:M167" si="56">L156*B156</f>
        <v>0</v>
      </c>
      <c r="N156" s="15">
        <f t="shared" ref="N156:N167" si="57">F156*0.0204</f>
        <v>8.6730600000000013</v>
      </c>
      <c r="O156" s="15">
        <f t="shared" ref="O156:O167" si="58">N156*B156</f>
        <v>0</v>
      </c>
      <c r="P156" s="15">
        <f t="shared" ref="P156:P167" si="59">F156*0.0185</f>
        <v>7.8652750000000005</v>
      </c>
      <c r="Q156" s="15">
        <f t="shared" ref="Q156:Q167" si="60">P156*B156</f>
        <v>0</v>
      </c>
    </row>
    <row r="157" spans="1:17" s="244" customFormat="1" ht="13.5" thickBot="1">
      <c r="A157" s="1358"/>
      <c r="B157" s="229"/>
      <c r="C157" s="745" t="s">
        <v>556</v>
      </c>
      <c r="D157" s="227" t="s">
        <v>3956</v>
      </c>
      <c r="E157" s="228">
        <v>17424</v>
      </c>
      <c r="F157" s="13">
        <f t="shared" si="51"/>
        <v>9583.2000000000007</v>
      </c>
      <c r="G157" s="16">
        <f t="shared" si="52"/>
        <v>0</v>
      </c>
      <c r="H157" s="14">
        <f t="shared" si="53"/>
        <v>300.62498400000004</v>
      </c>
      <c r="I157" s="15">
        <f t="shared" si="54"/>
        <v>0</v>
      </c>
      <c r="J157" s="15">
        <f t="shared" si="49"/>
        <v>262.57968000000005</v>
      </c>
      <c r="K157" s="15">
        <f t="shared" si="55"/>
        <v>0</v>
      </c>
      <c r="L157" s="15">
        <f t="shared" si="50"/>
        <v>218.49696000000003</v>
      </c>
      <c r="M157" s="15">
        <f t="shared" si="56"/>
        <v>0</v>
      </c>
      <c r="N157" s="15">
        <f t="shared" si="57"/>
        <v>195.49728000000002</v>
      </c>
      <c r="O157" s="15">
        <f t="shared" si="58"/>
        <v>0</v>
      </c>
      <c r="P157" s="15">
        <f t="shared" si="59"/>
        <v>177.28919999999999</v>
      </c>
      <c r="Q157" s="15">
        <f t="shared" si="60"/>
        <v>0</v>
      </c>
    </row>
    <row r="158" spans="1:17" s="244" customFormat="1" ht="13.5" thickBot="1">
      <c r="A158" s="1358"/>
      <c r="B158" s="229"/>
      <c r="C158" s="237" t="s">
        <v>3744</v>
      </c>
      <c r="D158" s="235" t="s">
        <v>3969</v>
      </c>
      <c r="E158" s="231">
        <v>5440</v>
      </c>
      <c r="F158" s="79">
        <f t="shared" si="51"/>
        <v>2992.0000000000005</v>
      </c>
      <c r="G158" s="80">
        <f t="shared" si="52"/>
        <v>0</v>
      </c>
      <c r="H158" s="79">
        <f t="shared" si="53"/>
        <v>93.859040000000022</v>
      </c>
      <c r="I158" s="18">
        <f t="shared" si="54"/>
        <v>0</v>
      </c>
      <c r="J158" s="18">
        <f t="shared" si="49"/>
        <v>81.980800000000016</v>
      </c>
      <c r="K158" s="18">
        <f t="shared" si="55"/>
        <v>0</v>
      </c>
      <c r="L158" s="18">
        <f t="shared" si="50"/>
        <v>68.217600000000019</v>
      </c>
      <c r="M158" s="18">
        <f t="shared" si="56"/>
        <v>0</v>
      </c>
      <c r="N158" s="18">
        <f t="shared" si="57"/>
        <v>61.036800000000014</v>
      </c>
      <c r="O158" s="18">
        <f t="shared" si="58"/>
        <v>0</v>
      </c>
      <c r="P158" s="15">
        <f t="shared" si="59"/>
        <v>55.352000000000004</v>
      </c>
      <c r="Q158" s="15">
        <f t="shared" si="60"/>
        <v>0</v>
      </c>
    </row>
    <row r="159" spans="1:17" s="244" customFormat="1" ht="13.5" thickBot="1">
      <c r="A159" s="1358"/>
      <c r="B159" s="229"/>
      <c r="C159" s="237" t="s">
        <v>3739</v>
      </c>
      <c r="D159" s="235" t="s">
        <v>3964</v>
      </c>
      <c r="E159" s="231">
        <v>31708</v>
      </c>
      <c r="F159" s="79">
        <f t="shared" si="51"/>
        <v>17439.400000000001</v>
      </c>
      <c r="G159" s="80">
        <f t="shared" si="52"/>
        <v>0</v>
      </c>
      <c r="H159" s="79">
        <f t="shared" si="53"/>
        <v>547.07397800000012</v>
      </c>
      <c r="I159" s="18">
        <f t="shared" si="54"/>
        <v>0</v>
      </c>
      <c r="J159" s="18">
        <f t="shared" si="49"/>
        <v>477.83956000000006</v>
      </c>
      <c r="K159" s="18">
        <f t="shared" si="55"/>
        <v>0</v>
      </c>
      <c r="L159" s="18">
        <f t="shared" si="50"/>
        <v>397.61832000000004</v>
      </c>
      <c r="M159" s="18">
        <f t="shared" si="56"/>
        <v>0</v>
      </c>
      <c r="N159" s="18">
        <f t="shared" si="57"/>
        <v>355.76376000000005</v>
      </c>
      <c r="O159" s="18">
        <f t="shared" si="58"/>
        <v>0</v>
      </c>
      <c r="P159" s="15">
        <f t="shared" si="59"/>
        <v>322.62889999999999</v>
      </c>
      <c r="Q159" s="15">
        <f t="shared" si="60"/>
        <v>0</v>
      </c>
    </row>
    <row r="160" spans="1:17" s="244" customFormat="1" ht="13.5" thickBot="1">
      <c r="A160" s="1358"/>
      <c r="B160" s="229"/>
      <c r="C160" s="744" t="s">
        <v>3754</v>
      </c>
      <c r="D160" s="223" t="s">
        <v>3841</v>
      </c>
      <c r="E160" s="224">
        <v>2750</v>
      </c>
      <c r="F160" s="13">
        <f t="shared" si="51"/>
        <v>1512.5000000000002</v>
      </c>
      <c r="G160" s="16">
        <f t="shared" si="52"/>
        <v>0</v>
      </c>
      <c r="H160" s="14">
        <f t="shared" si="53"/>
        <v>47.447125000000007</v>
      </c>
      <c r="I160" s="15">
        <f t="shared" si="54"/>
        <v>0</v>
      </c>
      <c r="J160" s="15">
        <f t="shared" si="49"/>
        <v>41.44250000000001</v>
      </c>
      <c r="K160" s="15">
        <f t="shared" si="55"/>
        <v>0</v>
      </c>
      <c r="L160" s="15">
        <f t="shared" si="50"/>
        <v>34.485000000000007</v>
      </c>
      <c r="M160" s="15">
        <f t="shared" si="56"/>
        <v>0</v>
      </c>
      <c r="N160" s="15">
        <f t="shared" si="57"/>
        <v>30.855000000000008</v>
      </c>
      <c r="O160" s="15">
        <f t="shared" si="58"/>
        <v>0</v>
      </c>
      <c r="P160" s="15">
        <f t="shared" si="59"/>
        <v>27.981250000000003</v>
      </c>
      <c r="Q160" s="15">
        <f t="shared" si="60"/>
        <v>0</v>
      </c>
    </row>
    <row r="161" spans="1:17" s="244" customFormat="1" ht="13.5" thickBot="1">
      <c r="A161" s="1358"/>
      <c r="B161" s="229"/>
      <c r="C161" s="746" t="s">
        <v>3910</v>
      </c>
      <c r="D161" s="225" t="s">
        <v>4213</v>
      </c>
      <c r="E161" s="224">
        <v>990</v>
      </c>
      <c r="F161" s="79">
        <f t="shared" si="51"/>
        <v>544.5</v>
      </c>
      <c r="G161" s="80">
        <f t="shared" si="52"/>
        <v>0</v>
      </c>
      <c r="H161" s="79">
        <f t="shared" si="53"/>
        <v>17.080965000000003</v>
      </c>
      <c r="I161" s="18">
        <f t="shared" si="54"/>
        <v>0</v>
      </c>
      <c r="J161" s="18">
        <f t="shared" si="49"/>
        <v>14.9193</v>
      </c>
      <c r="K161" s="18">
        <f t="shared" si="55"/>
        <v>0</v>
      </c>
      <c r="L161" s="18">
        <f t="shared" si="50"/>
        <v>12.4146</v>
      </c>
      <c r="M161" s="18">
        <f t="shared" si="56"/>
        <v>0</v>
      </c>
      <c r="N161" s="18">
        <f t="shared" si="57"/>
        <v>11.107800000000001</v>
      </c>
      <c r="O161" s="18">
        <f t="shared" si="58"/>
        <v>0</v>
      </c>
      <c r="P161" s="15">
        <f t="shared" si="59"/>
        <v>10.07325</v>
      </c>
      <c r="Q161" s="15">
        <f t="shared" si="60"/>
        <v>0</v>
      </c>
    </row>
    <row r="162" spans="1:17" s="244" customFormat="1" ht="13.5" thickBot="1">
      <c r="A162" s="1358"/>
      <c r="B162" s="229"/>
      <c r="C162" s="237" t="s">
        <v>805</v>
      </c>
      <c r="D162" s="235" t="s">
        <v>3965</v>
      </c>
      <c r="E162" s="231">
        <v>9015</v>
      </c>
      <c r="F162" s="79">
        <f t="shared" si="51"/>
        <v>4958.25</v>
      </c>
      <c r="G162" s="80">
        <f t="shared" si="52"/>
        <v>0</v>
      </c>
      <c r="H162" s="79">
        <f t="shared" si="53"/>
        <v>155.54030250000002</v>
      </c>
      <c r="I162" s="18">
        <f t="shared" si="54"/>
        <v>0</v>
      </c>
      <c r="J162" s="18">
        <f t="shared" si="49"/>
        <v>135.85605000000001</v>
      </c>
      <c r="K162" s="18">
        <f t="shared" si="55"/>
        <v>0</v>
      </c>
      <c r="L162" s="18">
        <f t="shared" si="50"/>
        <v>113.04810000000001</v>
      </c>
      <c r="M162" s="18">
        <f t="shared" si="56"/>
        <v>0</v>
      </c>
      <c r="N162" s="18">
        <f t="shared" si="57"/>
        <v>101.14830000000001</v>
      </c>
      <c r="O162" s="18">
        <f t="shared" si="58"/>
        <v>0</v>
      </c>
      <c r="P162" s="15">
        <f t="shared" si="59"/>
        <v>91.727624999999989</v>
      </c>
      <c r="Q162" s="15">
        <f t="shared" si="60"/>
        <v>0</v>
      </c>
    </row>
    <row r="163" spans="1:17" s="244" customFormat="1" ht="13.5" thickBot="1">
      <c r="A163" s="1358"/>
      <c r="B163" s="229"/>
      <c r="C163" s="746" t="s">
        <v>3906</v>
      </c>
      <c r="D163" s="225" t="s">
        <v>3977</v>
      </c>
      <c r="E163" s="224">
        <v>4290</v>
      </c>
      <c r="F163" s="79">
        <f t="shared" si="51"/>
        <v>2359.5</v>
      </c>
      <c r="G163" s="80">
        <f t="shared" si="52"/>
        <v>0</v>
      </c>
      <c r="H163" s="79">
        <f t="shared" si="53"/>
        <v>74.017515000000003</v>
      </c>
      <c r="I163" s="18">
        <f t="shared" si="54"/>
        <v>0</v>
      </c>
      <c r="J163" s="18">
        <f t="shared" si="49"/>
        <v>64.650300000000001</v>
      </c>
      <c r="K163" s="18">
        <f t="shared" si="55"/>
        <v>0</v>
      </c>
      <c r="L163" s="18">
        <f t="shared" si="50"/>
        <v>53.796600000000005</v>
      </c>
      <c r="M163" s="18">
        <f t="shared" si="56"/>
        <v>0</v>
      </c>
      <c r="N163" s="18">
        <f t="shared" si="57"/>
        <v>48.133800000000001</v>
      </c>
      <c r="O163" s="18">
        <f t="shared" si="58"/>
        <v>0</v>
      </c>
      <c r="P163" s="15">
        <f t="shared" si="59"/>
        <v>43.650749999999995</v>
      </c>
      <c r="Q163" s="15">
        <f t="shared" si="60"/>
        <v>0</v>
      </c>
    </row>
    <row r="164" spans="1:17" s="244" customFormat="1" ht="13.5" thickBot="1">
      <c r="A164" s="1358"/>
      <c r="B164" s="229"/>
      <c r="C164" s="746" t="s">
        <v>3907</v>
      </c>
      <c r="D164" s="225" t="s">
        <v>3978</v>
      </c>
      <c r="E164" s="224">
        <v>20009</v>
      </c>
      <c r="F164" s="79">
        <f t="shared" si="51"/>
        <v>11004.95</v>
      </c>
      <c r="G164" s="80">
        <f t="shared" si="52"/>
        <v>0</v>
      </c>
      <c r="H164" s="79">
        <f t="shared" si="53"/>
        <v>345.22528150000005</v>
      </c>
      <c r="I164" s="18">
        <f t="shared" si="54"/>
        <v>0</v>
      </c>
      <c r="J164" s="18">
        <f t="shared" si="49"/>
        <v>301.53563000000003</v>
      </c>
      <c r="K164" s="18">
        <f t="shared" si="55"/>
        <v>0</v>
      </c>
      <c r="L164" s="18">
        <f t="shared" si="50"/>
        <v>250.91286000000002</v>
      </c>
      <c r="M164" s="18">
        <f t="shared" si="56"/>
        <v>0</v>
      </c>
      <c r="N164" s="18">
        <f t="shared" si="57"/>
        <v>224.50098000000003</v>
      </c>
      <c r="O164" s="18">
        <f t="shared" si="58"/>
        <v>0</v>
      </c>
      <c r="P164" s="15">
        <f t="shared" si="59"/>
        <v>203.59157500000001</v>
      </c>
      <c r="Q164" s="15">
        <f t="shared" si="60"/>
        <v>0</v>
      </c>
    </row>
    <row r="165" spans="1:17" s="244" customFormat="1" ht="13.5" thickBot="1">
      <c r="A165" s="1358"/>
      <c r="B165" s="229"/>
      <c r="C165" s="746" t="s">
        <v>3747</v>
      </c>
      <c r="D165" s="225" t="s">
        <v>3972</v>
      </c>
      <c r="E165" s="224">
        <v>3518</v>
      </c>
      <c r="F165" s="79">
        <f t="shared" si="51"/>
        <v>1934.9</v>
      </c>
      <c r="G165" s="80">
        <f t="shared" si="52"/>
        <v>0</v>
      </c>
      <c r="H165" s="79">
        <f t="shared" si="53"/>
        <v>60.697813000000004</v>
      </c>
      <c r="I165" s="18">
        <f t="shared" si="54"/>
        <v>0</v>
      </c>
      <c r="J165" s="18">
        <f t="shared" si="49"/>
        <v>53.016260000000003</v>
      </c>
      <c r="K165" s="18">
        <f t="shared" si="55"/>
        <v>0</v>
      </c>
      <c r="L165" s="18">
        <f t="shared" si="50"/>
        <v>44.115720000000003</v>
      </c>
      <c r="M165" s="18">
        <f t="shared" si="56"/>
        <v>0</v>
      </c>
      <c r="N165" s="18">
        <f t="shared" si="57"/>
        <v>39.471960000000003</v>
      </c>
      <c r="O165" s="18">
        <f t="shared" si="58"/>
        <v>0</v>
      </c>
      <c r="P165" s="15">
        <f t="shared" si="59"/>
        <v>35.795650000000002</v>
      </c>
      <c r="Q165" s="15">
        <f t="shared" si="60"/>
        <v>0</v>
      </c>
    </row>
    <row r="166" spans="1:17" s="244" customFormat="1" ht="26.25" thickBot="1">
      <c r="A166" s="1358"/>
      <c r="B166" s="229"/>
      <c r="C166" s="746" t="s">
        <v>3765</v>
      </c>
      <c r="D166" s="225" t="s">
        <v>3853</v>
      </c>
      <c r="E166" s="224">
        <v>990</v>
      </c>
      <c r="F166" s="79">
        <f t="shared" si="51"/>
        <v>544.5</v>
      </c>
      <c r="G166" s="80">
        <f t="shared" si="52"/>
        <v>0</v>
      </c>
      <c r="H166" s="79">
        <f t="shared" si="53"/>
        <v>17.080965000000003</v>
      </c>
      <c r="I166" s="18">
        <f t="shared" si="54"/>
        <v>0</v>
      </c>
      <c r="J166" s="18">
        <f t="shared" si="49"/>
        <v>14.9193</v>
      </c>
      <c r="K166" s="18">
        <f t="shared" si="55"/>
        <v>0</v>
      </c>
      <c r="L166" s="18">
        <f t="shared" si="50"/>
        <v>12.4146</v>
      </c>
      <c r="M166" s="18">
        <f t="shared" si="56"/>
        <v>0</v>
      </c>
      <c r="N166" s="18">
        <f t="shared" si="57"/>
        <v>11.107800000000001</v>
      </c>
      <c r="O166" s="18">
        <f t="shared" si="58"/>
        <v>0</v>
      </c>
      <c r="P166" s="15">
        <f t="shared" si="59"/>
        <v>10.07325</v>
      </c>
      <c r="Q166" s="15">
        <f t="shared" si="60"/>
        <v>0</v>
      </c>
    </row>
    <row r="167" spans="1:17" s="244" customFormat="1" ht="13.5" thickBot="1">
      <c r="A167" s="1358"/>
      <c r="B167" s="229"/>
      <c r="C167" s="744" t="s">
        <v>268</v>
      </c>
      <c r="D167" s="223" t="s">
        <v>3849</v>
      </c>
      <c r="E167" s="224">
        <v>638</v>
      </c>
      <c r="F167" s="13">
        <f t="shared" si="51"/>
        <v>350.90000000000003</v>
      </c>
      <c r="G167" s="16">
        <f t="shared" si="52"/>
        <v>0</v>
      </c>
      <c r="H167" s="14">
        <f t="shared" si="53"/>
        <v>11.007733000000002</v>
      </c>
      <c r="I167" s="15">
        <f t="shared" si="54"/>
        <v>0</v>
      </c>
      <c r="J167" s="15">
        <f t="shared" si="49"/>
        <v>9.6146600000000007</v>
      </c>
      <c r="K167" s="15">
        <f t="shared" si="55"/>
        <v>0</v>
      </c>
      <c r="L167" s="15">
        <f t="shared" si="50"/>
        <v>8.0005200000000016</v>
      </c>
      <c r="M167" s="15">
        <f t="shared" si="56"/>
        <v>0</v>
      </c>
      <c r="N167" s="15">
        <f t="shared" si="57"/>
        <v>7.1583600000000009</v>
      </c>
      <c r="O167" s="15">
        <f t="shared" si="58"/>
        <v>0</v>
      </c>
      <c r="P167" s="15">
        <f t="shared" si="59"/>
        <v>6.4916499999999999</v>
      </c>
      <c r="Q167" s="15">
        <f t="shared" si="60"/>
        <v>0</v>
      </c>
    </row>
    <row r="168" spans="1:17" s="239" customFormat="1">
      <c r="A168" s="238"/>
      <c r="D168" s="1342" t="s">
        <v>183</v>
      </c>
      <c r="E168" s="1343"/>
      <c r="F168" s="1343"/>
      <c r="G168" s="78">
        <f>SUM(G28:G167)+G25</f>
        <v>0</v>
      </c>
      <c r="H168" s="240" t="s">
        <v>201</v>
      </c>
      <c r="I168" s="78">
        <f>SUM(I28:I167)+I25</f>
        <v>0</v>
      </c>
      <c r="J168" s="240" t="s">
        <v>202</v>
      </c>
      <c r="K168" s="78">
        <f>SUM(K28:K167)+K25</f>
        <v>0</v>
      </c>
      <c r="L168" s="240" t="s">
        <v>203</v>
      </c>
      <c r="M168" s="78">
        <f>SUM(M28:M167)+M25</f>
        <v>0</v>
      </c>
      <c r="N168" s="240" t="s">
        <v>95</v>
      </c>
      <c r="O168" s="78">
        <f>SUM(O28:O167)+O25</f>
        <v>0</v>
      </c>
      <c r="P168" s="240" t="s">
        <v>888</v>
      </c>
      <c r="Q168" s="78">
        <f>SUM(Q28:Q167)+Q25</f>
        <v>0</v>
      </c>
    </row>
    <row r="169" spans="1:17" s="239" customFormat="1" ht="12.75">
      <c r="F169" s="241"/>
      <c r="G169" s="241"/>
      <c r="H169" s="242"/>
    </row>
    <row r="170" spans="1:17" s="239" customFormat="1" ht="12.75">
      <c r="F170" s="241"/>
      <c r="G170" s="241"/>
    </row>
    <row r="171" spans="1:17" s="239" customFormat="1" ht="12.75">
      <c r="F171" s="241"/>
      <c r="G171" s="241"/>
    </row>
    <row r="172" spans="1:17" s="239" customFormat="1" ht="12.75">
      <c r="F172" s="241"/>
      <c r="G172" s="241"/>
    </row>
    <row r="173" spans="1:17" s="239" customFormat="1" ht="12.75">
      <c r="F173" s="241"/>
      <c r="G173" s="241"/>
    </row>
    <row r="174" spans="1:17" s="239" customFormat="1" ht="12.75">
      <c r="F174" s="241"/>
      <c r="G174" s="241"/>
    </row>
    <row r="175" spans="1:17" s="239" customFormat="1" ht="12.75">
      <c r="F175" s="241"/>
      <c r="G175" s="241"/>
    </row>
    <row r="176" spans="1:17" s="239" customFormat="1" ht="12.75">
      <c r="F176" s="241"/>
      <c r="G176" s="241"/>
    </row>
    <row r="177" spans="2:7" s="239" customFormat="1" ht="12.75">
      <c r="F177" s="241"/>
      <c r="G177" s="241"/>
    </row>
    <row r="178" spans="2:7" s="239" customFormat="1" ht="12.75">
      <c r="F178" s="241"/>
      <c r="G178" s="241"/>
    </row>
    <row r="179" spans="2:7" s="239" customFormat="1" ht="12.75">
      <c r="F179" s="241"/>
      <c r="G179" s="241"/>
    </row>
    <row r="180" spans="2:7" s="239" customFormat="1" ht="12.75">
      <c r="F180" s="241"/>
      <c r="G180" s="241"/>
    </row>
    <row r="181" spans="2:7" s="239" customFormat="1" ht="12.75">
      <c r="F181" s="241"/>
      <c r="G181" s="241"/>
    </row>
    <row r="182" spans="2:7" s="239" customFormat="1" ht="12.75">
      <c r="F182" s="241"/>
      <c r="G182" s="241"/>
    </row>
    <row r="183" spans="2:7" s="239" customFormat="1" ht="12.75">
      <c r="F183" s="241"/>
      <c r="G183" s="241"/>
    </row>
    <row r="184" spans="2:7" s="239" customFormat="1" ht="12.75">
      <c r="F184" s="241"/>
      <c r="G184" s="241"/>
    </row>
    <row r="185" spans="2:7" s="239" customFormat="1" ht="12.75">
      <c r="B185" s="243"/>
      <c r="C185" s="243"/>
      <c r="F185" s="241"/>
      <c r="G185" s="241"/>
    </row>
    <row r="186" spans="2:7" s="239" customFormat="1" ht="12.75">
      <c r="F186" s="241"/>
      <c r="G186" s="241"/>
    </row>
    <row r="187" spans="2:7" s="239" customFormat="1" ht="12.75">
      <c r="F187" s="241"/>
      <c r="G187" s="241"/>
    </row>
    <row r="188" spans="2:7" s="239" customFormat="1" ht="12.75">
      <c r="F188" s="241"/>
      <c r="G188" s="241"/>
    </row>
    <row r="189" spans="2:7" s="239" customFormat="1" ht="12.75">
      <c r="F189" s="241"/>
      <c r="G189" s="241"/>
    </row>
    <row r="190" spans="2:7" s="239" customFormat="1" ht="12.75">
      <c r="F190" s="241"/>
      <c r="G190" s="241"/>
    </row>
    <row r="191" spans="2:7" s="239" customFormat="1" ht="12.75">
      <c r="F191" s="241"/>
      <c r="G191" s="241"/>
    </row>
    <row r="192" spans="2:7" s="239" customFormat="1" ht="12.75">
      <c r="F192" s="241"/>
      <c r="G192" s="241"/>
    </row>
    <row r="193" spans="6:7" s="239" customFormat="1" ht="12.75">
      <c r="F193" s="241"/>
      <c r="G193" s="241"/>
    </row>
    <row r="194" spans="6:7" s="239" customFormat="1" ht="12.75">
      <c r="F194" s="241"/>
      <c r="G194" s="241"/>
    </row>
    <row r="195" spans="6:7" s="239" customFormat="1" ht="12.75">
      <c r="F195" s="241"/>
      <c r="G195" s="241"/>
    </row>
    <row r="196" spans="6:7" s="239" customFormat="1" ht="12.75">
      <c r="F196" s="241"/>
      <c r="G196" s="241"/>
    </row>
    <row r="197" spans="6:7" s="239" customFormat="1" ht="12.75">
      <c r="F197" s="241"/>
      <c r="G197" s="241"/>
    </row>
    <row r="198" spans="6:7" s="239" customFormat="1" ht="12.75">
      <c r="F198" s="241"/>
      <c r="G198" s="241"/>
    </row>
    <row r="199" spans="6:7" s="239" customFormat="1" ht="12.75">
      <c r="F199" s="241"/>
      <c r="G199" s="241"/>
    </row>
    <row r="200" spans="6:7" s="239" customFormat="1" ht="12.75">
      <c r="F200" s="241"/>
      <c r="G200" s="241"/>
    </row>
    <row r="201" spans="6:7" s="239" customFormat="1" ht="12.75">
      <c r="F201" s="241"/>
      <c r="G201" s="241"/>
    </row>
    <row r="202" spans="6:7" s="239" customFormat="1" ht="12.75">
      <c r="F202" s="241"/>
      <c r="G202" s="241"/>
    </row>
    <row r="203" spans="6:7" s="239" customFormat="1" ht="12.75">
      <c r="F203" s="241"/>
      <c r="G203" s="241"/>
    </row>
    <row r="204" spans="6:7" s="239" customFormat="1" ht="12.75">
      <c r="F204" s="241"/>
      <c r="G204" s="241"/>
    </row>
    <row r="205" spans="6:7" s="239" customFormat="1" ht="12.75">
      <c r="F205" s="241"/>
      <c r="G205" s="241"/>
    </row>
    <row r="206" spans="6:7" s="239" customFormat="1" ht="12.75">
      <c r="F206" s="241"/>
      <c r="G206" s="241"/>
    </row>
    <row r="207" spans="6:7" s="239" customFormat="1" ht="12.75">
      <c r="F207" s="241"/>
      <c r="G207" s="241"/>
    </row>
    <row r="208" spans="6:7" s="239" customFormat="1" ht="12.75">
      <c r="F208" s="241"/>
      <c r="G208" s="241"/>
    </row>
    <row r="209" spans="6:7" s="239" customFormat="1" ht="12.75">
      <c r="F209" s="241"/>
      <c r="G209" s="241"/>
    </row>
    <row r="210" spans="6:7" s="239" customFormat="1" ht="12.75">
      <c r="F210" s="241"/>
      <c r="G210" s="241"/>
    </row>
    <row r="211" spans="6:7" s="239" customFormat="1" ht="12.75">
      <c r="F211" s="241"/>
      <c r="G211" s="241"/>
    </row>
    <row r="212" spans="6:7" s="239" customFormat="1" ht="12.75">
      <c r="F212" s="241"/>
      <c r="G212" s="241"/>
    </row>
    <row r="213" spans="6:7" s="239" customFormat="1" ht="12.75">
      <c r="F213" s="241"/>
      <c r="G213" s="241"/>
    </row>
    <row r="214" spans="6:7" s="239" customFormat="1" ht="12.75">
      <c r="F214" s="241"/>
      <c r="G214" s="241"/>
    </row>
    <row r="215" spans="6:7" s="239" customFormat="1" ht="12.75">
      <c r="F215" s="241"/>
      <c r="G215" s="241"/>
    </row>
    <row r="216" spans="6:7" s="239" customFormat="1" ht="12.75">
      <c r="F216" s="241"/>
      <c r="G216" s="241"/>
    </row>
    <row r="217" spans="6:7" s="239" customFormat="1" ht="12.75">
      <c r="F217" s="241"/>
      <c r="G217" s="241"/>
    </row>
    <row r="218" spans="6:7" s="239" customFormat="1" ht="12.75">
      <c r="F218" s="241"/>
      <c r="G218" s="241"/>
    </row>
    <row r="219" spans="6:7" s="239" customFormat="1" ht="12.75">
      <c r="F219" s="241"/>
      <c r="G219" s="241"/>
    </row>
    <row r="220" spans="6:7" s="239" customFormat="1" ht="12.75">
      <c r="F220" s="241"/>
      <c r="G220" s="241"/>
    </row>
    <row r="221" spans="6:7" s="239" customFormat="1" ht="12.75">
      <c r="F221" s="241"/>
      <c r="G221" s="241"/>
    </row>
    <row r="222" spans="6:7" s="239" customFormat="1" ht="12.75">
      <c r="F222" s="241"/>
      <c r="G222" s="241"/>
    </row>
    <row r="223" spans="6:7" s="239" customFormat="1" ht="12.75">
      <c r="F223" s="241"/>
      <c r="G223" s="241"/>
    </row>
    <row r="224" spans="6:7" s="239" customFormat="1" ht="12.75">
      <c r="F224" s="241"/>
      <c r="G224" s="241"/>
    </row>
    <row r="225" spans="6:7" s="239" customFormat="1" ht="12.75">
      <c r="F225" s="241"/>
      <c r="G225" s="241"/>
    </row>
    <row r="226" spans="6:7" s="239" customFormat="1" ht="12.75">
      <c r="F226" s="241"/>
      <c r="G226" s="241"/>
    </row>
    <row r="227" spans="6:7" s="239" customFormat="1" ht="12.75">
      <c r="F227" s="241"/>
      <c r="G227" s="241"/>
    </row>
    <row r="228" spans="6:7" s="239" customFormat="1" ht="12.75">
      <c r="F228" s="241"/>
      <c r="G228" s="241"/>
    </row>
    <row r="229" spans="6:7" s="239" customFormat="1" ht="12.75">
      <c r="F229" s="241"/>
      <c r="G229" s="241"/>
    </row>
    <row r="230" spans="6:7" s="239" customFormat="1" ht="12.75">
      <c r="F230" s="241"/>
      <c r="G230" s="241"/>
    </row>
    <row r="231" spans="6:7" s="239" customFormat="1" ht="12.75">
      <c r="F231" s="241"/>
      <c r="G231" s="241"/>
    </row>
    <row r="232" spans="6:7" s="239" customFormat="1" ht="12.75">
      <c r="F232" s="241"/>
      <c r="G232" s="241"/>
    </row>
    <row r="233" spans="6:7" s="239" customFormat="1" ht="12.75">
      <c r="F233" s="241"/>
      <c r="G233" s="241"/>
    </row>
    <row r="234" spans="6:7" s="239" customFormat="1" ht="12.75">
      <c r="F234" s="241"/>
      <c r="G234" s="241"/>
    </row>
    <row r="235" spans="6:7" s="239" customFormat="1" ht="12.75">
      <c r="F235" s="241"/>
      <c r="G235" s="241"/>
    </row>
    <row r="236" spans="6:7" s="239" customFormat="1" ht="12.75">
      <c r="F236" s="241"/>
      <c r="G236" s="241"/>
    </row>
    <row r="237" spans="6:7" s="239" customFormat="1" ht="12.75">
      <c r="F237" s="241"/>
      <c r="G237" s="241"/>
    </row>
    <row r="238" spans="6:7" s="239" customFormat="1" ht="12.75">
      <c r="F238" s="241"/>
      <c r="G238" s="241"/>
    </row>
    <row r="239" spans="6:7" s="239" customFormat="1" ht="12.75">
      <c r="F239" s="241"/>
      <c r="G239" s="241"/>
    </row>
    <row r="240" spans="6:7" s="239" customFormat="1" ht="12.75">
      <c r="F240" s="241"/>
      <c r="G240" s="241"/>
    </row>
    <row r="241" spans="6:7" s="239" customFormat="1" ht="12.75">
      <c r="F241" s="241"/>
      <c r="G241" s="241"/>
    </row>
    <row r="242" spans="6:7" s="239" customFormat="1" ht="12.75">
      <c r="F242" s="241"/>
      <c r="G242" s="241"/>
    </row>
    <row r="243" spans="6:7" s="239" customFormat="1" ht="12.75">
      <c r="F243" s="241"/>
      <c r="G243" s="241"/>
    </row>
    <row r="244" spans="6:7" s="239" customFormat="1" ht="12.75">
      <c r="F244" s="241"/>
      <c r="G244" s="241"/>
    </row>
    <row r="245" spans="6:7" s="239" customFormat="1" ht="12.75">
      <c r="F245" s="241"/>
      <c r="G245" s="241"/>
    </row>
    <row r="246" spans="6:7" s="239" customFormat="1" ht="12.75">
      <c r="F246" s="241"/>
      <c r="G246" s="241"/>
    </row>
    <row r="247" spans="6:7" s="239" customFormat="1" ht="12.75">
      <c r="F247" s="241"/>
      <c r="G247" s="241"/>
    </row>
    <row r="248" spans="6:7" s="239" customFormat="1" ht="12.75">
      <c r="F248" s="241"/>
      <c r="G248" s="241"/>
    </row>
    <row r="249" spans="6:7" s="239" customFormat="1" ht="12.75">
      <c r="F249" s="241"/>
      <c r="G249" s="241"/>
    </row>
    <row r="250" spans="6:7" s="239" customFormat="1" ht="12.75">
      <c r="F250" s="241"/>
      <c r="G250" s="241"/>
    </row>
    <row r="251" spans="6:7" s="239" customFormat="1" ht="12.75">
      <c r="F251" s="241"/>
      <c r="G251" s="241"/>
    </row>
    <row r="252" spans="6:7" s="239" customFormat="1" ht="12.75">
      <c r="F252" s="241"/>
      <c r="G252" s="241"/>
    </row>
    <row r="253" spans="6:7" s="239" customFormat="1" ht="12.75">
      <c r="F253" s="241"/>
      <c r="G253" s="241"/>
    </row>
    <row r="254" spans="6:7" s="239" customFormat="1" ht="12.75">
      <c r="F254" s="241"/>
      <c r="G254" s="241"/>
    </row>
    <row r="255" spans="6:7" s="239" customFormat="1" ht="12.75">
      <c r="F255" s="241"/>
      <c r="G255" s="241"/>
    </row>
    <row r="256" spans="6:7" s="239" customFormat="1" ht="12.75">
      <c r="F256" s="241"/>
      <c r="G256" s="241"/>
    </row>
    <row r="257" spans="1:17" s="239" customFormat="1" ht="12.75">
      <c r="F257" s="241"/>
      <c r="G257" s="241"/>
    </row>
    <row r="258" spans="1:17" s="239" customFormat="1" ht="12.75">
      <c r="F258" s="241"/>
      <c r="G258" s="241"/>
    </row>
    <row r="259" spans="1:17" s="239" customFormat="1" ht="12.75">
      <c r="F259" s="241"/>
      <c r="G259" s="241"/>
    </row>
    <row r="260" spans="1:17" s="239" customFormat="1" ht="12.75">
      <c r="F260" s="241"/>
      <c r="G260" s="241"/>
    </row>
    <row r="261" spans="1:17" s="239" customFormat="1" ht="12.75">
      <c r="F261" s="241"/>
      <c r="G261" s="241"/>
    </row>
    <row r="262" spans="1:17" s="239" customFormat="1" ht="12.75">
      <c r="F262" s="241"/>
      <c r="G262" s="241"/>
    </row>
    <row r="263" spans="1:17" s="239" customFormat="1" ht="12.75">
      <c r="F263" s="241"/>
      <c r="G263" s="241"/>
    </row>
    <row r="264" spans="1:17" s="239" customFormat="1" ht="12.75">
      <c r="F264" s="241"/>
      <c r="G264" s="241"/>
    </row>
    <row r="265" spans="1:17" s="239" customFormat="1" ht="12.75">
      <c r="F265" s="241"/>
      <c r="G265" s="241"/>
    </row>
    <row r="266" spans="1:17" s="239" customFormat="1" ht="12.75">
      <c r="F266" s="241"/>
      <c r="G266" s="241"/>
    </row>
    <row r="267" spans="1:17" s="239" customFormat="1" ht="12.75">
      <c r="F267" s="241"/>
      <c r="G267" s="241"/>
    </row>
    <row r="268" spans="1:17" s="239" customFormat="1" ht="12.75">
      <c r="F268" s="241"/>
      <c r="G268" s="241"/>
    </row>
    <row r="269" spans="1:17">
      <c r="A269" s="239"/>
      <c r="B269" s="239"/>
      <c r="C269" s="239"/>
      <c r="D269" s="239"/>
      <c r="E269" s="239"/>
      <c r="F269" s="241"/>
      <c r="G269" s="241"/>
      <c r="H269" s="239"/>
      <c r="I269" s="239"/>
      <c r="J269" s="239"/>
      <c r="K269" s="239"/>
      <c r="L269" s="239"/>
      <c r="M269" s="239"/>
      <c r="N269" s="239"/>
      <c r="O269" s="239"/>
      <c r="P269" s="239"/>
      <c r="Q269" s="239"/>
    </row>
    <row r="270" spans="1:17">
      <c r="A270" s="239"/>
      <c r="B270" s="239"/>
      <c r="C270" s="239"/>
      <c r="D270" s="239"/>
      <c r="E270" s="239"/>
      <c r="F270" s="241"/>
      <c r="G270" s="241"/>
      <c r="H270" s="239"/>
      <c r="I270" s="239"/>
      <c r="J270" s="239"/>
      <c r="K270" s="239"/>
      <c r="L270" s="239"/>
      <c r="M270" s="239"/>
      <c r="N270" s="239"/>
      <c r="O270" s="239"/>
      <c r="P270" s="239"/>
      <c r="Q270" s="239"/>
    </row>
    <row r="271" spans="1:17">
      <c r="A271" s="239"/>
      <c r="B271" s="239"/>
      <c r="C271" s="239"/>
      <c r="D271" s="239"/>
      <c r="E271" s="239"/>
      <c r="F271" s="241"/>
      <c r="G271" s="241"/>
      <c r="I271" s="239"/>
      <c r="J271" s="239"/>
      <c r="K271" s="239"/>
      <c r="L271" s="239"/>
      <c r="M271" s="239"/>
      <c r="N271" s="239"/>
      <c r="O271" s="239"/>
      <c r="P271" s="239"/>
      <c r="Q271" s="239"/>
    </row>
  </sheetData>
  <mergeCells count="18">
    <mergeCell ref="A4:O4"/>
    <mergeCell ref="F8:I8"/>
    <mergeCell ref="F23:G23"/>
    <mergeCell ref="M25:M26"/>
    <mergeCell ref="A25:A26"/>
    <mergeCell ref="O25:O26"/>
    <mergeCell ref="B25:B26"/>
    <mergeCell ref="G25:G26"/>
    <mergeCell ref="A5:O5"/>
    <mergeCell ref="I25:I26"/>
    <mergeCell ref="K25:K26"/>
    <mergeCell ref="A19:Q19"/>
    <mergeCell ref="A20:Q20"/>
    <mergeCell ref="Q25:Q26"/>
    <mergeCell ref="H23:Q23"/>
    <mergeCell ref="D168:F168"/>
    <mergeCell ref="A28:A167"/>
    <mergeCell ref="A27:Q27"/>
  </mergeCells>
  <phoneticPr fontId="54"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5">
    <tabColor indexed="62"/>
  </sheetPr>
  <dimension ref="A1:S271"/>
  <sheetViews>
    <sheetView zoomScale="89" zoomScaleNormal="89" workbookViewId="0">
      <selection activeCell="E35" sqref="E35"/>
    </sheetView>
  </sheetViews>
  <sheetFormatPr defaultColWidth="8.85546875" defaultRowHeight="15.75"/>
  <cols>
    <col min="1" max="1" width="14" style="178" customWidth="1"/>
    <col min="2" max="2" width="8.7109375" style="178" customWidth="1"/>
    <col min="3" max="3" width="23.5703125" style="178" customWidth="1"/>
    <col min="4" max="4" width="42" style="178" customWidth="1"/>
    <col min="5" max="5" width="17" style="178" customWidth="1"/>
    <col min="6" max="6" width="18.28515625" style="165" customWidth="1"/>
    <col min="7" max="7" width="16" style="165" customWidth="1"/>
    <col min="8" max="8" width="21.28515625" style="178" customWidth="1"/>
    <col min="9" max="9" width="25.5703125" style="178" customWidth="1"/>
    <col min="10" max="10" width="20.5703125" style="178" customWidth="1"/>
    <col min="11" max="11" width="21.140625" style="178" customWidth="1"/>
    <col min="12" max="12" width="20" style="178" customWidth="1"/>
    <col min="13" max="13" width="19" style="178" customWidth="1"/>
    <col min="14" max="14" width="19.5703125" style="178" customWidth="1"/>
    <col min="15" max="15" width="19.140625" style="178" customWidth="1"/>
    <col min="16" max="16" width="19.5703125" style="178" customWidth="1"/>
    <col min="17" max="17" width="19.140625" style="178" customWidth="1"/>
    <col min="18" max="18" width="12.42578125" style="178" customWidth="1"/>
    <col min="19" max="16384" width="8.85546875" style="178"/>
  </cols>
  <sheetData>
    <row r="1" spans="1:17" ht="16.5" thickBot="1">
      <c r="B1" s="179"/>
      <c r="C1" s="179"/>
      <c r="D1" s="180"/>
      <c r="E1" s="180"/>
      <c r="F1" s="181"/>
      <c r="G1" s="181"/>
      <c r="H1" s="181"/>
      <c r="I1" s="181"/>
      <c r="J1" s="181"/>
      <c r="K1" s="180"/>
      <c r="L1" s="181"/>
    </row>
    <row r="2" spans="1:17" ht="9" customHeight="1">
      <c r="A2" s="182"/>
      <c r="B2" s="183"/>
      <c r="C2" s="183"/>
      <c r="D2" s="184"/>
      <c r="E2" s="184"/>
      <c r="F2" s="185"/>
      <c r="G2" s="185"/>
      <c r="H2" s="185"/>
      <c r="I2" s="186"/>
      <c r="J2" s="186"/>
      <c r="K2" s="186"/>
      <c r="L2" s="186"/>
      <c r="M2" s="182"/>
      <c r="N2" s="182"/>
      <c r="O2" s="182"/>
      <c r="P2" s="182"/>
      <c r="Q2" s="182"/>
    </row>
    <row r="3" spans="1:17" ht="10.5" customHeight="1">
      <c r="B3" s="179"/>
      <c r="C3" s="179"/>
      <c r="D3" s="180"/>
      <c r="E3" s="180"/>
      <c r="F3" s="181"/>
      <c r="G3" s="181"/>
      <c r="H3" s="181"/>
      <c r="I3" s="187"/>
      <c r="J3" s="187"/>
      <c r="K3" s="187"/>
      <c r="L3" s="187"/>
    </row>
    <row r="4" spans="1:17" ht="36" customHeight="1">
      <c r="A4" s="1329" t="s">
        <v>4136</v>
      </c>
      <c r="B4" s="979"/>
      <c r="C4" s="979"/>
      <c r="D4" s="979"/>
      <c r="E4" s="979"/>
      <c r="F4" s="979"/>
      <c r="G4" s="979"/>
      <c r="H4" s="979"/>
      <c r="I4" s="979"/>
      <c r="J4" s="979"/>
      <c r="K4" s="979"/>
      <c r="L4" s="979"/>
      <c r="M4" s="979"/>
      <c r="N4" s="979"/>
      <c r="O4" s="979"/>
      <c r="P4" s="104"/>
      <c r="Q4" s="104"/>
    </row>
    <row r="5" spans="1:17" s="188" customFormat="1" ht="46.5" customHeight="1">
      <c r="A5" s="1330" t="s">
        <v>4217</v>
      </c>
      <c r="B5" s="1213"/>
      <c r="C5" s="1213"/>
      <c r="D5" s="1213"/>
      <c r="E5" s="1213"/>
      <c r="F5" s="1213"/>
      <c r="G5" s="1213"/>
      <c r="H5" s="1213"/>
      <c r="I5" s="1213"/>
      <c r="J5" s="1213"/>
      <c r="K5" s="1213"/>
      <c r="L5" s="1213"/>
      <c r="M5" s="1213"/>
      <c r="N5" s="1213"/>
      <c r="O5" s="1213"/>
      <c r="P5" s="114"/>
      <c r="Q5" s="114"/>
    </row>
    <row r="6" spans="1:17" ht="9" customHeight="1" thickBot="1">
      <c r="A6" s="189"/>
      <c r="B6" s="190"/>
      <c r="C6" s="190"/>
      <c r="D6" s="191"/>
      <c r="E6" s="191"/>
      <c r="F6" s="192"/>
      <c r="G6" s="192"/>
      <c r="H6" s="192"/>
      <c r="I6" s="193"/>
      <c r="J6" s="193"/>
      <c r="K6" s="193"/>
      <c r="L6" s="193"/>
      <c r="M6" s="189"/>
      <c r="N6" s="189"/>
      <c r="O6" s="189"/>
      <c r="P6" s="189"/>
      <c r="Q6" s="189"/>
    </row>
    <row r="7" spans="1:17" s="187" customFormat="1" ht="14.25">
      <c r="B7" s="194"/>
      <c r="C7" s="194"/>
      <c r="D7" s="195"/>
      <c r="E7" s="195"/>
      <c r="F7" s="195"/>
      <c r="G7" s="195"/>
      <c r="H7" s="195"/>
      <c r="I7" s="195"/>
      <c r="J7" s="195"/>
      <c r="K7" s="195"/>
      <c r="L7" s="195"/>
      <c r="M7" s="195"/>
      <c r="N7" s="195"/>
      <c r="O7" s="195"/>
      <c r="P7" s="195"/>
      <c r="Q7" s="195"/>
    </row>
    <row r="8" spans="1:17" s="187" customFormat="1">
      <c r="F8" s="1188" t="s">
        <v>3</v>
      </c>
      <c r="G8" s="1188"/>
      <c r="H8" s="1188"/>
      <c r="I8" s="1352"/>
      <c r="J8" s="178"/>
      <c r="K8" s="178"/>
      <c r="L8" s="178"/>
    </row>
    <row r="9" spans="1:17" s="187" customFormat="1" ht="14.25">
      <c r="C9" s="123"/>
      <c r="D9" s="113"/>
      <c r="F9" s="123" t="s">
        <v>210</v>
      </c>
      <c r="G9" s="113" t="s">
        <v>4138</v>
      </c>
      <c r="H9" s="196"/>
      <c r="I9" s="197"/>
      <c r="J9" s="198"/>
      <c r="L9" s="198"/>
    </row>
    <row r="10" spans="1:17" s="187" customFormat="1" ht="14.25">
      <c r="C10" s="123"/>
      <c r="D10" s="113"/>
      <c r="F10" s="123" t="s">
        <v>8</v>
      </c>
      <c r="G10" s="113" t="s">
        <v>4218</v>
      </c>
      <c r="H10" s="196"/>
      <c r="I10" s="197"/>
      <c r="J10" s="198"/>
      <c r="L10" s="198"/>
    </row>
    <row r="11" spans="1:17" s="187" customFormat="1" ht="14.25">
      <c r="C11" s="123"/>
      <c r="D11" s="113"/>
      <c r="E11" s="199"/>
      <c r="F11" s="123" t="s">
        <v>9</v>
      </c>
      <c r="G11" s="113" t="s">
        <v>4140</v>
      </c>
      <c r="H11" s="196"/>
      <c r="I11" s="197"/>
      <c r="J11" s="198"/>
      <c r="L11" s="198"/>
    </row>
    <row r="12" spans="1:17" s="187" customFormat="1" ht="14.25">
      <c r="C12" s="123"/>
      <c r="D12" s="113"/>
      <c r="F12" s="123" t="s">
        <v>10</v>
      </c>
      <c r="G12" s="113" t="s">
        <v>4141</v>
      </c>
      <c r="H12" s="196"/>
      <c r="I12" s="197"/>
      <c r="J12" s="198"/>
      <c r="L12" s="198"/>
    </row>
    <row r="13" spans="1:17" s="187" customFormat="1" ht="14.25">
      <c r="C13" s="123"/>
      <c r="D13" s="113"/>
      <c r="F13" s="123" t="s">
        <v>99</v>
      </c>
      <c r="G13" s="113" t="s">
        <v>4142</v>
      </c>
      <c r="H13" s="196"/>
      <c r="I13" s="197"/>
      <c r="J13" s="198"/>
      <c r="L13" s="198"/>
    </row>
    <row r="14" spans="1:17" s="113" customFormat="1" ht="14.25">
      <c r="C14" s="123"/>
      <c r="F14" s="123" t="s">
        <v>13</v>
      </c>
      <c r="G14" s="113" t="s">
        <v>60</v>
      </c>
      <c r="H14" s="196"/>
      <c r="I14" s="200"/>
    </row>
    <row r="15" spans="1:17" s="113" customFormat="1" ht="14.25">
      <c r="C15" s="123"/>
      <c r="F15" s="123" t="s">
        <v>16</v>
      </c>
      <c r="G15" s="113" t="s">
        <v>61</v>
      </c>
      <c r="H15" s="196"/>
      <c r="I15" s="200"/>
    </row>
    <row r="16" spans="1:17" s="187" customFormat="1" ht="14.25">
      <c r="C16" s="123"/>
      <c r="D16" s="113"/>
      <c r="F16" s="123" t="s">
        <v>220</v>
      </c>
      <c r="G16" s="113" t="s">
        <v>4143</v>
      </c>
      <c r="H16" s="196"/>
      <c r="I16" s="200"/>
      <c r="J16" s="201"/>
      <c r="L16" s="201"/>
    </row>
    <row r="17" spans="1:19" s="187" customFormat="1" ht="14.25">
      <c r="C17" s="123"/>
      <c r="D17" s="113"/>
      <c r="F17" s="123" t="s">
        <v>21</v>
      </c>
      <c r="G17" s="113" t="s">
        <v>4144</v>
      </c>
      <c r="H17" s="196"/>
      <c r="I17" s="200"/>
      <c r="J17" s="201"/>
      <c r="L17" s="201"/>
    </row>
    <row r="18" spans="1:19" s="187" customFormat="1" ht="14.25">
      <c r="C18" s="123"/>
      <c r="D18" s="202"/>
      <c r="F18" s="123" t="s">
        <v>22</v>
      </c>
      <c r="G18" s="202" t="s">
        <v>4145</v>
      </c>
      <c r="H18" s="196"/>
      <c r="I18" s="196"/>
      <c r="J18" s="201"/>
      <c r="L18" s="201"/>
    </row>
    <row r="19" spans="1:19" s="113" customFormat="1" ht="14.25">
      <c r="A19" s="1188" t="s">
        <v>23</v>
      </c>
      <c r="B19" s="1188"/>
      <c r="C19" s="1188"/>
      <c r="D19" s="1188"/>
      <c r="E19" s="1188"/>
      <c r="F19" s="1188"/>
      <c r="G19" s="1188"/>
      <c r="H19" s="1188"/>
      <c r="I19" s="1188"/>
      <c r="J19" s="1188"/>
      <c r="K19" s="1188"/>
      <c r="L19" s="1188"/>
      <c r="M19" s="1188"/>
      <c r="N19" s="1188"/>
      <c r="O19" s="1188"/>
      <c r="P19" s="1188"/>
      <c r="Q19" s="1188"/>
      <c r="R19" s="1188"/>
      <c r="S19" s="1188"/>
    </row>
    <row r="20" spans="1:19" s="113" customFormat="1" ht="14.25">
      <c r="A20" s="1335" t="s">
        <v>887</v>
      </c>
      <c r="B20" s="1336"/>
      <c r="C20" s="1336"/>
      <c r="D20" s="1336"/>
      <c r="E20" s="1336"/>
      <c r="F20" s="1336"/>
      <c r="G20" s="1336"/>
      <c r="H20" s="1336"/>
      <c r="I20" s="1336"/>
      <c r="J20" s="1336"/>
      <c r="K20" s="1336"/>
      <c r="L20" s="1336"/>
      <c r="M20" s="1336"/>
      <c r="N20" s="1336"/>
      <c r="O20" s="1336"/>
      <c r="P20" s="1336"/>
      <c r="Q20" s="1336"/>
      <c r="R20" s="1336"/>
      <c r="S20" s="1336"/>
    </row>
    <row r="21" spans="1:19" s="187" customFormat="1" ht="12.75" customHeight="1">
      <c r="B21" s="203"/>
      <c r="C21" s="203"/>
      <c r="D21" s="204"/>
      <c r="E21" s="204"/>
      <c r="F21" s="205"/>
      <c r="G21" s="205"/>
      <c r="I21" s="188"/>
      <c r="J21" s="188"/>
      <c r="K21" s="188"/>
      <c r="L21" s="188"/>
    </row>
    <row r="22" spans="1:19" s="187" customFormat="1" ht="12.75" customHeight="1" thickBot="1">
      <c r="D22" s="204"/>
      <c r="E22" s="204"/>
      <c r="F22" s="205"/>
      <c r="G22" s="205"/>
      <c r="I22" s="206"/>
      <c r="J22" s="206"/>
      <c r="K22" s="206"/>
      <c r="L22" s="206"/>
    </row>
    <row r="23" spans="1:19" s="187" customFormat="1" ht="15.75" customHeight="1" thickBot="1">
      <c r="F23" s="1217" t="s">
        <v>167</v>
      </c>
      <c r="G23" s="1008"/>
      <c r="H23" s="1332" t="s">
        <v>168</v>
      </c>
      <c r="I23" s="1333"/>
      <c r="J23" s="1333"/>
      <c r="K23" s="1333"/>
      <c r="L23" s="1333"/>
      <c r="M23" s="1333"/>
      <c r="N23" s="1333"/>
      <c r="O23" s="1333"/>
      <c r="P23" s="1333"/>
      <c r="Q23" s="1334"/>
    </row>
    <row r="24" spans="1:19" s="209" customFormat="1" ht="63.75" customHeight="1" thickBot="1">
      <c r="A24" s="207" t="s">
        <v>122</v>
      </c>
      <c r="B24" s="207" t="s">
        <v>169</v>
      </c>
      <c r="C24" s="208" t="s">
        <v>170</v>
      </c>
      <c r="D24" s="208" t="s">
        <v>171</v>
      </c>
      <c r="E24" s="208" t="s">
        <v>172</v>
      </c>
      <c r="F24" s="208" t="s">
        <v>173</v>
      </c>
      <c r="G24" s="207" t="s">
        <v>174</v>
      </c>
      <c r="H24" s="208" t="s">
        <v>176</v>
      </c>
      <c r="I24" s="207" t="s">
        <v>174</v>
      </c>
      <c r="J24" s="208" t="s">
        <v>177</v>
      </c>
      <c r="K24" s="207" t="s">
        <v>174</v>
      </c>
      <c r="L24" s="208" t="s">
        <v>178</v>
      </c>
      <c r="M24" s="207" t="s">
        <v>174</v>
      </c>
      <c r="N24" s="208" t="s">
        <v>157</v>
      </c>
      <c r="O24" s="207" t="s">
        <v>174</v>
      </c>
      <c r="P24" s="208" t="s">
        <v>824</v>
      </c>
      <c r="Q24" s="207" t="s">
        <v>174</v>
      </c>
    </row>
    <row r="25" spans="1:19" s="213" customFormat="1" ht="26.25" customHeight="1" thickBot="1">
      <c r="A25" s="1345" t="s">
        <v>998</v>
      </c>
      <c r="B25" s="1347"/>
      <c r="C25" s="210" t="s">
        <v>4219</v>
      </c>
      <c r="D25" s="211" t="s">
        <v>4136</v>
      </c>
      <c r="E25" s="212">
        <v>178604</v>
      </c>
      <c r="F25" s="75">
        <f>SUM(E25:E26)*(1-51.6%)</f>
        <v>86569.691999999995</v>
      </c>
      <c r="G25" s="987">
        <f>F25*B25</f>
        <v>0</v>
      </c>
      <c r="H25" s="73">
        <f>F25*0.03137</f>
        <v>2715.6912380399999</v>
      </c>
      <c r="I25" s="987">
        <f>H25*B25</f>
        <v>0</v>
      </c>
      <c r="J25" s="73">
        <f>F25*0.0274</f>
        <v>2372.0095608000001</v>
      </c>
      <c r="K25" s="987">
        <f>J25*B25</f>
        <v>0</v>
      </c>
      <c r="L25" s="77">
        <f>F25*0.0228</f>
        <v>1973.7889776</v>
      </c>
      <c r="M25" s="987">
        <f>L25*B25</f>
        <v>0</v>
      </c>
      <c r="N25" s="77">
        <f>F25*0.0204</f>
        <v>1766.0217167999999</v>
      </c>
      <c r="O25" s="987">
        <f>N25*B25</f>
        <v>0</v>
      </c>
      <c r="P25" s="77">
        <f>F25*0.0185</f>
        <v>1601.5393019999999</v>
      </c>
      <c r="Q25" s="987">
        <f>P25*B25</f>
        <v>0</v>
      </c>
    </row>
    <row r="26" spans="1:19" s="219" customFormat="1" ht="13.5" customHeight="1" thickBot="1">
      <c r="A26" s="1346"/>
      <c r="B26" s="1348"/>
      <c r="C26" s="214" t="s">
        <v>104</v>
      </c>
      <c r="D26" s="215" t="s">
        <v>180</v>
      </c>
      <c r="E26" s="216">
        <v>259</v>
      </c>
      <c r="F26" s="217" t="s">
        <v>162</v>
      </c>
      <c r="G26" s="1349"/>
      <c r="H26" s="217" t="s">
        <v>162</v>
      </c>
      <c r="I26" s="1349"/>
      <c r="J26" s="217" t="s">
        <v>162</v>
      </c>
      <c r="K26" s="1349"/>
      <c r="L26" s="218" t="s">
        <v>162</v>
      </c>
      <c r="M26" s="1350"/>
      <c r="N26" s="218" t="s">
        <v>162</v>
      </c>
      <c r="O26" s="1351"/>
      <c r="P26" s="218" t="s">
        <v>162</v>
      </c>
      <c r="Q26" s="1351"/>
    </row>
    <row r="27" spans="1:19" s="219" customFormat="1" ht="12.6" customHeight="1" thickBot="1">
      <c r="A27" s="1337" t="s">
        <v>182</v>
      </c>
      <c r="B27" s="1338"/>
      <c r="C27" s="1338"/>
      <c r="D27" s="1338"/>
      <c r="E27" s="1338"/>
      <c r="F27" s="1338"/>
      <c r="G27" s="1338"/>
      <c r="H27" s="1338"/>
      <c r="I27" s="1338"/>
      <c r="J27" s="1338"/>
      <c r="K27" s="1338"/>
      <c r="L27" s="1338"/>
      <c r="M27" s="1338"/>
      <c r="N27" s="1338"/>
      <c r="O27" s="1338"/>
      <c r="P27" s="1338"/>
      <c r="Q27" s="1339"/>
      <c r="R27" s="220"/>
      <c r="S27" s="220"/>
    </row>
    <row r="28" spans="1:19" s="219" customFormat="1" ht="26.25" thickBot="1">
      <c r="A28" s="1357"/>
      <c r="B28" s="646"/>
      <c r="C28" s="747">
        <v>45162875</v>
      </c>
      <c r="D28" s="701" t="s">
        <v>762</v>
      </c>
      <c r="E28" s="748">
        <v>2940</v>
      </c>
      <c r="F28" s="575">
        <f t="shared" ref="F28:F62" si="0">E28*(1-45%)</f>
        <v>1617.0000000000002</v>
      </c>
      <c r="G28" s="17">
        <f t="shared" ref="G28:G62" si="1">F28*B28</f>
        <v>0</v>
      </c>
      <c r="H28" s="15">
        <f t="shared" ref="H28:H59" si="2">F28*0.03137</f>
        <v>50.725290000000008</v>
      </c>
      <c r="I28" s="15">
        <f t="shared" ref="I28:I62" si="3">H28*B28</f>
        <v>0</v>
      </c>
      <c r="J28" s="15">
        <f t="shared" ref="J28:J59" si="4">F28*0.0274</f>
        <v>44.305800000000005</v>
      </c>
      <c r="K28" s="15">
        <f t="shared" ref="K28:K67" si="5">J28*B28</f>
        <v>0</v>
      </c>
      <c r="L28" s="15">
        <f t="shared" ref="L28:L59" si="6">F28*0.0228</f>
        <v>36.867600000000003</v>
      </c>
      <c r="M28" s="15">
        <f t="shared" ref="M28:M62" si="7">L28*B28</f>
        <v>0</v>
      </c>
      <c r="N28" s="15">
        <f t="shared" ref="N28:N59" si="8">F28*0.0204</f>
        <v>32.986800000000009</v>
      </c>
      <c r="O28" s="18">
        <f t="shared" ref="O28:O62" si="9">N28*B28</f>
        <v>0</v>
      </c>
      <c r="P28" s="15">
        <f>F28*0.0185</f>
        <v>29.914500000000004</v>
      </c>
      <c r="Q28" s="18">
        <f>P28*B28</f>
        <v>0</v>
      </c>
      <c r="R28" s="220"/>
      <c r="S28" s="220"/>
    </row>
    <row r="29" spans="1:19" s="219" customFormat="1" ht="13.5" thickBot="1">
      <c r="A29" s="1358"/>
      <c r="B29" s="221"/>
      <c r="C29" s="746">
        <v>7640021191</v>
      </c>
      <c r="D29" s="225" t="s">
        <v>3887</v>
      </c>
      <c r="E29" s="224">
        <v>499</v>
      </c>
      <c r="F29" s="13">
        <f t="shared" si="0"/>
        <v>274.45000000000005</v>
      </c>
      <c r="G29" s="16">
        <f t="shared" si="1"/>
        <v>0</v>
      </c>
      <c r="H29" s="14">
        <f t="shared" si="2"/>
        <v>8.6094965000000023</v>
      </c>
      <c r="I29" s="15">
        <f t="shared" si="3"/>
        <v>0</v>
      </c>
      <c r="J29" s="15">
        <f t="shared" si="4"/>
        <v>7.5199300000000013</v>
      </c>
      <c r="K29" s="15">
        <f t="shared" si="5"/>
        <v>0</v>
      </c>
      <c r="L29" s="15">
        <f t="shared" si="6"/>
        <v>6.2574600000000009</v>
      </c>
      <c r="M29" s="15">
        <f t="shared" si="7"/>
        <v>0</v>
      </c>
      <c r="N29" s="15">
        <f t="shared" si="8"/>
        <v>5.5987800000000014</v>
      </c>
      <c r="O29" s="18">
        <f t="shared" si="9"/>
        <v>0</v>
      </c>
      <c r="P29" s="15">
        <f t="shared" ref="P29:P132" si="10">H29*0.0185</f>
        <v>0.15927568525000005</v>
      </c>
      <c r="Q29" s="18">
        <f t="shared" ref="Q29:Q133" si="11">P29*B29</f>
        <v>0</v>
      </c>
      <c r="R29" s="220"/>
      <c r="S29" s="220"/>
    </row>
    <row r="30" spans="1:19" s="219" customFormat="1" ht="13.5" thickBot="1">
      <c r="A30" s="1358"/>
      <c r="B30" s="221"/>
      <c r="C30" s="744">
        <v>45219823</v>
      </c>
      <c r="D30" s="223" t="s">
        <v>4158</v>
      </c>
      <c r="E30" s="224">
        <v>450</v>
      </c>
      <c r="F30" s="13">
        <f t="shared" si="0"/>
        <v>247.50000000000003</v>
      </c>
      <c r="G30" s="16">
        <f t="shared" si="1"/>
        <v>0</v>
      </c>
      <c r="H30" s="14">
        <f t="shared" si="2"/>
        <v>7.7640750000000018</v>
      </c>
      <c r="I30" s="15">
        <f t="shared" si="3"/>
        <v>0</v>
      </c>
      <c r="J30" s="15">
        <f t="shared" si="4"/>
        <v>6.7815000000000012</v>
      </c>
      <c r="K30" s="15">
        <f t="shared" si="5"/>
        <v>0</v>
      </c>
      <c r="L30" s="15">
        <f t="shared" si="6"/>
        <v>5.6430000000000007</v>
      </c>
      <c r="M30" s="15">
        <f t="shared" si="7"/>
        <v>0</v>
      </c>
      <c r="N30" s="15">
        <f t="shared" si="8"/>
        <v>5.0490000000000013</v>
      </c>
      <c r="O30" s="18">
        <f t="shared" si="9"/>
        <v>0</v>
      </c>
      <c r="P30" s="15">
        <f t="shared" si="10"/>
        <v>0.14363538750000002</v>
      </c>
      <c r="Q30" s="18">
        <f t="shared" si="11"/>
        <v>0</v>
      </c>
      <c r="R30" s="220"/>
      <c r="S30" s="220"/>
    </row>
    <row r="31" spans="1:19" s="219" customFormat="1" ht="26.25" thickBot="1">
      <c r="A31" s="1358"/>
      <c r="B31" s="221"/>
      <c r="C31" s="744" t="s">
        <v>3491</v>
      </c>
      <c r="D31" s="223" t="s">
        <v>4039</v>
      </c>
      <c r="E31" s="224">
        <v>399</v>
      </c>
      <c r="F31" s="13">
        <f t="shared" si="0"/>
        <v>219.45000000000002</v>
      </c>
      <c r="G31" s="16">
        <f t="shared" si="1"/>
        <v>0</v>
      </c>
      <c r="H31" s="14">
        <f t="shared" si="2"/>
        <v>6.8841465000000008</v>
      </c>
      <c r="I31" s="15">
        <f t="shared" si="3"/>
        <v>0</v>
      </c>
      <c r="J31" s="15">
        <f t="shared" si="4"/>
        <v>6.0129300000000008</v>
      </c>
      <c r="K31" s="15">
        <f t="shared" si="5"/>
        <v>0</v>
      </c>
      <c r="L31" s="15">
        <f t="shared" si="6"/>
        <v>5.0034600000000005</v>
      </c>
      <c r="M31" s="15">
        <f t="shared" si="7"/>
        <v>0</v>
      </c>
      <c r="N31" s="15">
        <f t="shared" si="8"/>
        <v>4.4767800000000006</v>
      </c>
      <c r="O31" s="18">
        <f t="shared" si="9"/>
        <v>0</v>
      </c>
      <c r="P31" s="15">
        <f t="shared" si="10"/>
        <v>0.12735671025</v>
      </c>
      <c r="Q31" s="18">
        <f t="shared" si="11"/>
        <v>0</v>
      </c>
      <c r="R31" s="220"/>
      <c r="S31" s="220"/>
    </row>
    <row r="32" spans="1:19" s="219" customFormat="1" ht="13.5" thickBot="1">
      <c r="A32" s="1358"/>
      <c r="B32" s="221"/>
      <c r="C32" s="744" t="s">
        <v>541</v>
      </c>
      <c r="D32" s="223" t="s">
        <v>3957</v>
      </c>
      <c r="E32" s="224">
        <v>11616</v>
      </c>
      <c r="F32" s="13">
        <f t="shared" si="0"/>
        <v>6388.8</v>
      </c>
      <c r="G32" s="16">
        <f t="shared" si="1"/>
        <v>0</v>
      </c>
      <c r="H32" s="14">
        <f t="shared" si="2"/>
        <v>200.41665600000002</v>
      </c>
      <c r="I32" s="15">
        <f t="shared" si="3"/>
        <v>0</v>
      </c>
      <c r="J32" s="15">
        <f t="shared" si="4"/>
        <v>175.05312000000001</v>
      </c>
      <c r="K32" s="15">
        <f t="shared" si="5"/>
        <v>0</v>
      </c>
      <c r="L32" s="15">
        <f t="shared" si="6"/>
        <v>145.66464000000002</v>
      </c>
      <c r="M32" s="15">
        <f t="shared" si="7"/>
        <v>0</v>
      </c>
      <c r="N32" s="15">
        <f t="shared" si="8"/>
        <v>130.33152000000001</v>
      </c>
      <c r="O32" s="18">
        <f t="shared" si="9"/>
        <v>0</v>
      </c>
      <c r="P32" s="15">
        <f t="shared" si="10"/>
        <v>3.7077081359999999</v>
      </c>
      <c r="Q32" s="18">
        <f t="shared" si="11"/>
        <v>0</v>
      </c>
      <c r="R32" s="220"/>
      <c r="S32" s="220"/>
    </row>
    <row r="33" spans="1:19" s="219" customFormat="1" ht="13.5" thickBot="1">
      <c r="A33" s="1358"/>
      <c r="B33" s="221"/>
      <c r="C33" s="237" t="s">
        <v>3743</v>
      </c>
      <c r="D33" s="235" t="s">
        <v>4171</v>
      </c>
      <c r="E33" s="231">
        <v>3693</v>
      </c>
      <c r="F33" s="13">
        <f t="shared" si="0"/>
        <v>2031.15</v>
      </c>
      <c r="G33" s="16">
        <f t="shared" si="1"/>
        <v>0</v>
      </c>
      <c r="H33" s="14">
        <f t="shared" si="2"/>
        <v>63.71717550000001</v>
      </c>
      <c r="I33" s="15">
        <f t="shared" si="3"/>
        <v>0</v>
      </c>
      <c r="J33" s="15">
        <f t="shared" si="4"/>
        <v>55.653510000000004</v>
      </c>
      <c r="K33" s="15">
        <f t="shared" si="5"/>
        <v>0</v>
      </c>
      <c r="L33" s="15">
        <f t="shared" si="6"/>
        <v>46.310220000000001</v>
      </c>
      <c r="M33" s="15">
        <f t="shared" si="7"/>
        <v>0</v>
      </c>
      <c r="N33" s="15">
        <f t="shared" si="8"/>
        <v>41.435460000000006</v>
      </c>
      <c r="O33" s="18">
        <f t="shared" si="9"/>
        <v>0</v>
      </c>
      <c r="P33" s="15">
        <f t="shared" si="10"/>
        <v>1.1787677467500002</v>
      </c>
      <c r="Q33" s="18">
        <f t="shared" si="11"/>
        <v>0</v>
      </c>
      <c r="R33" s="220"/>
      <c r="S33" s="220"/>
    </row>
    <row r="34" spans="1:19" s="219" customFormat="1" ht="26.25" thickBot="1">
      <c r="A34" s="1358"/>
      <c r="B34" s="221"/>
      <c r="C34" s="746" t="s">
        <v>3902</v>
      </c>
      <c r="D34" s="225" t="s">
        <v>4172</v>
      </c>
      <c r="E34" s="224">
        <v>3080</v>
      </c>
      <c r="F34" s="13">
        <f t="shared" si="0"/>
        <v>1694.0000000000002</v>
      </c>
      <c r="G34" s="16">
        <f t="shared" si="1"/>
        <v>0</v>
      </c>
      <c r="H34" s="14">
        <f t="shared" si="2"/>
        <v>53.140780000000014</v>
      </c>
      <c r="I34" s="15">
        <f t="shared" si="3"/>
        <v>0</v>
      </c>
      <c r="J34" s="15">
        <f t="shared" si="4"/>
        <v>46.415600000000005</v>
      </c>
      <c r="K34" s="15">
        <f t="shared" si="5"/>
        <v>0</v>
      </c>
      <c r="L34" s="15">
        <f t="shared" si="6"/>
        <v>38.623200000000004</v>
      </c>
      <c r="M34" s="15">
        <f t="shared" si="7"/>
        <v>0</v>
      </c>
      <c r="N34" s="15">
        <f t="shared" si="8"/>
        <v>34.557600000000008</v>
      </c>
      <c r="O34" s="18">
        <f t="shared" si="9"/>
        <v>0</v>
      </c>
      <c r="P34" s="15">
        <f t="shared" si="10"/>
        <v>0.98310443000000025</v>
      </c>
      <c r="Q34" s="18">
        <f t="shared" si="11"/>
        <v>0</v>
      </c>
      <c r="R34" s="220"/>
      <c r="S34" s="220"/>
    </row>
    <row r="35" spans="1:19" s="219" customFormat="1" ht="26.25" thickBot="1">
      <c r="A35" s="1358"/>
      <c r="B35" s="221"/>
      <c r="C35" s="744" t="s">
        <v>4149</v>
      </c>
      <c r="D35" s="225" t="s">
        <v>4150</v>
      </c>
      <c r="E35" s="224">
        <v>1450</v>
      </c>
      <c r="F35" s="13">
        <f t="shared" si="0"/>
        <v>797.50000000000011</v>
      </c>
      <c r="G35" s="17">
        <f t="shared" si="1"/>
        <v>0</v>
      </c>
      <c r="H35" s="15">
        <f t="shared" si="2"/>
        <v>25.017575000000004</v>
      </c>
      <c r="I35" s="15">
        <f t="shared" si="3"/>
        <v>0</v>
      </c>
      <c r="J35" s="15">
        <f t="shared" si="4"/>
        <v>21.851500000000005</v>
      </c>
      <c r="K35" s="15">
        <f t="shared" si="5"/>
        <v>0</v>
      </c>
      <c r="L35" s="15">
        <f t="shared" si="6"/>
        <v>18.183000000000003</v>
      </c>
      <c r="M35" s="15">
        <f t="shared" si="7"/>
        <v>0</v>
      </c>
      <c r="N35" s="15">
        <f t="shared" si="8"/>
        <v>16.269000000000002</v>
      </c>
      <c r="O35" s="18">
        <f t="shared" si="9"/>
        <v>0</v>
      </c>
      <c r="P35" s="15">
        <f t="shared" si="10"/>
        <v>0.46282513750000004</v>
      </c>
      <c r="Q35" s="18">
        <f t="shared" si="11"/>
        <v>0</v>
      </c>
      <c r="R35" s="220"/>
      <c r="S35" s="220"/>
    </row>
    <row r="36" spans="1:19" s="219" customFormat="1" ht="26.25" thickBot="1">
      <c r="A36" s="1358"/>
      <c r="B36" s="221"/>
      <c r="C36" s="744" t="s">
        <v>4147</v>
      </c>
      <c r="D36" s="223" t="s">
        <v>4148</v>
      </c>
      <c r="E36" s="224">
        <v>345</v>
      </c>
      <c r="F36" s="13">
        <f t="shared" si="0"/>
        <v>189.75000000000003</v>
      </c>
      <c r="G36" s="16">
        <f t="shared" si="1"/>
        <v>0</v>
      </c>
      <c r="H36" s="14">
        <f t="shared" si="2"/>
        <v>5.9524575000000013</v>
      </c>
      <c r="I36" s="15">
        <f t="shared" si="3"/>
        <v>0</v>
      </c>
      <c r="J36" s="15">
        <f t="shared" si="4"/>
        <v>5.1991500000000013</v>
      </c>
      <c r="K36" s="15">
        <f t="shared" si="5"/>
        <v>0</v>
      </c>
      <c r="L36" s="15">
        <f t="shared" si="6"/>
        <v>4.3263000000000007</v>
      </c>
      <c r="M36" s="15">
        <f t="shared" si="7"/>
        <v>0</v>
      </c>
      <c r="N36" s="15">
        <f t="shared" si="8"/>
        <v>3.8709000000000007</v>
      </c>
      <c r="O36" s="18">
        <f t="shared" si="9"/>
        <v>0</v>
      </c>
      <c r="P36" s="15">
        <f t="shared" si="10"/>
        <v>0.11012046375000002</v>
      </c>
      <c r="Q36" s="18">
        <f t="shared" si="11"/>
        <v>0</v>
      </c>
      <c r="R36" s="220"/>
      <c r="S36" s="220"/>
    </row>
    <row r="37" spans="1:19" s="233" customFormat="1" ht="13.5" thickBot="1">
      <c r="A37" s="1358"/>
      <c r="B37" s="229"/>
      <c r="C37" s="237">
        <v>7714914</v>
      </c>
      <c r="D37" s="235" t="s">
        <v>3929</v>
      </c>
      <c r="E37" s="231">
        <v>3501.91</v>
      </c>
      <c r="F37" s="79">
        <f t="shared" si="0"/>
        <v>1926.0505000000001</v>
      </c>
      <c r="G37" s="80">
        <f t="shared" si="1"/>
        <v>0</v>
      </c>
      <c r="H37" s="79">
        <f t="shared" si="2"/>
        <v>60.420204185000003</v>
      </c>
      <c r="I37" s="18">
        <f t="shared" si="3"/>
        <v>0</v>
      </c>
      <c r="J37" s="18">
        <f>F37*0.02564</f>
        <v>49.38393482</v>
      </c>
      <c r="K37" s="18">
        <f t="shared" si="5"/>
        <v>0</v>
      </c>
      <c r="L37" s="18">
        <f>F37*0.0256</f>
        <v>49.306892800000007</v>
      </c>
      <c r="M37" s="18">
        <f t="shared" si="7"/>
        <v>0</v>
      </c>
      <c r="N37" s="18">
        <f t="shared" si="8"/>
        <v>39.291430200000001</v>
      </c>
      <c r="O37" s="18">
        <f t="shared" si="9"/>
        <v>0</v>
      </c>
      <c r="P37" s="18">
        <f t="shared" si="10"/>
        <v>1.1177737774225001</v>
      </c>
      <c r="Q37" s="18">
        <f t="shared" si="11"/>
        <v>0</v>
      </c>
      <c r="R37" s="232"/>
      <c r="S37" s="232"/>
    </row>
    <row r="38" spans="1:19" s="233" customFormat="1" ht="13.5" thickBot="1">
      <c r="A38" s="1358"/>
      <c r="B38" s="229"/>
      <c r="C38" s="744">
        <v>7714901</v>
      </c>
      <c r="D38" s="223" t="s">
        <v>3919</v>
      </c>
      <c r="E38" s="224">
        <v>1580.85</v>
      </c>
      <c r="F38" s="79">
        <f t="shared" si="0"/>
        <v>869.46749999999997</v>
      </c>
      <c r="G38" s="80">
        <f t="shared" si="1"/>
        <v>0</v>
      </c>
      <c r="H38" s="79">
        <f t="shared" si="2"/>
        <v>27.275195475</v>
      </c>
      <c r="I38" s="18">
        <f t="shared" si="3"/>
        <v>0</v>
      </c>
      <c r="J38" s="18">
        <f>F38*0.02564</f>
        <v>22.293146699999998</v>
      </c>
      <c r="K38" s="18">
        <f t="shared" si="5"/>
        <v>0</v>
      </c>
      <c r="L38" s="18">
        <f t="shared" si="6"/>
        <v>19.823858999999999</v>
      </c>
      <c r="M38" s="18">
        <f t="shared" si="7"/>
        <v>0</v>
      </c>
      <c r="N38" s="18">
        <f t="shared" si="8"/>
        <v>17.737137000000001</v>
      </c>
      <c r="O38" s="18">
        <f t="shared" si="9"/>
        <v>0</v>
      </c>
      <c r="P38" s="18">
        <f t="shared" si="10"/>
        <v>0.50459111628749997</v>
      </c>
      <c r="Q38" s="18">
        <f t="shared" si="11"/>
        <v>0</v>
      </c>
      <c r="R38" s="232"/>
      <c r="S38" s="232"/>
    </row>
    <row r="39" spans="1:19" s="233" customFormat="1" ht="13.5" thickBot="1">
      <c r="A39" s="1358"/>
      <c r="B39" s="229"/>
      <c r="C39" s="237">
        <v>7714917</v>
      </c>
      <c r="D39" s="235" t="s">
        <v>3932</v>
      </c>
      <c r="E39" s="231">
        <v>4502.47</v>
      </c>
      <c r="F39" s="79">
        <f t="shared" si="0"/>
        <v>2476.3585000000003</v>
      </c>
      <c r="G39" s="80">
        <f t="shared" si="1"/>
        <v>0</v>
      </c>
      <c r="H39" s="79">
        <f t="shared" si="2"/>
        <v>77.683366145000008</v>
      </c>
      <c r="I39" s="18">
        <f t="shared" si="3"/>
        <v>0</v>
      </c>
      <c r="J39" s="18">
        <f t="shared" si="4"/>
        <v>67.852222900000015</v>
      </c>
      <c r="K39" s="18">
        <f t="shared" si="5"/>
        <v>0</v>
      </c>
      <c r="L39" s="18">
        <f t="shared" si="6"/>
        <v>56.460973800000005</v>
      </c>
      <c r="M39" s="18">
        <f t="shared" si="7"/>
        <v>0</v>
      </c>
      <c r="N39" s="18">
        <f t="shared" si="8"/>
        <v>50.517713400000012</v>
      </c>
      <c r="O39" s="18">
        <f t="shared" si="9"/>
        <v>0</v>
      </c>
      <c r="P39" s="18">
        <f t="shared" si="10"/>
        <v>1.4371422736825001</v>
      </c>
      <c r="Q39" s="18">
        <f t="shared" si="11"/>
        <v>0</v>
      </c>
      <c r="R39" s="232"/>
      <c r="S39" s="232"/>
    </row>
    <row r="40" spans="1:19" s="219" customFormat="1" ht="13.5" thickBot="1">
      <c r="A40" s="1358"/>
      <c r="B40" s="221"/>
      <c r="C40" s="746">
        <v>7714911</v>
      </c>
      <c r="D40" s="225" t="s">
        <v>3926</v>
      </c>
      <c r="E40" s="231">
        <v>1380.76</v>
      </c>
      <c r="F40" s="13">
        <f t="shared" si="0"/>
        <v>759.41800000000001</v>
      </c>
      <c r="G40" s="16">
        <f t="shared" si="1"/>
        <v>0</v>
      </c>
      <c r="H40" s="14">
        <f t="shared" si="2"/>
        <v>23.822942660000002</v>
      </c>
      <c r="I40" s="15">
        <f t="shared" si="3"/>
        <v>0</v>
      </c>
      <c r="J40" s="15">
        <f t="shared" si="4"/>
        <v>20.8080532</v>
      </c>
      <c r="K40" s="15">
        <f t="shared" si="5"/>
        <v>0</v>
      </c>
      <c r="L40" s="15">
        <f t="shared" si="6"/>
        <v>17.314730400000002</v>
      </c>
      <c r="M40" s="15">
        <f t="shared" si="7"/>
        <v>0</v>
      </c>
      <c r="N40" s="15">
        <f t="shared" si="8"/>
        <v>15.492127200000001</v>
      </c>
      <c r="O40" s="18">
        <f t="shared" si="9"/>
        <v>0</v>
      </c>
      <c r="P40" s="15">
        <f t="shared" si="10"/>
        <v>0.44072443921000004</v>
      </c>
      <c r="Q40" s="18">
        <f t="shared" si="11"/>
        <v>0</v>
      </c>
      <c r="R40" s="220"/>
      <c r="S40" s="220"/>
    </row>
    <row r="41" spans="1:19" s="219" customFormat="1" ht="13.5" thickBot="1">
      <c r="A41" s="1358"/>
      <c r="B41" s="221"/>
      <c r="C41" s="744">
        <v>7714902</v>
      </c>
      <c r="D41" s="225" t="s">
        <v>3920</v>
      </c>
      <c r="E41" s="224">
        <v>1580.85</v>
      </c>
      <c r="F41" s="13">
        <f t="shared" si="0"/>
        <v>869.46749999999997</v>
      </c>
      <c r="G41" s="16">
        <f t="shared" si="1"/>
        <v>0</v>
      </c>
      <c r="H41" s="14">
        <f t="shared" si="2"/>
        <v>27.275195475</v>
      </c>
      <c r="I41" s="15">
        <f t="shared" si="3"/>
        <v>0</v>
      </c>
      <c r="J41" s="15">
        <f t="shared" si="4"/>
        <v>23.8234095</v>
      </c>
      <c r="K41" s="15">
        <f t="shared" si="5"/>
        <v>0</v>
      </c>
      <c r="L41" s="15">
        <f t="shared" si="6"/>
        <v>19.823858999999999</v>
      </c>
      <c r="M41" s="15">
        <f t="shared" si="7"/>
        <v>0</v>
      </c>
      <c r="N41" s="15">
        <f t="shared" si="8"/>
        <v>17.737137000000001</v>
      </c>
      <c r="O41" s="18">
        <f t="shared" si="9"/>
        <v>0</v>
      </c>
      <c r="P41" s="15">
        <f t="shared" si="10"/>
        <v>0.50459111628749997</v>
      </c>
      <c r="Q41" s="18">
        <f t="shared" si="11"/>
        <v>0</v>
      </c>
      <c r="R41" s="220"/>
      <c r="S41" s="220"/>
    </row>
    <row r="42" spans="1:19" s="219" customFormat="1" ht="13.5" thickBot="1">
      <c r="A42" s="1358"/>
      <c r="B42" s="221"/>
      <c r="C42" s="746">
        <v>7714912</v>
      </c>
      <c r="D42" s="225" t="s">
        <v>3927</v>
      </c>
      <c r="E42" s="224">
        <v>1500.81</v>
      </c>
      <c r="F42" s="13">
        <f t="shared" si="0"/>
        <v>825.44550000000004</v>
      </c>
      <c r="G42" s="17">
        <f t="shared" si="1"/>
        <v>0</v>
      </c>
      <c r="H42" s="15">
        <f t="shared" si="2"/>
        <v>25.894225335000002</v>
      </c>
      <c r="I42" s="15">
        <f t="shared" si="3"/>
        <v>0</v>
      </c>
      <c r="J42" s="15">
        <f t="shared" si="4"/>
        <v>22.617206700000001</v>
      </c>
      <c r="K42" s="15">
        <f t="shared" si="5"/>
        <v>0</v>
      </c>
      <c r="L42" s="15">
        <f t="shared" si="6"/>
        <v>18.820157400000003</v>
      </c>
      <c r="M42" s="15">
        <f t="shared" si="7"/>
        <v>0</v>
      </c>
      <c r="N42" s="15">
        <f t="shared" si="8"/>
        <v>16.839088200000003</v>
      </c>
      <c r="O42" s="18">
        <f t="shared" si="9"/>
        <v>0</v>
      </c>
      <c r="P42" s="15">
        <f t="shared" si="10"/>
        <v>0.47904316869750002</v>
      </c>
      <c r="Q42" s="18">
        <f t="shared" si="11"/>
        <v>0</v>
      </c>
      <c r="R42" s="220"/>
      <c r="S42" s="220"/>
    </row>
    <row r="43" spans="1:19" s="219" customFormat="1" ht="13.5" thickBot="1">
      <c r="A43" s="1358"/>
      <c r="B43" s="221"/>
      <c r="C43" s="744">
        <v>7714903</v>
      </c>
      <c r="D43" s="225" t="s">
        <v>3921</v>
      </c>
      <c r="E43" s="224">
        <v>1580.85</v>
      </c>
      <c r="F43" s="13">
        <f t="shared" si="0"/>
        <v>869.46749999999997</v>
      </c>
      <c r="G43" s="17">
        <f t="shared" si="1"/>
        <v>0</v>
      </c>
      <c r="H43" s="15">
        <f t="shared" si="2"/>
        <v>27.275195475</v>
      </c>
      <c r="I43" s="15">
        <f t="shared" si="3"/>
        <v>0</v>
      </c>
      <c r="J43" s="15">
        <f t="shared" si="4"/>
        <v>23.8234095</v>
      </c>
      <c r="K43" s="15">
        <f t="shared" si="5"/>
        <v>0</v>
      </c>
      <c r="L43" s="15">
        <f t="shared" si="6"/>
        <v>19.823858999999999</v>
      </c>
      <c r="M43" s="15">
        <f t="shared" si="7"/>
        <v>0</v>
      </c>
      <c r="N43" s="15">
        <f t="shared" si="8"/>
        <v>17.737137000000001</v>
      </c>
      <c r="O43" s="18">
        <f t="shared" si="9"/>
        <v>0</v>
      </c>
      <c r="P43" s="15">
        <f t="shared" si="10"/>
        <v>0.50459111628749997</v>
      </c>
      <c r="Q43" s="18">
        <f t="shared" si="11"/>
        <v>0</v>
      </c>
      <c r="R43" s="220"/>
      <c r="S43" s="220"/>
    </row>
    <row r="44" spans="1:19" s="219" customFormat="1" ht="13.5" thickBot="1">
      <c r="A44" s="1358"/>
      <c r="B44" s="221"/>
      <c r="C44" s="746">
        <v>7714913</v>
      </c>
      <c r="D44" s="225" t="s">
        <v>3928</v>
      </c>
      <c r="E44" s="224">
        <v>1500.81</v>
      </c>
      <c r="F44" s="13">
        <f t="shared" si="0"/>
        <v>825.44550000000004</v>
      </c>
      <c r="G44" s="17">
        <f t="shared" si="1"/>
        <v>0</v>
      </c>
      <c r="H44" s="15">
        <f t="shared" si="2"/>
        <v>25.894225335000002</v>
      </c>
      <c r="I44" s="15">
        <f t="shared" si="3"/>
        <v>0</v>
      </c>
      <c r="J44" s="15">
        <f t="shared" si="4"/>
        <v>22.617206700000001</v>
      </c>
      <c r="K44" s="15">
        <f t="shared" si="5"/>
        <v>0</v>
      </c>
      <c r="L44" s="15">
        <f t="shared" si="6"/>
        <v>18.820157400000003</v>
      </c>
      <c r="M44" s="15">
        <f t="shared" si="7"/>
        <v>0</v>
      </c>
      <c r="N44" s="15">
        <f t="shared" si="8"/>
        <v>16.839088200000003</v>
      </c>
      <c r="O44" s="18">
        <f t="shared" si="9"/>
        <v>0</v>
      </c>
      <c r="P44" s="15">
        <f t="shared" si="10"/>
        <v>0.47904316869750002</v>
      </c>
      <c r="Q44" s="18">
        <f t="shared" si="11"/>
        <v>0</v>
      </c>
      <c r="R44" s="220"/>
      <c r="S44" s="220"/>
    </row>
    <row r="45" spans="1:19" s="219" customFormat="1" ht="13.5" thickBot="1">
      <c r="A45" s="1358"/>
      <c r="B45" s="221"/>
      <c r="C45" s="746">
        <v>7714906</v>
      </c>
      <c r="D45" s="225" t="s">
        <v>3924</v>
      </c>
      <c r="E45" s="231">
        <v>1500.81</v>
      </c>
      <c r="F45" s="13">
        <f t="shared" si="0"/>
        <v>825.44550000000004</v>
      </c>
      <c r="G45" s="17">
        <f t="shared" si="1"/>
        <v>0</v>
      </c>
      <c r="H45" s="15">
        <f t="shared" si="2"/>
        <v>25.894225335000002</v>
      </c>
      <c r="I45" s="15">
        <f t="shared" si="3"/>
        <v>0</v>
      </c>
      <c r="J45" s="15">
        <f t="shared" si="4"/>
        <v>22.617206700000001</v>
      </c>
      <c r="K45" s="15">
        <f t="shared" si="5"/>
        <v>0</v>
      </c>
      <c r="L45" s="15">
        <f t="shared" si="6"/>
        <v>18.820157400000003</v>
      </c>
      <c r="M45" s="15">
        <f t="shared" si="7"/>
        <v>0</v>
      </c>
      <c r="N45" s="15">
        <f t="shared" si="8"/>
        <v>16.839088200000003</v>
      </c>
      <c r="O45" s="15">
        <f t="shared" si="9"/>
        <v>0</v>
      </c>
      <c r="P45" s="15">
        <f t="shared" si="10"/>
        <v>0.47904316869750002</v>
      </c>
      <c r="Q45" s="18">
        <f t="shared" si="11"/>
        <v>0</v>
      </c>
      <c r="R45" s="220"/>
      <c r="S45" s="220"/>
    </row>
    <row r="46" spans="1:19" s="219" customFormat="1" ht="13.5" thickBot="1">
      <c r="A46" s="1358"/>
      <c r="B46" s="221"/>
      <c r="C46" s="745">
        <v>7714904</v>
      </c>
      <c r="D46" s="227" t="s">
        <v>3922</v>
      </c>
      <c r="E46" s="228">
        <v>1500.81</v>
      </c>
      <c r="F46" s="13">
        <f t="shared" si="0"/>
        <v>825.44550000000004</v>
      </c>
      <c r="G46" s="17">
        <f t="shared" si="1"/>
        <v>0</v>
      </c>
      <c r="H46" s="15">
        <f t="shared" si="2"/>
        <v>25.894225335000002</v>
      </c>
      <c r="I46" s="15">
        <f t="shared" si="3"/>
        <v>0</v>
      </c>
      <c r="J46" s="15">
        <f t="shared" si="4"/>
        <v>22.617206700000001</v>
      </c>
      <c r="K46" s="15">
        <f t="shared" si="5"/>
        <v>0</v>
      </c>
      <c r="L46" s="15">
        <f t="shared" si="6"/>
        <v>18.820157400000003</v>
      </c>
      <c r="M46" s="15">
        <f t="shared" si="7"/>
        <v>0</v>
      </c>
      <c r="N46" s="15">
        <f t="shared" si="8"/>
        <v>16.839088200000003</v>
      </c>
      <c r="O46" s="15">
        <f t="shared" si="9"/>
        <v>0</v>
      </c>
      <c r="P46" s="15">
        <f t="shared" si="10"/>
        <v>0.47904316869750002</v>
      </c>
      <c r="Q46" s="18">
        <f t="shared" si="11"/>
        <v>0</v>
      </c>
      <c r="R46" s="220"/>
      <c r="S46" s="220"/>
    </row>
    <row r="47" spans="1:19" s="219" customFormat="1" ht="13.5" thickBot="1">
      <c r="A47" s="1358"/>
      <c r="B47" s="221"/>
      <c r="C47" s="237">
        <v>7714918</v>
      </c>
      <c r="D47" s="235" t="s">
        <v>3933</v>
      </c>
      <c r="E47" s="231">
        <v>2601.41</v>
      </c>
      <c r="F47" s="13">
        <f t="shared" si="0"/>
        <v>1430.7755</v>
      </c>
      <c r="G47" s="17">
        <f t="shared" si="1"/>
        <v>0</v>
      </c>
      <c r="H47" s="15">
        <f t="shared" si="2"/>
        <v>44.883427435000002</v>
      </c>
      <c r="I47" s="15">
        <f t="shared" si="3"/>
        <v>0</v>
      </c>
      <c r="J47" s="15">
        <f t="shared" si="4"/>
        <v>39.203248700000003</v>
      </c>
      <c r="K47" s="15">
        <f t="shared" si="5"/>
        <v>0</v>
      </c>
      <c r="L47" s="15">
        <f t="shared" si="6"/>
        <v>32.6216814</v>
      </c>
      <c r="M47" s="15">
        <f t="shared" si="7"/>
        <v>0</v>
      </c>
      <c r="N47" s="15">
        <f t="shared" si="8"/>
        <v>29.187820200000001</v>
      </c>
      <c r="O47" s="15">
        <f t="shared" si="9"/>
        <v>0</v>
      </c>
      <c r="P47" s="15">
        <f t="shared" si="10"/>
        <v>0.83034340754750002</v>
      </c>
      <c r="Q47" s="18">
        <f t="shared" si="11"/>
        <v>0</v>
      </c>
      <c r="R47" s="220"/>
      <c r="S47" s="220"/>
    </row>
    <row r="48" spans="1:19" s="219" customFormat="1" ht="13.5" thickBot="1">
      <c r="A48" s="1358"/>
      <c r="B48" s="221"/>
      <c r="C48" s="744">
        <v>7714905</v>
      </c>
      <c r="D48" s="223" t="s">
        <v>3923</v>
      </c>
      <c r="E48" s="224">
        <v>1500.81</v>
      </c>
      <c r="F48" s="13">
        <f t="shared" si="0"/>
        <v>825.44550000000004</v>
      </c>
      <c r="G48" s="17">
        <f t="shared" si="1"/>
        <v>0</v>
      </c>
      <c r="H48" s="15">
        <f t="shared" si="2"/>
        <v>25.894225335000002</v>
      </c>
      <c r="I48" s="15">
        <f t="shared" si="3"/>
        <v>0</v>
      </c>
      <c r="J48" s="15">
        <f t="shared" si="4"/>
        <v>22.617206700000001</v>
      </c>
      <c r="K48" s="15">
        <f t="shared" si="5"/>
        <v>0</v>
      </c>
      <c r="L48" s="15">
        <f t="shared" si="6"/>
        <v>18.820157400000003</v>
      </c>
      <c r="M48" s="15">
        <f t="shared" si="7"/>
        <v>0</v>
      </c>
      <c r="N48" s="15">
        <f t="shared" si="8"/>
        <v>16.839088200000003</v>
      </c>
      <c r="O48" s="15">
        <f t="shared" si="9"/>
        <v>0</v>
      </c>
      <c r="P48" s="15">
        <f t="shared" si="10"/>
        <v>0.47904316869750002</v>
      </c>
      <c r="Q48" s="18">
        <f t="shared" si="11"/>
        <v>0</v>
      </c>
      <c r="R48" s="220"/>
      <c r="S48" s="220"/>
    </row>
    <row r="49" spans="1:19" s="219" customFormat="1" ht="13.5" thickBot="1">
      <c r="A49" s="1358"/>
      <c r="B49" s="221"/>
      <c r="C49" s="237">
        <v>7714919</v>
      </c>
      <c r="D49" s="235" t="s">
        <v>3934</v>
      </c>
      <c r="E49" s="231">
        <v>5002.74</v>
      </c>
      <c r="F49" s="13">
        <f t="shared" si="0"/>
        <v>2751.5070000000001</v>
      </c>
      <c r="G49" s="17">
        <f t="shared" si="1"/>
        <v>0</v>
      </c>
      <c r="H49" s="15">
        <f t="shared" si="2"/>
        <v>86.314774590000013</v>
      </c>
      <c r="I49" s="15">
        <f t="shared" si="3"/>
        <v>0</v>
      </c>
      <c r="J49" s="15">
        <f t="shared" si="4"/>
        <v>75.391291800000005</v>
      </c>
      <c r="K49" s="15">
        <f t="shared" si="5"/>
        <v>0</v>
      </c>
      <c r="L49" s="15">
        <f t="shared" si="6"/>
        <v>62.734359600000005</v>
      </c>
      <c r="M49" s="15">
        <f t="shared" si="7"/>
        <v>0</v>
      </c>
      <c r="N49" s="15">
        <f t="shared" si="8"/>
        <v>56.130742800000007</v>
      </c>
      <c r="O49" s="15">
        <f t="shared" si="9"/>
        <v>0</v>
      </c>
      <c r="P49" s="15">
        <f t="shared" si="10"/>
        <v>1.5968233299150001</v>
      </c>
      <c r="Q49" s="18">
        <f t="shared" si="11"/>
        <v>0</v>
      </c>
      <c r="R49" s="220"/>
      <c r="S49" s="220"/>
    </row>
    <row r="50" spans="1:19" s="219" customFormat="1" ht="13.5" thickBot="1">
      <c r="A50" s="1358"/>
      <c r="B50" s="221"/>
      <c r="C50" s="237">
        <v>7714915</v>
      </c>
      <c r="D50" s="235" t="s">
        <v>3930</v>
      </c>
      <c r="E50" s="231">
        <v>1600.87</v>
      </c>
      <c r="F50" s="13">
        <f t="shared" si="0"/>
        <v>880.47850000000005</v>
      </c>
      <c r="G50" s="17">
        <f t="shared" si="1"/>
        <v>0</v>
      </c>
      <c r="H50" s="15">
        <f t="shared" si="2"/>
        <v>27.620610545000005</v>
      </c>
      <c r="I50" s="15">
        <f t="shared" si="3"/>
        <v>0</v>
      </c>
      <c r="J50" s="15">
        <f t="shared" si="4"/>
        <v>24.125110900000003</v>
      </c>
      <c r="K50" s="15">
        <f t="shared" si="5"/>
        <v>0</v>
      </c>
      <c r="L50" s="15">
        <f t="shared" si="6"/>
        <v>20.0749098</v>
      </c>
      <c r="M50" s="15">
        <f t="shared" si="7"/>
        <v>0</v>
      </c>
      <c r="N50" s="15">
        <f t="shared" si="8"/>
        <v>17.961761400000004</v>
      </c>
      <c r="O50" s="15">
        <f t="shared" si="9"/>
        <v>0</v>
      </c>
      <c r="P50" s="15">
        <f t="shared" si="10"/>
        <v>0.51098129508250012</v>
      </c>
      <c r="Q50" s="18">
        <f t="shared" si="11"/>
        <v>0</v>
      </c>
      <c r="R50" s="220"/>
      <c r="S50" s="220"/>
    </row>
    <row r="51" spans="1:19" s="219" customFormat="1" ht="13.5" thickBot="1">
      <c r="A51" s="1358"/>
      <c r="B51" s="221"/>
      <c r="C51" s="237">
        <v>7714916</v>
      </c>
      <c r="D51" s="235" t="s">
        <v>3931</v>
      </c>
      <c r="E51" s="231">
        <v>1600.87</v>
      </c>
      <c r="F51" s="13">
        <f t="shared" si="0"/>
        <v>880.47850000000005</v>
      </c>
      <c r="G51" s="17">
        <f t="shared" si="1"/>
        <v>0</v>
      </c>
      <c r="H51" s="15">
        <f t="shared" si="2"/>
        <v>27.620610545000005</v>
      </c>
      <c r="I51" s="15">
        <f t="shared" si="3"/>
        <v>0</v>
      </c>
      <c r="J51" s="15">
        <f t="shared" si="4"/>
        <v>24.125110900000003</v>
      </c>
      <c r="K51" s="15">
        <f t="shared" si="5"/>
        <v>0</v>
      </c>
      <c r="L51" s="15">
        <f t="shared" si="6"/>
        <v>20.0749098</v>
      </c>
      <c r="M51" s="15">
        <f t="shared" si="7"/>
        <v>0</v>
      </c>
      <c r="N51" s="15">
        <f t="shared" si="8"/>
        <v>17.961761400000004</v>
      </c>
      <c r="O51" s="15">
        <f t="shared" si="9"/>
        <v>0</v>
      </c>
      <c r="P51" s="15">
        <f t="shared" si="10"/>
        <v>0.51098129508250012</v>
      </c>
      <c r="Q51" s="18">
        <f t="shared" si="11"/>
        <v>0</v>
      </c>
      <c r="R51" s="220"/>
      <c r="S51" s="220"/>
    </row>
    <row r="52" spans="1:19" s="219" customFormat="1" ht="13.5" thickBot="1">
      <c r="A52" s="1358"/>
      <c r="B52" s="221"/>
      <c r="C52" s="746" t="s">
        <v>4127</v>
      </c>
      <c r="D52" s="225" t="s">
        <v>4179</v>
      </c>
      <c r="E52" s="224">
        <v>4038.83</v>
      </c>
      <c r="F52" s="13">
        <f t="shared" si="0"/>
        <v>2221.3565000000003</v>
      </c>
      <c r="G52" s="17">
        <f t="shared" si="1"/>
        <v>0</v>
      </c>
      <c r="H52" s="15">
        <f t="shared" si="2"/>
        <v>69.683953405000011</v>
      </c>
      <c r="I52" s="15">
        <f t="shared" si="3"/>
        <v>0</v>
      </c>
      <c r="J52" s="15">
        <f t="shared" si="4"/>
        <v>60.865168100000012</v>
      </c>
      <c r="K52" s="15">
        <f t="shared" si="5"/>
        <v>0</v>
      </c>
      <c r="L52" s="15">
        <f t="shared" si="6"/>
        <v>50.646928200000012</v>
      </c>
      <c r="M52" s="15">
        <f t="shared" si="7"/>
        <v>0</v>
      </c>
      <c r="N52" s="15">
        <f t="shared" si="8"/>
        <v>45.315672600000013</v>
      </c>
      <c r="O52" s="15">
        <f t="shared" si="9"/>
        <v>0</v>
      </c>
      <c r="P52" s="15">
        <f t="shared" si="10"/>
        <v>1.2891531379925001</v>
      </c>
      <c r="Q52" s="18">
        <f t="shared" si="11"/>
        <v>0</v>
      </c>
      <c r="R52" s="220"/>
      <c r="S52" s="220"/>
    </row>
    <row r="53" spans="1:19" s="219" customFormat="1" ht="13.5" thickBot="1">
      <c r="A53" s="1358"/>
      <c r="B53" s="221"/>
      <c r="C53" s="746" t="s">
        <v>4129</v>
      </c>
      <c r="D53" s="225" t="s">
        <v>4181</v>
      </c>
      <c r="E53" s="224">
        <v>3583.13</v>
      </c>
      <c r="F53" s="13">
        <f t="shared" si="0"/>
        <v>1970.7215000000001</v>
      </c>
      <c r="G53" s="17">
        <f t="shared" si="1"/>
        <v>0</v>
      </c>
      <c r="H53" s="15">
        <f t="shared" si="2"/>
        <v>61.821533455000008</v>
      </c>
      <c r="I53" s="15">
        <f t="shared" si="3"/>
        <v>0</v>
      </c>
      <c r="J53" s="15">
        <f t="shared" si="4"/>
        <v>53.997769100000006</v>
      </c>
      <c r="K53" s="15">
        <f t="shared" si="5"/>
        <v>0</v>
      </c>
      <c r="L53" s="15">
        <f t="shared" si="6"/>
        <v>44.932450200000005</v>
      </c>
      <c r="M53" s="15">
        <f t="shared" si="7"/>
        <v>0</v>
      </c>
      <c r="N53" s="15">
        <f t="shared" si="8"/>
        <v>40.202718600000004</v>
      </c>
      <c r="O53" s="15">
        <f t="shared" si="9"/>
        <v>0</v>
      </c>
      <c r="P53" s="15">
        <f t="shared" si="10"/>
        <v>1.1436983689175</v>
      </c>
      <c r="Q53" s="18">
        <f t="shared" si="11"/>
        <v>0</v>
      </c>
      <c r="R53" s="220"/>
      <c r="S53" s="220"/>
    </row>
    <row r="54" spans="1:19" s="219" customFormat="1" ht="13.5" thickBot="1">
      <c r="A54" s="1358"/>
      <c r="B54" s="221"/>
      <c r="C54" s="746" t="s">
        <v>4128</v>
      </c>
      <c r="D54" s="225" t="s">
        <v>4180</v>
      </c>
      <c r="E54" s="224">
        <v>3583.13</v>
      </c>
      <c r="F54" s="13">
        <f t="shared" si="0"/>
        <v>1970.7215000000001</v>
      </c>
      <c r="G54" s="17">
        <f t="shared" si="1"/>
        <v>0</v>
      </c>
      <c r="H54" s="15">
        <f t="shared" si="2"/>
        <v>61.821533455000008</v>
      </c>
      <c r="I54" s="15">
        <f t="shared" si="3"/>
        <v>0</v>
      </c>
      <c r="J54" s="15">
        <f t="shared" si="4"/>
        <v>53.997769100000006</v>
      </c>
      <c r="K54" s="15">
        <f t="shared" si="5"/>
        <v>0</v>
      </c>
      <c r="L54" s="15">
        <f t="shared" si="6"/>
        <v>44.932450200000005</v>
      </c>
      <c r="M54" s="15">
        <f t="shared" si="7"/>
        <v>0</v>
      </c>
      <c r="N54" s="15">
        <f t="shared" si="8"/>
        <v>40.202718600000004</v>
      </c>
      <c r="O54" s="15">
        <f t="shared" si="9"/>
        <v>0</v>
      </c>
      <c r="P54" s="15">
        <f t="shared" si="10"/>
        <v>1.1436983689175</v>
      </c>
      <c r="Q54" s="18">
        <f t="shared" si="11"/>
        <v>0</v>
      </c>
      <c r="R54" s="220"/>
      <c r="S54" s="220"/>
    </row>
    <row r="55" spans="1:19" s="219" customFormat="1" ht="13.5" thickBot="1">
      <c r="A55" s="1358"/>
      <c r="B55" s="221"/>
      <c r="C55" s="746">
        <v>7714909</v>
      </c>
      <c r="D55" s="225" t="s">
        <v>3925</v>
      </c>
      <c r="E55" s="231">
        <v>1580.85</v>
      </c>
      <c r="F55" s="13">
        <f t="shared" si="0"/>
        <v>869.46749999999997</v>
      </c>
      <c r="G55" s="17">
        <f t="shared" si="1"/>
        <v>0</v>
      </c>
      <c r="H55" s="15">
        <f t="shared" si="2"/>
        <v>27.275195475</v>
      </c>
      <c r="I55" s="15">
        <f t="shared" si="3"/>
        <v>0</v>
      </c>
      <c r="J55" s="15">
        <f t="shared" si="4"/>
        <v>23.8234095</v>
      </c>
      <c r="K55" s="15">
        <f t="shared" si="5"/>
        <v>0</v>
      </c>
      <c r="L55" s="15">
        <f t="shared" si="6"/>
        <v>19.823858999999999</v>
      </c>
      <c r="M55" s="15">
        <f t="shared" si="7"/>
        <v>0</v>
      </c>
      <c r="N55" s="15">
        <f t="shared" si="8"/>
        <v>17.737137000000001</v>
      </c>
      <c r="O55" s="15">
        <f t="shared" si="9"/>
        <v>0</v>
      </c>
      <c r="P55" s="15">
        <f t="shared" si="10"/>
        <v>0.50459111628749997</v>
      </c>
      <c r="Q55" s="18">
        <f t="shared" si="11"/>
        <v>0</v>
      </c>
      <c r="R55" s="220"/>
      <c r="S55" s="220"/>
    </row>
    <row r="56" spans="1:19" s="219" customFormat="1" ht="13.5" thickBot="1">
      <c r="A56" s="1358"/>
      <c r="B56" s="221"/>
      <c r="C56" s="237" t="s">
        <v>4169</v>
      </c>
      <c r="D56" s="235" t="s">
        <v>4170</v>
      </c>
      <c r="E56" s="231">
        <v>5500</v>
      </c>
      <c r="F56" s="13">
        <f t="shared" si="0"/>
        <v>3025.0000000000005</v>
      </c>
      <c r="G56" s="16">
        <f t="shared" si="1"/>
        <v>0</v>
      </c>
      <c r="H56" s="14">
        <f t="shared" si="2"/>
        <v>94.894250000000014</v>
      </c>
      <c r="I56" s="15">
        <f t="shared" si="3"/>
        <v>0</v>
      </c>
      <c r="J56" s="15">
        <f t="shared" si="4"/>
        <v>82.885000000000019</v>
      </c>
      <c r="K56" s="15">
        <f t="shared" si="5"/>
        <v>0</v>
      </c>
      <c r="L56" s="15">
        <f t="shared" si="6"/>
        <v>68.970000000000013</v>
      </c>
      <c r="M56" s="15">
        <f t="shared" si="7"/>
        <v>0</v>
      </c>
      <c r="N56" s="15">
        <f t="shared" si="8"/>
        <v>61.710000000000015</v>
      </c>
      <c r="O56" s="15">
        <f t="shared" si="9"/>
        <v>0</v>
      </c>
      <c r="P56" s="15">
        <f t="shared" si="10"/>
        <v>1.7555436250000003</v>
      </c>
      <c r="Q56" s="18">
        <f t="shared" si="11"/>
        <v>0</v>
      </c>
      <c r="R56" s="220"/>
      <c r="S56" s="220"/>
    </row>
    <row r="57" spans="1:19" s="219" customFormat="1" ht="13.5" thickBot="1">
      <c r="A57" s="1358"/>
      <c r="B57" s="221"/>
      <c r="C57" s="746">
        <v>45204557</v>
      </c>
      <c r="D57" s="225" t="s">
        <v>3987</v>
      </c>
      <c r="E57" s="224">
        <v>11990</v>
      </c>
      <c r="F57" s="13">
        <f t="shared" si="0"/>
        <v>6594.5000000000009</v>
      </c>
      <c r="G57" s="16">
        <f t="shared" si="1"/>
        <v>0</v>
      </c>
      <c r="H57" s="14">
        <f t="shared" si="2"/>
        <v>206.86946500000005</v>
      </c>
      <c r="I57" s="15">
        <f t="shared" si="3"/>
        <v>0</v>
      </c>
      <c r="J57" s="15">
        <f t="shared" si="4"/>
        <v>180.68930000000003</v>
      </c>
      <c r="K57" s="15">
        <f t="shared" si="5"/>
        <v>0</v>
      </c>
      <c r="L57" s="15">
        <f t="shared" si="6"/>
        <v>150.35460000000003</v>
      </c>
      <c r="M57" s="15">
        <f t="shared" si="7"/>
        <v>0</v>
      </c>
      <c r="N57" s="15">
        <f t="shared" si="8"/>
        <v>134.52780000000004</v>
      </c>
      <c r="O57" s="15">
        <f t="shared" si="9"/>
        <v>0</v>
      </c>
      <c r="P57" s="15">
        <f t="shared" si="10"/>
        <v>3.8270851025000008</v>
      </c>
      <c r="Q57" s="18">
        <f t="shared" si="11"/>
        <v>0</v>
      </c>
      <c r="R57" s="220"/>
      <c r="S57" s="220"/>
    </row>
    <row r="58" spans="1:19" s="219" customFormat="1" ht="26.25" thickBot="1">
      <c r="A58" s="1358"/>
      <c r="B58" s="221"/>
      <c r="C58" s="746">
        <v>45204332</v>
      </c>
      <c r="D58" s="225" t="s">
        <v>3986</v>
      </c>
      <c r="E58" s="224">
        <v>13500</v>
      </c>
      <c r="F58" s="13">
        <f t="shared" si="0"/>
        <v>7425.0000000000009</v>
      </c>
      <c r="G58" s="16">
        <f t="shared" si="1"/>
        <v>0</v>
      </c>
      <c r="H58" s="14">
        <f t="shared" si="2"/>
        <v>232.92225000000005</v>
      </c>
      <c r="I58" s="15">
        <f t="shared" si="3"/>
        <v>0</v>
      </c>
      <c r="J58" s="15">
        <f t="shared" si="4"/>
        <v>203.44500000000002</v>
      </c>
      <c r="K58" s="15">
        <f t="shared" si="5"/>
        <v>0</v>
      </c>
      <c r="L58" s="15">
        <f t="shared" si="6"/>
        <v>169.29000000000002</v>
      </c>
      <c r="M58" s="15">
        <f t="shared" si="7"/>
        <v>0</v>
      </c>
      <c r="N58" s="15">
        <f t="shared" si="8"/>
        <v>151.47000000000003</v>
      </c>
      <c r="O58" s="15">
        <f t="shared" si="9"/>
        <v>0</v>
      </c>
      <c r="P58" s="15">
        <f t="shared" si="10"/>
        <v>4.3090616250000009</v>
      </c>
      <c r="Q58" s="18">
        <f t="shared" si="11"/>
        <v>0</v>
      </c>
      <c r="R58" s="220"/>
      <c r="S58" s="220"/>
    </row>
    <row r="59" spans="1:19" s="219" customFormat="1" ht="13.5" thickBot="1">
      <c r="A59" s="1358"/>
      <c r="B59" s="221"/>
      <c r="C59" s="746">
        <v>7717974</v>
      </c>
      <c r="D59" s="225" t="s">
        <v>3945</v>
      </c>
      <c r="E59" s="224">
        <v>154.84</v>
      </c>
      <c r="F59" s="13">
        <f t="shared" si="0"/>
        <v>85.162000000000006</v>
      </c>
      <c r="G59" s="16">
        <f t="shared" si="1"/>
        <v>0</v>
      </c>
      <c r="H59" s="14">
        <f t="shared" si="2"/>
        <v>2.6715319400000004</v>
      </c>
      <c r="I59" s="15">
        <f t="shared" si="3"/>
        <v>0</v>
      </c>
      <c r="J59" s="15">
        <f t="shared" si="4"/>
        <v>2.3334388000000001</v>
      </c>
      <c r="K59" s="15">
        <f t="shared" si="5"/>
        <v>0</v>
      </c>
      <c r="L59" s="15">
        <f t="shared" si="6"/>
        <v>1.9416936000000002</v>
      </c>
      <c r="M59" s="15">
        <f t="shared" si="7"/>
        <v>0</v>
      </c>
      <c r="N59" s="15">
        <f t="shared" si="8"/>
        <v>1.7373048000000002</v>
      </c>
      <c r="O59" s="15">
        <f t="shared" si="9"/>
        <v>0</v>
      </c>
      <c r="P59" s="15">
        <f t="shared" si="10"/>
        <v>4.9423340890000007E-2</v>
      </c>
      <c r="Q59" s="18">
        <f t="shared" si="11"/>
        <v>0</v>
      </c>
      <c r="R59" s="220"/>
      <c r="S59" s="220"/>
    </row>
    <row r="60" spans="1:19" s="219" customFormat="1" ht="13.5" thickBot="1">
      <c r="A60" s="1358"/>
      <c r="B60" s="221"/>
      <c r="C60" s="237">
        <v>7717968</v>
      </c>
      <c r="D60" s="235" t="s">
        <v>3940</v>
      </c>
      <c r="E60" s="231">
        <v>142.6</v>
      </c>
      <c r="F60" s="13">
        <f t="shared" si="0"/>
        <v>78.430000000000007</v>
      </c>
      <c r="G60" s="16">
        <f t="shared" si="1"/>
        <v>0</v>
      </c>
      <c r="H60" s="14">
        <f t="shared" ref="H60:H132" si="12">F60*0.03137</f>
        <v>2.4603491000000002</v>
      </c>
      <c r="I60" s="15">
        <f t="shared" si="3"/>
        <v>0</v>
      </c>
      <c r="J60" s="15">
        <f t="shared" ref="J60:J132" si="13">F60*0.0274</f>
        <v>2.1489820000000002</v>
      </c>
      <c r="K60" s="15">
        <f t="shared" si="5"/>
        <v>0</v>
      </c>
      <c r="L60" s="15">
        <f t="shared" ref="L60:L132" si="14">F60*0.0228</f>
        <v>1.7882040000000001</v>
      </c>
      <c r="M60" s="15">
        <f t="shared" si="7"/>
        <v>0</v>
      </c>
      <c r="N60" s="15">
        <f t="shared" ref="N60:N132" si="15">F60*0.0204</f>
        <v>1.5999720000000002</v>
      </c>
      <c r="O60" s="15">
        <f t="shared" si="9"/>
        <v>0</v>
      </c>
      <c r="P60" s="15">
        <f t="shared" si="10"/>
        <v>4.5516458350000004E-2</v>
      </c>
      <c r="Q60" s="18">
        <f t="shared" si="11"/>
        <v>0</v>
      </c>
      <c r="R60" s="220"/>
      <c r="S60" s="220"/>
    </row>
    <row r="61" spans="1:19" s="219" customFormat="1" ht="13.5" thickBot="1">
      <c r="A61" s="1358"/>
      <c r="B61" s="221"/>
      <c r="C61" s="237">
        <v>7717962</v>
      </c>
      <c r="D61" s="235" t="s">
        <v>3935</v>
      </c>
      <c r="E61" s="231">
        <v>141.21</v>
      </c>
      <c r="F61" s="13">
        <f t="shared" si="0"/>
        <v>77.665500000000009</v>
      </c>
      <c r="G61" s="16">
        <f t="shared" si="1"/>
        <v>0</v>
      </c>
      <c r="H61" s="14">
        <f t="shared" si="12"/>
        <v>2.4363667350000004</v>
      </c>
      <c r="I61" s="15">
        <f t="shared" si="3"/>
        <v>0</v>
      </c>
      <c r="J61" s="15">
        <f t="shared" si="13"/>
        <v>2.1280347000000002</v>
      </c>
      <c r="K61" s="15">
        <f t="shared" si="5"/>
        <v>0</v>
      </c>
      <c r="L61" s="15">
        <f t="shared" si="14"/>
        <v>1.7707734000000002</v>
      </c>
      <c r="M61" s="15">
        <f t="shared" si="7"/>
        <v>0</v>
      </c>
      <c r="N61" s="15">
        <f t="shared" si="15"/>
        <v>1.5843762000000003</v>
      </c>
      <c r="O61" s="15">
        <f t="shared" si="9"/>
        <v>0</v>
      </c>
      <c r="P61" s="15">
        <f t="shared" si="10"/>
        <v>4.5072784597500005E-2</v>
      </c>
      <c r="Q61" s="18">
        <f t="shared" si="11"/>
        <v>0</v>
      </c>
      <c r="R61" s="220"/>
      <c r="S61" s="220"/>
    </row>
    <row r="62" spans="1:19" s="219" customFormat="1" ht="13.5" thickBot="1">
      <c r="A62" s="1358"/>
      <c r="B62" s="221"/>
      <c r="C62" s="237">
        <v>7717963</v>
      </c>
      <c r="D62" s="235" t="s">
        <v>3936</v>
      </c>
      <c r="E62" s="231">
        <v>122.89</v>
      </c>
      <c r="F62" s="13">
        <f t="shared" si="0"/>
        <v>67.589500000000001</v>
      </c>
      <c r="G62" s="16">
        <f t="shared" si="1"/>
        <v>0</v>
      </c>
      <c r="H62" s="14">
        <f t="shared" si="12"/>
        <v>2.1202826150000003</v>
      </c>
      <c r="I62" s="15">
        <f t="shared" si="3"/>
        <v>0</v>
      </c>
      <c r="J62" s="15">
        <f t="shared" si="13"/>
        <v>1.8519523</v>
      </c>
      <c r="K62" s="15">
        <f t="shared" si="5"/>
        <v>0</v>
      </c>
      <c r="L62" s="15">
        <f t="shared" si="14"/>
        <v>1.5410406000000001</v>
      </c>
      <c r="M62" s="15">
        <f t="shared" si="7"/>
        <v>0</v>
      </c>
      <c r="N62" s="15">
        <f t="shared" si="15"/>
        <v>1.3788258000000002</v>
      </c>
      <c r="O62" s="15">
        <f t="shared" si="9"/>
        <v>0</v>
      </c>
      <c r="P62" s="15">
        <f t="shared" si="10"/>
        <v>3.9225228377500004E-2</v>
      </c>
      <c r="Q62" s="18">
        <f t="shared" si="11"/>
        <v>0</v>
      </c>
      <c r="R62" s="220"/>
      <c r="S62" s="220"/>
    </row>
    <row r="63" spans="1:19" s="219" customFormat="1" ht="13.5" thickBot="1">
      <c r="A63" s="1358"/>
      <c r="B63" s="221"/>
      <c r="C63" s="237">
        <v>7717969</v>
      </c>
      <c r="D63" s="235" t="s">
        <v>3941</v>
      </c>
      <c r="E63" s="231">
        <v>124.08</v>
      </c>
      <c r="F63" s="13">
        <f t="shared" ref="F63:F158" si="16">E63*(1-45%)</f>
        <v>68.244</v>
      </c>
      <c r="G63" s="16">
        <f t="shared" ref="G63:G158" si="17">F63*B63</f>
        <v>0</v>
      </c>
      <c r="H63" s="14">
        <f t="shared" si="12"/>
        <v>2.1408142800000003</v>
      </c>
      <c r="I63" s="15">
        <f t="shared" ref="I63:I158" si="18">H63*B63</f>
        <v>0</v>
      </c>
      <c r="J63" s="15">
        <f t="shared" si="13"/>
        <v>1.8698856000000001</v>
      </c>
      <c r="K63" s="15">
        <f t="shared" si="5"/>
        <v>0</v>
      </c>
      <c r="L63" s="15">
        <f t="shared" si="14"/>
        <v>1.5559632000000001</v>
      </c>
      <c r="M63" s="15">
        <f t="shared" ref="M63:M158" si="19">L63*B63</f>
        <v>0</v>
      </c>
      <c r="N63" s="15">
        <f t="shared" si="15"/>
        <v>1.3921776000000001</v>
      </c>
      <c r="O63" s="18">
        <f t="shared" ref="O63:O158" si="20">N63*B63</f>
        <v>0</v>
      </c>
      <c r="P63" s="15">
        <f t="shared" si="10"/>
        <v>3.9605064180000003E-2</v>
      </c>
      <c r="Q63" s="18">
        <f t="shared" si="11"/>
        <v>0</v>
      </c>
      <c r="R63" s="220"/>
      <c r="S63" s="220"/>
    </row>
    <row r="64" spans="1:19" s="219" customFormat="1" ht="13.5" thickBot="1">
      <c r="A64" s="1358"/>
      <c r="B64" s="221"/>
      <c r="C64" s="237">
        <v>7717965</v>
      </c>
      <c r="D64" s="235" t="s">
        <v>4159</v>
      </c>
      <c r="E64" s="231">
        <v>111.45</v>
      </c>
      <c r="F64" s="13">
        <f t="shared" si="16"/>
        <v>61.297500000000007</v>
      </c>
      <c r="G64" s="16">
        <f t="shared" si="17"/>
        <v>0</v>
      </c>
      <c r="H64" s="14">
        <f t="shared" si="12"/>
        <v>1.9229025750000004</v>
      </c>
      <c r="I64" s="15">
        <f t="shared" si="18"/>
        <v>0</v>
      </c>
      <c r="J64" s="15">
        <f t="shared" si="13"/>
        <v>1.6795515000000003</v>
      </c>
      <c r="K64" s="15">
        <f t="shared" si="5"/>
        <v>0</v>
      </c>
      <c r="L64" s="15">
        <f t="shared" si="14"/>
        <v>1.3975830000000002</v>
      </c>
      <c r="M64" s="15">
        <f t="shared" si="19"/>
        <v>0</v>
      </c>
      <c r="N64" s="15">
        <f t="shared" si="15"/>
        <v>1.2504690000000003</v>
      </c>
      <c r="O64" s="18">
        <f t="shared" si="20"/>
        <v>0</v>
      </c>
      <c r="P64" s="15">
        <f t="shared" si="10"/>
        <v>3.5573697637500006E-2</v>
      </c>
      <c r="Q64" s="18">
        <f t="shared" si="11"/>
        <v>0</v>
      </c>
      <c r="R64" s="220"/>
      <c r="S64" s="220"/>
    </row>
    <row r="65" spans="1:19" s="219" customFormat="1" ht="13.5" thickBot="1">
      <c r="A65" s="1358"/>
      <c r="B65" s="221"/>
      <c r="C65" s="746">
        <v>7717975</v>
      </c>
      <c r="D65" s="225" t="s">
        <v>4160</v>
      </c>
      <c r="E65" s="224">
        <v>134.54</v>
      </c>
      <c r="F65" s="13">
        <f t="shared" si="16"/>
        <v>73.997</v>
      </c>
      <c r="G65" s="16">
        <f t="shared" si="17"/>
        <v>0</v>
      </c>
      <c r="H65" s="14">
        <f t="shared" si="12"/>
        <v>2.32128589</v>
      </c>
      <c r="I65" s="15">
        <f t="shared" si="18"/>
        <v>0</v>
      </c>
      <c r="J65" s="15">
        <f t="shared" si="13"/>
        <v>2.0275178</v>
      </c>
      <c r="K65" s="15">
        <f t="shared" si="5"/>
        <v>0</v>
      </c>
      <c r="L65" s="15">
        <f t="shared" si="14"/>
        <v>1.6871316000000001</v>
      </c>
      <c r="M65" s="15">
        <f t="shared" si="19"/>
        <v>0</v>
      </c>
      <c r="N65" s="15">
        <f t="shared" si="15"/>
        <v>1.5095388000000001</v>
      </c>
      <c r="O65" s="18">
        <f t="shared" si="20"/>
        <v>0</v>
      </c>
      <c r="P65" s="15">
        <f t="shared" si="10"/>
        <v>4.2943788965E-2</v>
      </c>
      <c r="Q65" s="18">
        <f t="shared" si="11"/>
        <v>0</v>
      </c>
      <c r="R65" s="220"/>
      <c r="S65" s="220"/>
    </row>
    <row r="66" spans="1:19" s="219" customFormat="1" ht="13.5" thickBot="1">
      <c r="A66" s="1358"/>
      <c r="B66" s="221"/>
      <c r="C66" s="237">
        <v>7717964</v>
      </c>
      <c r="D66" s="235" t="s">
        <v>3937</v>
      </c>
      <c r="E66" s="231">
        <v>113.74</v>
      </c>
      <c r="F66" s="13">
        <f t="shared" si="16"/>
        <v>62.557000000000002</v>
      </c>
      <c r="G66" s="16">
        <f t="shared" si="17"/>
        <v>0</v>
      </c>
      <c r="H66" s="14">
        <f t="shared" si="12"/>
        <v>1.9624130900000003</v>
      </c>
      <c r="I66" s="15">
        <f t="shared" si="18"/>
        <v>0</v>
      </c>
      <c r="J66" s="15">
        <f t="shared" si="13"/>
        <v>1.7140618000000001</v>
      </c>
      <c r="K66" s="15">
        <f t="shared" si="5"/>
        <v>0</v>
      </c>
      <c r="L66" s="15">
        <f t="shared" si="14"/>
        <v>1.4262996000000001</v>
      </c>
      <c r="M66" s="15">
        <f t="shared" si="19"/>
        <v>0</v>
      </c>
      <c r="N66" s="15">
        <f t="shared" si="15"/>
        <v>1.2761628</v>
      </c>
      <c r="O66" s="18">
        <f t="shared" si="20"/>
        <v>0</v>
      </c>
      <c r="P66" s="15">
        <f t="shared" si="10"/>
        <v>3.6304642165000005E-2</v>
      </c>
      <c r="Q66" s="18">
        <f t="shared" si="11"/>
        <v>0</v>
      </c>
      <c r="R66" s="220"/>
      <c r="S66" s="220"/>
    </row>
    <row r="67" spans="1:19" s="219" customFormat="1" ht="13.5" thickBot="1">
      <c r="A67" s="1358"/>
      <c r="B67" s="221"/>
      <c r="C67" s="746">
        <v>7717976</v>
      </c>
      <c r="D67" s="225" t="s">
        <v>4161</v>
      </c>
      <c r="E67" s="224">
        <v>124.34</v>
      </c>
      <c r="F67" s="13">
        <f t="shared" si="16"/>
        <v>68.387</v>
      </c>
      <c r="G67" s="16">
        <f t="shared" si="17"/>
        <v>0</v>
      </c>
      <c r="H67" s="14">
        <f t="shared" si="12"/>
        <v>2.1453001899999999</v>
      </c>
      <c r="I67" s="15">
        <f t="shared" si="18"/>
        <v>0</v>
      </c>
      <c r="J67" s="15">
        <f t="shared" si="13"/>
        <v>1.8738038000000001</v>
      </c>
      <c r="K67" s="15">
        <f t="shared" si="5"/>
        <v>0</v>
      </c>
      <c r="L67" s="15">
        <f t="shared" si="14"/>
        <v>1.5592236000000002</v>
      </c>
      <c r="M67" s="15">
        <f t="shared" si="19"/>
        <v>0</v>
      </c>
      <c r="N67" s="15">
        <f t="shared" si="15"/>
        <v>1.3950948000000001</v>
      </c>
      <c r="O67" s="18">
        <f t="shared" si="20"/>
        <v>0</v>
      </c>
      <c r="P67" s="15">
        <f t="shared" si="10"/>
        <v>3.9688053514999995E-2</v>
      </c>
      <c r="Q67" s="18">
        <f t="shared" si="11"/>
        <v>0</v>
      </c>
      <c r="R67" s="220"/>
      <c r="S67" s="220"/>
    </row>
    <row r="68" spans="1:19" s="219" customFormat="1" ht="13.5" thickBot="1">
      <c r="A68" s="1358"/>
      <c r="B68" s="221"/>
      <c r="C68" s="746">
        <v>7717970</v>
      </c>
      <c r="D68" s="225" t="s">
        <v>3942</v>
      </c>
      <c r="E68" s="224">
        <v>114.89</v>
      </c>
      <c r="F68" s="13">
        <f t="shared" si="16"/>
        <v>63.189500000000002</v>
      </c>
      <c r="G68" s="16">
        <f t="shared" si="17"/>
        <v>0</v>
      </c>
      <c r="H68" s="14">
        <f t="shared" si="12"/>
        <v>1.9822546150000002</v>
      </c>
      <c r="I68" s="15">
        <f t="shared" si="18"/>
        <v>0</v>
      </c>
      <c r="J68" s="15">
        <f t="shared" si="13"/>
        <v>1.7313923000000002</v>
      </c>
      <c r="K68" s="15">
        <f t="shared" ref="K68:K158" si="21">J68*B68</f>
        <v>0</v>
      </c>
      <c r="L68" s="15">
        <f t="shared" si="14"/>
        <v>1.4407206000000001</v>
      </c>
      <c r="M68" s="15">
        <f t="shared" si="19"/>
        <v>0</v>
      </c>
      <c r="N68" s="15">
        <f t="shared" si="15"/>
        <v>1.2890658000000002</v>
      </c>
      <c r="O68" s="18">
        <f t="shared" si="20"/>
        <v>0</v>
      </c>
      <c r="P68" s="15">
        <f t="shared" si="10"/>
        <v>3.66717103775E-2</v>
      </c>
      <c r="Q68" s="18">
        <f t="shared" si="11"/>
        <v>0</v>
      </c>
      <c r="R68" s="220"/>
      <c r="S68" s="220"/>
    </row>
    <row r="69" spans="1:19" s="219" customFormat="1" ht="13.5" thickBot="1">
      <c r="A69" s="1358"/>
      <c r="B69" s="221"/>
      <c r="C69" s="746">
        <v>7717977</v>
      </c>
      <c r="D69" s="225" t="s">
        <v>3947</v>
      </c>
      <c r="E69" s="224">
        <v>122.49</v>
      </c>
      <c r="F69" s="13">
        <f t="shared" si="16"/>
        <v>67.369500000000002</v>
      </c>
      <c r="G69" s="17">
        <f t="shared" si="17"/>
        <v>0</v>
      </c>
      <c r="H69" s="15">
        <f t="shared" si="12"/>
        <v>2.1133812150000004</v>
      </c>
      <c r="I69" s="15">
        <f t="shared" si="18"/>
        <v>0</v>
      </c>
      <c r="J69" s="15">
        <f t="shared" si="13"/>
        <v>1.8459243000000001</v>
      </c>
      <c r="K69" s="15">
        <f t="shared" si="21"/>
        <v>0</v>
      </c>
      <c r="L69" s="15">
        <f t="shared" si="14"/>
        <v>1.5360246000000002</v>
      </c>
      <c r="M69" s="15">
        <f t="shared" si="19"/>
        <v>0</v>
      </c>
      <c r="N69" s="15">
        <f t="shared" si="15"/>
        <v>1.3743378000000002</v>
      </c>
      <c r="O69" s="18">
        <f t="shared" si="20"/>
        <v>0</v>
      </c>
      <c r="P69" s="15">
        <f t="shared" si="10"/>
        <v>3.9097552477500006E-2</v>
      </c>
      <c r="Q69" s="18">
        <f t="shared" si="11"/>
        <v>0</v>
      </c>
      <c r="R69" s="220"/>
      <c r="S69" s="220"/>
    </row>
    <row r="70" spans="1:19" s="219" customFormat="1" ht="13.5" thickBot="1">
      <c r="A70" s="1358"/>
      <c r="B70" s="221"/>
      <c r="C70" s="746">
        <v>7717971</v>
      </c>
      <c r="D70" s="225" t="s">
        <v>3943</v>
      </c>
      <c r="E70" s="224">
        <v>112.55</v>
      </c>
      <c r="F70" s="13">
        <f t="shared" si="16"/>
        <v>61.902500000000003</v>
      </c>
      <c r="G70" s="16">
        <f t="shared" si="17"/>
        <v>0</v>
      </c>
      <c r="H70" s="14">
        <f t="shared" si="12"/>
        <v>1.9418814250000003</v>
      </c>
      <c r="I70" s="15">
        <f t="shared" si="18"/>
        <v>0</v>
      </c>
      <c r="J70" s="15">
        <f t="shared" si="13"/>
        <v>1.6961285000000001</v>
      </c>
      <c r="K70" s="15">
        <f t="shared" si="21"/>
        <v>0</v>
      </c>
      <c r="L70" s="15">
        <f t="shared" si="14"/>
        <v>1.4113770000000001</v>
      </c>
      <c r="M70" s="15">
        <f t="shared" si="19"/>
        <v>0</v>
      </c>
      <c r="N70" s="15">
        <f t="shared" si="15"/>
        <v>1.2628110000000001</v>
      </c>
      <c r="O70" s="18">
        <f t="shared" si="20"/>
        <v>0</v>
      </c>
      <c r="P70" s="15">
        <f t="shared" si="10"/>
        <v>3.5924806362500006E-2</v>
      </c>
      <c r="Q70" s="18">
        <f t="shared" si="11"/>
        <v>0</v>
      </c>
      <c r="R70" s="220"/>
      <c r="S70" s="220"/>
    </row>
    <row r="71" spans="1:19" s="219" customFormat="1" ht="13.5" thickBot="1">
      <c r="A71" s="1358"/>
      <c r="B71" s="221"/>
      <c r="C71" s="237">
        <v>7717966</v>
      </c>
      <c r="D71" s="235" t="s">
        <v>3939</v>
      </c>
      <c r="E71" s="231">
        <v>102.27</v>
      </c>
      <c r="F71" s="13">
        <f t="shared" si="16"/>
        <v>56.2485</v>
      </c>
      <c r="G71" s="16">
        <f t="shared" si="17"/>
        <v>0</v>
      </c>
      <c r="H71" s="14">
        <f t="shared" si="12"/>
        <v>1.764515445</v>
      </c>
      <c r="I71" s="15">
        <f t="shared" si="18"/>
        <v>0</v>
      </c>
      <c r="J71" s="15">
        <f t="shared" si="13"/>
        <v>1.5412089</v>
      </c>
      <c r="K71" s="15">
        <f t="shared" si="21"/>
        <v>0</v>
      </c>
      <c r="L71" s="15">
        <f t="shared" si="14"/>
        <v>1.2824658</v>
      </c>
      <c r="M71" s="15">
        <f t="shared" si="19"/>
        <v>0</v>
      </c>
      <c r="N71" s="15">
        <f t="shared" si="15"/>
        <v>1.1474694000000001</v>
      </c>
      <c r="O71" s="18">
        <f t="shared" si="20"/>
        <v>0</v>
      </c>
      <c r="P71" s="15">
        <f t="shared" ref="P71:P111" si="22">H71*0.0185</f>
        <v>3.2643535732499999E-2</v>
      </c>
      <c r="Q71" s="18">
        <f t="shared" ref="Q71:Q111" si="23">P71*B71</f>
        <v>0</v>
      </c>
      <c r="R71" s="220"/>
      <c r="S71" s="220"/>
    </row>
    <row r="72" spans="1:19" s="219" customFormat="1" ht="13.5" thickBot="1">
      <c r="A72" s="1358"/>
      <c r="B72" s="221"/>
      <c r="C72" s="744">
        <v>7717978</v>
      </c>
      <c r="D72" s="223" t="s">
        <v>3948</v>
      </c>
      <c r="E72" s="224">
        <v>111.77</v>
      </c>
      <c r="F72" s="13">
        <f t="shared" si="16"/>
        <v>61.473500000000001</v>
      </c>
      <c r="G72" s="16">
        <f t="shared" si="17"/>
        <v>0</v>
      </c>
      <c r="H72" s="14">
        <f t="shared" si="12"/>
        <v>1.9284236950000002</v>
      </c>
      <c r="I72" s="15">
        <f t="shared" si="18"/>
        <v>0</v>
      </c>
      <c r="J72" s="15">
        <f t="shared" si="13"/>
        <v>1.6843739</v>
      </c>
      <c r="K72" s="15">
        <f t="shared" si="21"/>
        <v>0</v>
      </c>
      <c r="L72" s="15">
        <f t="shared" si="14"/>
        <v>1.4015958000000002</v>
      </c>
      <c r="M72" s="15">
        <f t="shared" si="19"/>
        <v>0</v>
      </c>
      <c r="N72" s="15">
        <f t="shared" si="15"/>
        <v>1.2540594</v>
      </c>
      <c r="O72" s="18">
        <f t="shared" si="20"/>
        <v>0</v>
      </c>
      <c r="P72" s="15">
        <f t="shared" si="22"/>
        <v>3.5675838357500003E-2</v>
      </c>
      <c r="Q72" s="18">
        <f t="shared" si="23"/>
        <v>0</v>
      </c>
      <c r="R72" s="220"/>
      <c r="S72" s="220"/>
    </row>
    <row r="73" spans="1:19" s="219" customFormat="1" ht="13.5" thickBot="1">
      <c r="A73" s="1358"/>
      <c r="B73" s="221"/>
      <c r="C73" s="746">
        <v>7717972</v>
      </c>
      <c r="D73" s="225" t="s">
        <v>3944</v>
      </c>
      <c r="E73" s="224">
        <v>103.1</v>
      </c>
      <c r="F73" s="13">
        <f t="shared" si="16"/>
        <v>56.704999999999998</v>
      </c>
      <c r="G73" s="16">
        <f t="shared" si="17"/>
        <v>0</v>
      </c>
      <c r="H73" s="14">
        <f t="shared" si="12"/>
        <v>1.7788358500000001</v>
      </c>
      <c r="I73" s="15">
        <f t="shared" si="18"/>
        <v>0</v>
      </c>
      <c r="J73" s="15">
        <f t="shared" si="13"/>
        <v>1.553717</v>
      </c>
      <c r="K73" s="15">
        <f t="shared" si="21"/>
        <v>0</v>
      </c>
      <c r="L73" s="15">
        <f t="shared" si="14"/>
        <v>1.2928740000000001</v>
      </c>
      <c r="M73" s="15">
        <f t="shared" si="19"/>
        <v>0</v>
      </c>
      <c r="N73" s="15">
        <f t="shared" si="15"/>
        <v>1.156782</v>
      </c>
      <c r="O73" s="18">
        <f t="shared" si="20"/>
        <v>0</v>
      </c>
      <c r="P73" s="15">
        <f t="shared" si="22"/>
        <v>3.2908463225000004E-2</v>
      </c>
      <c r="Q73" s="18">
        <f t="shared" si="23"/>
        <v>0</v>
      </c>
      <c r="R73" s="220"/>
      <c r="S73" s="220"/>
    </row>
    <row r="74" spans="1:19" s="219" customFormat="1" ht="13.5" thickBot="1">
      <c r="A74" s="1358"/>
      <c r="B74" s="221"/>
      <c r="C74" s="746" t="s">
        <v>4124</v>
      </c>
      <c r="D74" s="225" t="s">
        <v>4176</v>
      </c>
      <c r="E74" s="224">
        <v>99.44</v>
      </c>
      <c r="F74" s="13">
        <f t="shared" si="16"/>
        <v>54.692</v>
      </c>
      <c r="G74" s="16">
        <f t="shared" si="17"/>
        <v>0</v>
      </c>
      <c r="H74" s="14">
        <f t="shared" si="12"/>
        <v>1.7156880400000001</v>
      </c>
      <c r="I74" s="15">
        <f t="shared" si="18"/>
        <v>0</v>
      </c>
      <c r="J74" s="15">
        <f t="shared" si="13"/>
        <v>1.4985608000000001</v>
      </c>
      <c r="K74" s="15">
        <f t="shared" si="21"/>
        <v>0</v>
      </c>
      <c r="L74" s="15">
        <f t="shared" si="14"/>
        <v>1.2469776000000001</v>
      </c>
      <c r="M74" s="15">
        <f t="shared" si="19"/>
        <v>0</v>
      </c>
      <c r="N74" s="15">
        <f t="shared" si="15"/>
        <v>1.1157168000000002</v>
      </c>
      <c r="O74" s="18">
        <f t="shared" si="20"/>
        <v>0</v>
      </c>
      <c r="P74" s="15">
        <f t="shared" si="22"/>
        <v>3.1740228740000001E-2</v>
      </c>
      <c r="Q74" s="18">
        <f t="shared" si="23"/>
        <v>0</v>
      </c>
      <c r="R74" s="220"/>
      <c r="S74" s="220"/>
    </row>
    <row r="75" spans="1:19" s="219" customFormat="1" ht="13.5" thickBot="1">
      <c r="A75" s="1358"/>
      <c r="B75" s="221"/>
      <c r="C75" s="746" t="s">
        <v>4125</v>
      </c>
      <c r="D75" s="225" t="s">
        <v>4177</v>
      </c>
      <c r="E75" s="224">
        <v>99.44</v>
      </c>
      <c r="F75" s="13">
        <f t="shared" si="16"/>
        <v>54.692</v>
      </c>
      <c r="G75" s="16">
        <f t="shared" si="17"/>
        <v>0</v>
      </c>
      <c r="H75" s="14">
        <f t="shared" si="12"/>
        <v>1.7156880400000001</v>
      </c>
      <c r="I75" s="15">
        <f t="shared" si="18"/>
        <v>0</v>
      </c>
      <c r="J75" s="15">
        <f t="shared" si="13"/>
        <v>1.4985608000000001</v>
      </c>
      <c r="K75" s="15">
        <f t="shared" si="21"/>
        <v>0</v>
      </c>
      <c r="L75" s="15">
        <f t="shared" si="14"/>
        <v>1.2469776000000001</v>
      </c>
      <c r="M75" s="15">
        <f t="shared" si="19"/>
        <v>0</v>
      </c>
      <c r="N75" s="15">
        <f t="shared" si="15"/>
        <v>1.1157168000000002</v>
      </c>
      <c r="O75" s="18">
        <f t="shared" si="20"/>
        <v>0</v>
      </c>
      <c r="P75" s="15">
        <f t="shared" si="22"/>
        <v>3.1740228740000001E-2</v>
      </c>
      <c r="Q75" s="18">
        <f t="shared" si="23"/>
        <v>0</v>
      </c>
      <c r="R75" s="220"/>
      <c r="S75" s="220"/>
    </row>
    <row r="76" spans="1:19" s="219" customFormat="1" ht="13.5" thickBot="1">
      <c r="A76" s="1358"/>
      <c r="B76" s="221"/>
      <c r="C76" s="746" t="s">
        <v>4126</v>
      </c>
      <c r="D76" s="225" t="s">
        <v>4178</v>
      </c>
      <c r="E76" s="224">
        <v>99.44</v>
      </c>
      <c r="F76" s="13">
        <f t="shared" si="16"/>
        <v>54.692</v>
      </c>
      <c r="G76" s="17">
        <f t="shared" si="17"/>
        <v>0</v>
      </c>
      <c r="H76" s="15">
        <f t="shared" si="12"/>
        <v>1.7156880400000001</v>
      </c>
      <c r="I76" s="15">
        <f t="shared" si="18"/>
        <v>0</v>
      </c>
      <c r="J76" s="15">
        <f t="shared" si="13"/>
        <v>1.4985608000000001</v>
      </c>
      <c r="K76" s="15">
        <f t="shared" si="21"/>
        <v>0</v>
      </c>
      <c r="L76" s="15">
        <f t="shared" si="14"/>
        <v>1.2469776000000001</v>
      </c>
      <c r="M76" s="15">
        <f t="shared" si="19"/>
        <v>0</v>
      </c>
      <c r="N76" s="15">
        <f t="shared" si="15"/>
        <v>1.1157168000000002</v>
      </c>
      <c r="O76" s="18">
        <f t="shared" si="20"/>
        <v>0</v>
      </c>
      <c r="P76" s="15">
        <f t="shared" si="22"/>
        <v>3.1740228740000001E-2</v>
      </c>
      <c r="Q76" s="18">
        <f t="shared" si="23"/>
        <v>0</v>
      </c>
      <c r="R76" s="220"/>
      <c r="S76" s="220"/>
    </row>
    <row r="77" spans="1:19" s="219" customFormat="1" ht="13.5" thickBot="1">
      <c r="A77" s="1358"/>
      <c r="B77" s="221"/>
      <c r="C77" s="746" t="s">
        <v>3753</v>
      </c>
      <c r="D77" s="225" t="s">
        <v>4189</v>
      </c>
      <c r="E77" s="224">
        <v>1448</v>
      </c>
      <c r="F77" s="13">
        <f t="shared" si="16"/>
        <v>796.40000000000009</v>
      </c>
      <c r="G77" s="16">
        <f t="shared" si="17"/>
        <v>0</v>
      </c>
      <c r="H77" s="14">
        <f t="shared" si="12"/>
        <v>24.983068000000003</v>
      </c>
      <c r="I77" s="15">
        <f t="shared" si="18"/>
        <v>0</v>
      </c>
      <c r="J77" s="15">
        <f t="shared" si="13"/>
        <v>21.821360000000002</v>
      </c>
      <c r="K77" s="15">
        <f t="shared" si="21"/>
        <v>0</v>
      </c>
      <c r="L77" s="15">
        <f t="shared" si="14"/>
        <v>18.157920000000004</v>
      </c>
      <c r="M77" s="15">
        <f t="shared" si="19"/>
        <v>0</v>
      </c>
      <c r="N77" s="15">
        <f t="shared" si="15"/>
        <v>16.246560000000002</v>
      </c>
      <c r="O77" s="18">
        <f t="shared" si="20"/>
        <v>0</v>
      </c>
      <c r="P77" s="15">
        <f t="shared" si="22"/>
        <v>0.46218675800000003</v>
      </c>
      <c r="Q77" s="18">
        <f t="shared" si="23"/>
        <v>0</v>
      </c>
      <c r="R77" s="220"/>
      <c r="S77" s="220"/>
    </row>
    <row r="78" spans="1:19" s="233" customFormat="1" ht="13.5" thickBot="1">
      <c r="A78" s="1358"/>
      <c r="B78" s="229"/>
      <c r="C78" s="745" t="s">
        <v>3728</v>
      </c>
      <c r="D78" s="227" t="s">
        <v>3950</v>
      </c>
      <c r="E78" s="228">
        <v>20814</v>
      </c>
      <c r="F78" s="79">
        <f t="shared" si="16"/>
        <v>11447.7</v>
      </c>
      <c r="G78" s="80">
        <f t="shared" si="17"/>
        <v>0</v>
      </c>
      <c r="H78" s="79">
        <f t="shared" si="12"/>
        <v>359.11434900000006</v>
      </c>
      <c r="I78" s="18">
        <f t="shared" si="18"/>
        <v>0</v>
      </c>
      <c r="J78" s="18">
        <f>F78*0.02564</f>
        <v>293.51902799999999</v>
      </c>
      <c r="K78" s="18">
        <f t="shared" si="21"/>
        <v>0</v>
      </c>
      <c r="L78" s="18">
        <f>F78*0.0256</f>
        <v>293.06112000000002</v>
      </c>
      <c r="M78" s="18">
        <f t="shared" si="19"/>
        <v>0</v>
      </c>
      <c r="N78" s="18">
        <f t="shared" si="15"/>
        <v>233.53308000000004</v>
      </c>
      <c r="O78" s="18">
        <f t="shared" si="20"/>
        <v>0</v>
      </c>
      <c r="P78" s="18">
        <f t="shared" si="22"/>
        <v>6.643615456500001</v>
      </c>
      <c r="Q78" s="18">
        <f t="shared" si="23"/>
        <v>0</v>
      </c>
      <c r="R78" s="232"/>
      <c r="S78" s="232"/>
    </row>
    <row r="79" spans="1:19" s="233" customFormat="1" ht="13.5" thickBot="1">
      <c r="A79" s="1358"/>
      <c r="B79" s="229"/>
      <c r="C79" s="744" t="s">
        <v>543</v>
      </c>
      <c r="D79" s="225" t="s">
        <v>3996</v>
      </c>
      <c r="E79" s="224">
        <v>12870</v>
      </c>
      <c r="F79" s="79">
        <f t="shared" si="16"/>
        <v>7078.5000000000009</v>
      </c>
      <c r="G79" s="80">
        <f t="shared" si="17"/>
        <v>0</v>
      </c>
      <c r="H79" s="79">
        <f t="shared" si="12"/>
        <v>222.05254500000004</v>
      </c>
      <c r="I79" s="18">
        <f t="shared" si="18"/>
        <v>0</v>
      </c>
      <c r="J79" s="18">
        <f>F79*0.02564</f>
        <v>181.49274000000003</v>
      </c>
      <c r="K79" s="18">
        <f t="shared" si="21"/>
        <v>0</v>
      </c>
      <c r="L79" s="18">
        <f t="shared" ref="L79:L111" si="24">F79*0.0228</f>
        <v>161.38980000000004</v>
      </c>
      <c r="M79" s="18">
        <f t="shared" si="19"/>
        <v>0</v>
      </c>
      <c r="N79" s="18">
        <f t="shared" si="15"/>
        <v>144.40140000000002</v>
      </c>
      <c r="O79" s="18">
        <f t="shared" si="20"/>
        <v>0</v>
      </c>
      <c r="P79" s="18">
        <f t="shared" si="22"/>
        <v>4.1079720825000008</v>
      </c>
      <c r="Q79" s="18">
        <f t="shared" si="23"/>
        <v>0</v>
      </c>
      <c r="R79" s="232"/>
      <c r="S79" s="232"/>
    </row>
    <row r="80" spans="1:19" s="233" customFormat="1" ht="13.5" thickBot="1">
      <c r="A80" s="1358"/>
      <c r="B80" s="229"/>
      <c r="C80" s="746">
        <v>45206716</v>
      </c>
      <c r="D80" s="225" t="s">
        <v>4203</v>
      </c>
      <c r="E80" s="224">
        <v>1100</v>
      </c>
      <c r="F80" s="79">
        <f t="shared" si="16"/>
        <v>605</v>
      </c>
      <c r="G80" s="80">
        <f t="shared" si="17"/>
        <v>0</v>
      </c>
      <c r="H80" s="79">
        <f t="shared" si="12"/>
        <v>18.978850000000001</v>
      </c>
      <c r="I80" s="18">
        <f t="shared" si="18"/>
        <v>0</v>
      </c>
      <c r="J80" s="18">
        <f t="shared" ref="J80:J111" si="25">F80*0.0274</f>
        <v>16.577000000000002</v>
      </c>
      <c r="K80" s="18">
        <f t="shared" si="21"/>
        <v>0</v>
      </c>
      <c r="L80" s="18">
        <f t="shared" si="24"/>
        <v>13.794</v>
      </c>
      <c r="M80" s="18">
        <f t="shared" si="19"/>
        <v>0</v>
      </c>
      <c r="N80" s="18">
        <f t="shared" si="15"/>
        <v>12.342000000000001</v>
      </c>
      <c r="O80" s="18">
        <f t="shared" si="20"/>
        <v>0</v>
      </c>
      <c r="P80" s="18">
        <f t="shared" si="22"/>
        <v>0.35110872500000001</v>
      </c>
      <c r="Q80" s="18">
        <f t="shared" si="23"/>
        <v>0</v>
      </c>
      <c r="R80" s="232"/>
      <c r="S80" s="232"/>
    </row>
    <row r="81" spans="1:19" s="219" customFormat="1" ht="26.25" thickBot="1">
      <c r="A81" s="1358"/>
      <c r="B81" s="221"/>
      <c r="C81" s="237">
        <v>45201479</v>
      </c>
      <c r="D81" s="235" t="s">
        <v>3981</v>
      </c>
      <c r="E81" s="231">
        <v>1820</v>
      </c>
      <c r="F81" s="13">
        <f t="shared" si="16"/>
        <v>1001.0000000000001</v>
      </c>
      <c r="G81" s="16">
        <f t="shared" si="17"/>
        <v>0</v>
      </c>
      <c r="H81" s="14">
        <f t="shared" si="12"/>
        <v>31.401370000000007</v>
      </c>
      <c r="I81" s="15">
        <f t="shared" si="18"/>
        <v>0</v>
      </c>
      <c r="J81" s="15">
        <f t="shared" si="25"/>
        <v>27.427400000000002</v>
      </c>
      <c r="K81" s="15">
        <f t="shared" si="21"/>
        <v>0</v>
      </c>
      <c r="L81" s="15">
        <f t="shared" si="24"/>
        <v>22.822800000000004</v>
      </c>
      <c r="M81" s="15">
        <f t="shared" si="19"/>
        <v>0</v>
      </c>
      <c r="N81" s="15">
        <f t="shared" si="15"/>
        <v>20.420400000000004</v>
      </c>
      <c r="O81" s="18">
        <f t="shared" si="20"/>
        <v>0</v>
      </c>
      <c r="P81" s="15">
        <f t="shared" si="22"/>
        <v>0.58092534500000015</v>
      </c>
      <c r="Q81" s="18">
        <f t="shared" si="23"/>
        <v>0</v>
      </c>
      <c r="R81" s="220"/>
      <c r="S81" s="220"/>
    </row>
    <row r="82" spans="1:19" s="219" customFormat="1" ht="26.25" thickBot="1">
      <c r="A82" s="1358"/>
      <c r="B82" s="221"/>
      <c r="C82" s="237">
        <v>45201481</v>
      </c>
      <c r="D82" s="235" t="s">
        <v>3982</v>
      </c>
      <c r="E82" s="231">
        <v>3450</v>
      </c>
      <c r="F82" s="13">
        <f t="shared" si="16"/>
        <v>1897.5000000000002</v>
      </c>
      <c r="G82" s="16">
        <f t="shared" si="17"/>
        <v>0</v>
      </c>
      <c r="H82" s="14">
        <f t="shared" si="12"/>
        <v>59.524575000000013</v>
      </c>
      <c r="I82" s="15">
        <f t="shared" si="18"/>
        <v>0</v>
      </c>
      <c r="J82" s="15">
        <f t="shared" si="25"/>
        <v>51.991500000000009</v>
      </c>
      <c r="K82" s="15">
        <f t="shared" si="21"/>
        <v>0</v>
      </c>
      <c r="L82" s="15">
        <f t="shared" si="24"/>
        <v>43.263000000000005</v>
      </c>
      <c r="M82" s="15">
        <f t="shared" si="19"/>
        <v>0</v>
      </c>
      <c r="N82" s="15">
        <f t="shared" si="15"/>
        <v>38.70900000000001</v>
      </c>
      <c r="O82" s="18">
        <f t="shared" si="20"/>
        <v>0</v>
      </c>
      <c r="P82" s="15">
        <f t="shared" si="22"/>
        <v>1.1012046375000002</v>
      </c>
      <c r="Q82" s="18">
        <f t="shared" si="23"/>
        <v>0</v>
      </c>
      <c r="R82" s="220"/>
      <c r="S82" s="220"/>
    </row>
    <row r="83" spans="1:19" s="219" customFormat="1" ht="26.25" thickBot="1">
      <c r="A83" s="1358"/>
      <c r="B83" s="221"/>
      <c r="C83" s="237">
        <v>45201483</v>
      </c>
      <c r="D83" s="235" t="s">
        <v>3983</v>
      </c>
      <c r="E83" s="231">
        <v>4900</v>
      </c>
      <c r="F83" s="13">
        <f t="shared" si="16"/>
        <v>2695</v>
      </c>
      <c r="G83" s="17">
        <f t="shared" si="17"/>
        <v>0</v>
      </c>
      <c r="H83" s="15">
        <f t="shared" si="12"/>
        <v>84.542150000000007</v>
      </c>
      <c r="I83" s="15">
        <f t="shared" si="18"/>
        <v>0</v>
      </c>
      <c r="J83" s="15">
        <f t="shared" si="25"/>
        <v>73.843000000000004</v>
      </c>
      <c r="K83" s="15">
        <f t="shared" si="21"/>
        <v>0</v>
      </c>
      <c r="L83" s="15">
        <f t="shared" si="24"/>
        <v>61.446000000000005</v>
      </c>
      <c r="M83" s="15">
        <f t="shared" si="19"/>
        <v>0</v>
      </c>
      <c r="N83" s="15">
        <f t="shared" si="15"/>
        <v>54.978000000000002</v>
      </c>
      <c r="O83" s="18">
        <f t="shared" si="20"/>
        <v>0</v>
      </c>
      <c r="P83" s="15">
        <f t="shared" si="22"/>
        <v>1.5640297750000001</v>
      </c>
      <c r="Q83" s="18">
        <f t="shared" si="23"/>
        <v>0</v>
      </c>
      <c r="R83" s="220"/>
      <c r="S83" s="220"/>
    </row>
    <row r="84" spans="1:19" s="219" customFormat="1" ht="26.25" thickBot="1">
      <c r="A84" s="1358"/>
      <c r="B84" s="221"/>
      <c r="C84" s="237">
        <v>45201485</v>
      </c>
      <c r="D84" s="235" t="s">
        <v>3984</v>
      </c>
      <c r="E84" s="231">
        <v>5800</v>
      </c>
      <c r="F84" s="13">
        <f t="shared" si="16"/>
        <v>3190.0000000000005</v>
      </c>
      <c r="G84" s="17">
        <f t="shared" si="17"/>
        <v>0</v>
      </c>
      <c r="H84" s="15">
        <f t="shared" si="12"/>
        <v>100.07030000000002</v>
      </c>
      <c r="I84" s="15">
        <f t="shared" si="18"/>
        <v>0</v>
      </c>
      <c r="J84" s="15">
        <f t="shared" si="25"/>
        <v>87.40600000000002</v>
      </c>
      <c r="K84" s="15">
        <f t="shared" si="21"/>
        <v>0</v>
      </c>
      <c r="L84" s="15">
        <f t="shared" si="24"/>
        <v>72.732000000000014</v>
      </c>
      <c r="M84" s="15">
        <f t="shared" si="19"/>
        <v>0</v>
      </c>
      <c r="N84" s="15">
        <f t="shared" si="15"/>
        <v>65.076000000000008</v>
      </c>
      <c r="O84" s="18">
        <f t="shared" si="20"/>
        <v>0</v>
      </c>
      <c r="P84" s="15">
        <f t="shared" si="22"/>
        <v>1.8513005500000002</v>
      </c>
      <c r="Q84" s="18">
        <f t="shared" si="23"/>
        <v>0</v>
      </c>
      <c r="R84" s="220"/>
      <c r="S84" s="220"/>
    </row>
    <row r="85" spans="1:19" s="219" customFormat="1" ht="26.25" thickBot="1">
      <c r="A85" s="1358"/>
      <c r="B85" s="221"/>
      <c r="C85" s="746">
        <v>45201487</v>
      </c>
      <c r="D85" s="225" t="s">
        <v>3985</v>
      </c>
      <c r="E85" s="224">
        <v>6800</v>
      </c>
      <c r="F85" s="13">
        <f t="shared" si="16"/>
        <v>3740.0000000000005</v>
      </c>
      <c r="G85" s="17">
        <f t="shared" si="17"/>
        <v>0</v>
      </c>
      <c r="H85" s="15">
        <f t="shared" si="12"/>
        <v>117.32380000000002</v>
      </c>
      <c r="I85" s="15">
        <f t="shared" si="18"/>
        <v>0</v>
      </c>
      <c r="J85" s="15">
        <f t="shared" si="25"/>
        <v>102.47600000000001</v>
      </c>
      <c r="K85" s="15">
        <f t="shared" si="21"/>
        <v>0</v>
      </c>
      <c r="L85" s="15">
        <f t="shared" si="24"/>
        <v>85.27200000000002</v>
      </c>
      <c r="M85" s="15">
        <f t="shared" si="19"/>
        <v>0</v>
      </c>
      <c r="N85" s="15">
        <f t="shared" si="15"/>
        <v>76.296000000000021</v>
      </c>
      <c r="O85" s="18">
        <f t="shared" si="20"/>
        <v>0</v>
      </c>
      <c r="P85" s="15">
        <f t="shared" si="22"/>
        <v>2.1704903000000004</v>
      </c>
      <c r="Q85" s="18">
        <f t="shared" si="23"/>
        <v>0</v>
      </c>
      <c r="R85" s="220"/>
      <c r="S85" s="220"/>
    </row>
    <row r="86" spans="1:19" s="219" customFormat="1" ht="13.5" thickBot="1">
      <c r="A86" s="1358"/>
      <c r="B86" s="221"/>
      <c r="C86" s="746">
        <v>45206712</v>
      </c>
      <c r="D86" s="225" t="s">
        <v>3784</v>
      </c>
      <c r="E86" s="224">
        <v>2500</v>
      </c>
      <c r="F86" s="13">
        <f t="shared" si="16"/>
        <v>1375</v>
      </c>
      <c r="G86" s="17">
        <f t="shared" si="17"/>
        <v>0</v>
      </c>
      <c r="H86" s="15">
        <f t="shared" si="12"/>
        <v>43.133750000000006</v>
      </c>
      <c r="I86" s="15">
        <f t="shared" si="18"/>
        <v>0</v>
      </c>
      <c r="J86" s="15">
        <f t="shared" si="25"/>
        <v>37.675000000000004</v>
      </c>
      <c r="K86" s="15">
        <f t="shared" si="21"/>
        <v>0</v>
      </c>
      <c r="L86" s="15">
        <f t="shared" si="24"/>
        <v>31.35</v>
      </c>
      <c r="M86" s="15">
        <f t="shared" si="19"/>
        <v>0</v>
      </c>
      <c r="N86" s="15">
        <f t="shared" si="15"/>
        <v>28.05</v>
      </c>
      <c r="O86" s="15">
        <f t="shared" si="20"/>
        <v>0</v>
      </c>
      <c r="P86" s="15">
        <f t="shared" si="22"/>
        <v>0.79797437500000012</v>
      </c>
      <c r="Q86" s="18">
        <f t="shared" si="23"/>
        <v>0</v>
      </c>
      <c r="R86" s="220"/>
      <c r="S86" s="220"/>
    </row>
    <row r="87" spans="1:19" s="219" customFormat="1" ht="26.25" thickBot="1">
      <c r="A87" s="1358"/>
      <c r="B87" s="221"/>
      <c r="C87" s="746">
        <v>45206719</v>
      </c>
      <c r="D87" s="225" t="s">
        <v>3820</v>
      </c>
      <c r="E87" s="224">
        <v>3000</v>
      </c>
      <c r="F87" s="13">
        <f t="shared" si="16"/>
        <v>1650.0000000000002</v>
      </c>
      <c r="G87" s="17">
        <f t="shared" si="17"/>
        <v>0</v>
      </c>
      <c r="H87" s="15">
        <f t="shared" si="12"/>
        <v>51.760500000000008</v>
      </c>
      <c r="I87" s="15">
        <f t="shared" si="18"/>
        <v>0</v>
      </c>
      <c r="J87" s="15">
        <f t="shared" si="25"/>
        <v>45.210000000000008</v>
      </c>
      <c r="K87" s="15">
        <f t="shared" si="21"/>
        <v>0</v>
      </c>
      <c r="L87" s="15">
        <f t="shared" si="24"/>
        <v>37.620000000000005</v>
      </c>
      <c r="M87" s="15">
        <f t="shared" si="19"/>
        <v>0</v>
      </c>
      <c r="N87" s="15">
        <f t="shared" si="15"/>
        <v>33.660000000000004</v>
      </c>
      <c r="O87" s="15">
        <f t="shared" si="20"/>
        <v>0</v>
      </c>
      <c r="P87" s="15">
        <f t="shared" si="22"/>
        <v>0.95756925000000004</v>
      </c>
      <c r="Q87" s="18">
        <f t="shared" si="23"/>
        <v>0</v>
      </c>
      <c r="R87" s="220"/>
      <c r="S87" s="220"/>
    </row>
    <row r="88" spans="1:19" s="219" customFormat="1" ht="13.5" thickBot="1">
      <c r="A88" s="1358"/>
      <c r="B88" s="221"/>
      <c r="C88" s="237">
        <v>100000006365</v>
      </c>
      <c r="D88" s="235" t="s">
        <v>4199</v>
      </c>
      <c r="E88" s="231">
        <v>899</v>
      </c>
      <c r="F88" s="13">
        <f t="shared" si="16"/>
        <v>494.45000000000005</v>
      </c>
      <c r="G88" s="17">
        <f t="shared" si="17"/>
        <v>0</v>
      </c>
      <c r="H88" s="15">
        <f t="shared" si="12"/>
        <v>15.510896500000003</v>
      </c>
      <c r="I88" s="15">
        <f t="shared" si="18"/>
        <v>0</v>
      </c>
      <c r="J88" s="15">
        <f t="shared" si="25"/>
        <v>13.547930000000001</v>
      </c>
      <c r="K88" s="15">
        <f t="shared" si="21"/>
        <v>0</v>
      </c>
      <c r="L88" s="15">
        <f t="shared" si="24"/>
        <v>11.273460000000002</v>
      </c>
      <c r="M88" s="15">
        <f t="shared" si="19"/>
        <v>0</v>
      </c>
      <c r="N88" s="15">
        <f t="shared" si="15"/>
        <v>10.086780000000001</v>
      </c>
      <c r="O88" s="15">
        <f t="shared" si="20"/>
        <v>0</v>
      </c>
      <c r="P88" s="15">
        <f t="shared" si="22"/>
        <v>0.28695158525000003</v>
      </c>
      <c r="Q88" s="18">
        <f t="shared" si="23"/>
        <v>0</v>
      </c>
      <c r="R88" s="220"/>
      <c r="S88" s="220"/>
    </row>
    <row r="89" spans="1:19" s="219" customFormat="1" ht="13.5" thickBot="1">
      <c r="A89" s="1358"/>
      <c r="B89" s="221"/>
      <c r="C89" s="237">
        <v>45112781</v>
      </c>
      <c r="D89" s="235" t="s">
        <v>3979</v>
      </c>
      <c r="E89" s="231">
        <v>5394</v>
      </c>
      <c r="F89" s="13">
        <f t="shared" si="16"/>
        <v>2966.7000000000003</v>
      </c>
      <c r="G89" s="17">
        <f t="shared" si="17"/>
        <v>0</v>
      </c>
      <c r="H89" s="15">
        <f t="shared" si="12"/>
        <v>93.065379000000021</v>
      </c>
      <c r="I89" s="15">
        <f t="shared" si="18"/>
        <v>0</v>
      </c>
      <c r="J89" s="15">
        <f t="shared" si="25"/>
        <v>81.287580000000005</v>
      </c>
      <c r="K89" s="15">
        <f t="shared" si="21"/>
        <v>0</v>
      </c>
      <c r="L89" s="15">
        <f t="shared" si="24"/>
        <v>67.640760000000014</v>
      </c>
      <c r="M89" s="15">
        <f t="shared" si="19"/>
        <v>0</v>
      </c>
      <c r="N89" s="15">
        <f t="shared" si="15"/>
        <v>60.520680000000013</v>
      </c>
      <c r="O89" s="15">
        <f t="shared" si="20"/>
        <v>0</v>
      </c>
      <c r="P89" s="15">
        <f t="shared" si="22"/>
        <v>1.7217095115000003</v>
      </c>
      <c r="Q89" s="18">
        <f t="shared" si="23"/>
        <v>0</v>
      </c>
      <c r="R89" s="220"/>
      <c r="S89" s="220"/>
    </row>
    <row r="90" spans="1:19" s="219" customFormat="1" ht="13.5" thickBot="1">
      <c r="A90" s="1358"/>
      <c r="B90" s="221"/>
      <c r="C90" s="237">
        <v>100000006366</v>
      </c>
      <c r="D90" s="235" t="s">
        <v>4200</v>
      </c>
      <c r="E90" s="231">
        <v>700</v>
      </c>
      <c r="F90" s="13">
        <f t="shared" si="16"/>
        <v>385.00000000000006</v>
      </c>
      <c r="G90" s="17">
        <f t="shared" si="17"/>
        <v>0</v>
      </c>
      <c r="H90" s="15">
        <f t="shared" si="12"/>
        <v>12.077450000000002</v>
      </c>
      <c r="I90" s="15">
        <f t="shared" si="18"/>
        <v>0</v>
      </c>
      <c r="J90" s="15">
        <f t="shared" si="25"/>
        <v>10.549000000000001</v>
      </c>
      <c r="K90" s="15">
        <f t="shared" si="21"/>
        <v>0</v>
      </c>
      <c r="L90" s="15">
        <f t="shared" si="24"/>
        <v>8.7780000000000022</v>
      </c>
      <c r="M90" s="15">
        <f t="shared" si="19"/>
        <v>0</v>
      </c>
      <c r="N90" s="15">
        <f t="shared" si="15"/>
        <v>7.8540000000000019</v>
      </c>
      <c r="O90" s="15">
        <f t="shared" si="20"/>
        <v>0</v>
      </c>
      <c r="P90" s="15">
        <f t="shared" si="22"/>
        <v>0.22343282500000003</v>
      </c>
      <c r="Q90" s="18">
        <f t="shared" si="23"/>
        <v>0</v>
      </c>
      <c r="R90" s="220"/>
      <c r="S90" s="220"/>
    </row>
    <row r="91" spans="1:19" s="219" customFormat="1" ht="13.5" thickBot="1">
      <c r="A91" s="1358"/>
      <c r="B91" s="221"/>
      <c r="C91" s="746">
        <v>45206722</v>
      </c>
      <c r="D91" s="225" t="s">
        <v>3882</v>
      </c>
      <c r="E91" s="224">
        <v>4200</v>
      </c>
      <c r="F91" s="13">
        <f t="shared" si="16"/>
        <v>2310</v>
      </c>
      <c r="G91" s="17">
        <f t="shared" si="17"/>
        <v>0</v>
      </c>
      <c r="H91" s="15">
        <f t="shared" si="12"/>
        <v>72.464700000000008</v>
      </c>
      <c r="I91" s="15">
        <f t="shared" si="18"/>
        <v>0</v>
      </c>
      <c r="J91" s="15">
        <f t="shared" si="25"/>
        <v>63.294000000000004</v>
      </c>
      <c r="K91" s="15">
        <f t="shared" si="21"/>
        <v>0</v>
      </c>
      <c r="L91" s="15">
        <f t="shared" si="24"/>
        <v>52.667999999999999</v>
      </c>
      <c r="M91" s="15">
        <f t="shared" si="19"/>
        <v>0</v>
      </c>
      <c r="N91" s="15">
        <f t="shared" si="15"/>
        <v>47.124000000000002</v>
      </c>
      <c r="O91" s="15">
        <f t="shared" si="20"/>
        <v>0</v>
      </c>
      <c r="P91" s="15">
        <f t="shared" si="22"/>
        <v>1.3405969500000001</v>
      </c>
      <c r="Q91" s="18">
        <f t="shared" si="23"/>
        <v>0</v>
      </c>
      <c r="R91" s="220"/>
      <c r="S91" s="220"/>
    </row>
    <row r="92" spans="1:19" s="219" customFormat="1" ht="13.5" thickBot="1">
      <c r="A92" s="1358"/>
      <c r="B92" s="221"/>
      <c r="C92" s="237">
        <v>100000006367</v>
      </c>
      <c r="D92" s="235" t="s">
        <v>4201</v>
      </c>
      <c r="E92" s="231">
        <v>1000</v>
      </c>
      <c r="F92" s="13">
        <f t="shared" si="16"/>
        <v>550</v>
      </c>
      <c r="G92" s="17">
        <f t="shared" si="17"/>
        <v>0</v>
      </c>
      <c r="H92" s="15">
        <f t="shared" si="12"/>
        <v>17.253500000000003</v>
      </c>
      <c r="I92" s="15">
        <f t="shared" si="18"/>
        <v>0</v>
      </c>
      <c r="J92" s="15">
        <f t="shared" si="25"/>
        <v>15.07</v>
      </c>
      <c r="K92" s="15">
        <f t="shared" si="21"/>
        <v>0</v>
      </c>
      <c r="L92" s="15">
        <f t="shared" si="24"/>
        <v>12.540000000000001</v>
      </c>
      <c r="M92" s="15">
        <f t="shared" si="19"/>
        <v>0</v>
      </c>
      <c r="N92" s="15">
        <f t="shared" si="15"/>
        <v>11.22</v>
      </c>
      <c r="O92" s="15">
        <f t="shared" si="20"/>
        <v>0</v>
      </c>
      <c r="P92" s="15">
        <f t="shared" si="22"/>
        <v>0.31918975000000005</v>
      </c>
      <c r="Q92" s="18">
        <f t="shared" si="23"/>
        <v>0</v>
      </c>
      <c r="R92" s="220"/>
      <c r="S92" s="220"/>
    </row>
    <row r="93" spans="1:19" s="219" customFormat="1" ht="26.25" thickBot="1">
      <c r="A93" s="1358"/>
      <c r="B93" s="221"/>
      <c r="C93" s="746">
        <v>45206725</v>
      </c>
      <c r="D93" s="225" t="s">
        <v>3883</v>
      </c>
      <c r="E93" s="224">
        <v>6000</v>
      </c>
      <c r="F93" s="13">
        <f t="shared" si="16"/>
        <v>3300.0000000000005</v>
      </c>
      <c r="G93" s="17">
        <f t="shared" si="17"/>
        <v>0</v>
      </c>
      <c r="H93" s="15">
        <f t="shared" si="12"/>
        <v>103.52100000000002</v>
      </c>
      <c r="I93" s="15">
        <f t="shared" si="18"/>
        <v>0</v>
      </c>
      <c r="J93" s="15">
        <f t="shared" si="25"/>
        <v>90.420000000000016</v>
      </c>
      <c r="K93" s="15">
        <f t="shared" si="21"/>
        <v>0</v>
      </c>
      <c r="L93" s="15">
        <f t="shared" si="24"/>
        <v>75.240000000000009</v>
      </c>
      <c r="M93" s="15">
        <f t="shared" si="19"/>
        <v>0</v>
      </c>
      <c r="N93" s="15">
        <f t="shared" si="15"/>
        <v>67.320000000000007</v>
      </c>
      <c r="O93" s="15">
        <f t="shared" si="20"/>
        <v>0</v>
      </c>
      <c r="P93" s="15">
        <f t="shared" si="22"/>
        <v>1.9151385000000001</v>
      </c>
      <c r="Q93" s="18">
        <f t="shared" si="23"/>
        <v>0</v>
      </c>
      <c r="R93" s="220"/>
      <c r="S93" s="220"/>
    </row>
    <row r="94" spans="1:19" s="219" customFormat="1" ht="13.5" thickBot="1">
      <c r="A94" s="1358"/>
      <c r="B94" s="221"/>
      <c r="C94" s="746" t="s">
        <v>3830</v>
      </c>
      <c r="D94" s="225" t="s">
        <v>4164</v>
      </c>
      <c r="E94" s="231">
        <v>5726</v>
      </c>
      <c r="F94" s="13">
        <f t="shared" si="16"/>
        <v>3149.3</v>
      </c>
      <c r="G94" s="17">
        <f t="shared" si="17"/>
        <v>0</v>
      </c>
      <c r="H94" s="15">
        <f t="shared" si="12"/>
        <v>98.793541000000019</v>
      </c>
      <c r="I94" s="15">
        <f t="shared" si="18"/>
        <v>0</v>
      </c>
      <c r="J94" s="15">
        <f t="shared" si="25"/>
        <v>86.290820000000011</v>
      </c>
      <c r="K94" s="15">
        <f t="shared" si="21"/>
        <v>0</v>
      </c>
      <c r="L94" s="15">
        <f t="shared" si="24"/>
        <v>71.804040000000001</v>
      </c>
      <c r="M94" s="15">
        <f t="shared" si="19"/>
        <v>0</v>
      </c>
      <c r="N94" s="15">
        <f t="shared" si="15"/>
        <v>64.245720000000006</v>
      </c>
      <c r="O94" s="15">
        <f t="shared" si="20"/>
        <v>0</v>
      </c>
      <c r="P94" s="15">
        <f t="shared" si="22"/>
        <v>1.8276805085000003</v>
      </c>
      <c r="Q94" s="18">
        <f t="shared" si="23"/>
        <v>0</v>
      </c>
      <c r="R94" s="220"/>
      <c r="S94" s="220"/>
    </row>
    <row r="95" spans="1:19" s="219" customFormat="1" ht="13.5" thickBot="1">
      <c r="A95" s="1358"/>
      <c r="B95" s="221"/>
      <c r="C95" s="237" t="s">
        <v>3738</v>
      </c>
      <c r="D95" s="235" t="s">
        <v>4168</v>
      </c>
      <c r="E95" s="231">
        <v>6497</v>
      </c>
      <c r="F95" s="13">
        <f t="shared" si="16"/>
        <v>3573.3500000000004</v>
      </c>
      <c r="G95" s="17">
        <f t="shared" si="17"/>
        <v>0</v>
      </c>
      <c r="H95" s="15">
        <f t="shared" si="12"/>
        <v>112.09598950000002</v>
      </c>
      <c r="I95" s="15">
        <f t="shared" si="18"/>
        <v>0</v>
      </c>
      <c r="J95" s="15">
        <f t="shared" si="25"/>
        <v>97.909790000000015</v>
      </c>
      <c r="K95" s="15">
        <f t="shared" si="21"/>
        <v>0</v>
      </c>
      <c r="L95" s="15">
        <f t="shared" si="24"/>
        <v>81.472380000000015</v>
      </c>
      <c r="M95" s="15">
        <f t="shared" si="19"/>
        <v>0</v>
      </c>
      <c r="N95" s="15">
        <f t="shared" si="15"/>
        <v>72.896340000000009</v>
      </c>
      <c r="O95" s="15">
        <f t="shared" si="20"/>
        <v>0</v>
      </c>
      <c r="P95" s="15">
        <f t="shared" si="22"/>
        <v>2.07377580575</v>
      </c>
      <c r="Q95" s="18">
        <f t="shared" si="23"/>
        <v>0</v>
      </c>
      <c r="R95" s="220"/>
      <c r="S95" s="220"/>
    </row>
    <row r="96" spans="1:19" s="219" customFormat="1" ht="26.25" thickBot="1">
      <c r="A96" s="1358"/>
      <c r="B96" s="221"/>
      <c r="C96" s="237">
        <v>45150368</v>
      </c>
      <c r="D96" s="235" t="s">
        <v>4202</v>
      </c>
      <c r="E96" s="231">
        <v>6370</v>
      </c>
      <c r="F96" s="13">
        <f t="shared" si="16"/>
        <v>3503.5000000000005</v>
      </c>
      <c r="G96" s="17">
        <f t="shared" si="17"/>
        <v>0</v>
      </c>
      <c r="H96" s="15">
        <f t="shared" si="12"/>
        <v>109.90479500000002</v>
      </c>
      <c r="I96" s="15">
        <f t="shared" si="18"/>
        <v>0</v>
      </c>
      <c r="J96" s="15">
        <f t="shared" si="25"/>
        <v>95.99590000000002</v>
      </c>
      <c r="K96" s="15">
        <f t="shared" si="21"/>
        <v>0</v>
      </c>
      <c r="L96" s="15">
        <f t="shared" si="24"/>
        <v>79.879800000000017</v>
      </c>
      <c r="M96" s="15">
        <f t="shared" si="19"/>
        <v>0</v>
      </c>
      <c r="N96" s="15">
        <f t="shared" si="15"/>
        <v>71.471400000000017</v>
      </c>
      <c r="O96" s="15">
        <f t="shared" si="20"/>
        <v>0</v>
      </c>
      <c r="P96" s="15">
        <f t="shared" si="22"/>
        <v>2.0332387075000002</v>
      </c>
      <c r="Q96" s="18">
        <f t="shared" si="23"/>
        <v>0</v>
      </c>
      <c r="R96" s="220"/>
      <c r="S96" s="220"/>
    </row>
    <row r="97" spans="1:19" s="219" customFormat="1" ht="13.5" thickBot="1">
      <c r="A97" s="1358"/>
      <c r="B97" s="221"/>
      <c r="C97" s="237" t="s">
        <v>4130</v>
      </c>
      <c r="D97" s="235" t="s">
        <v>4182</v>
      </c>
      <c r="E97" s="231">
        <v>22968.75</v>
      </c>
      <c r="F97" s="13">
        <f t="shared" si="16"/>
        <v>12632.812500000002</v>
      </c>
      <c r="G97" s="16">
        <f t="shared" si="17"/>
        <v>0</v>
      </c>
      <c r="H97" s="14">
        <f t="shared" si="12"/>
        <v>396.29132812500006</v>
      </c>
      <c r="I97" s="15">
        <f t="shared" si="18"/>
        <v>0</v>
      </c>
      <c r="J97" s="15">
        <f t="shared" si="25"/>
        <v>346.13906250000008</v>
      </c>
      <c r="K97" s="15">
        <f t="shared" si="21"/>
        <v>0</v>
      </c>
      <c r="L97" s="15">
        <f t="shared" si="24"/>
        <v>288.02812500000005</v>
      </c>
      <c r="M97" s="15">
        <f t="shared" si="19"/>
        <v>0</v>
      </c>
      <c r="N97" s="15">
        <f t="shared" si="15"/>
        <v>257.70937500000008</v>
      </c>
      <c r="O97" s="15">
        <f t="shared" si="20"/>
        <v>0</v>
      </c>
      <c r="P97" s="15">
        <f t="shared" si="22"/>
        <v>7.3313895703125009</v>
      </c>
      <c r="Q97" s="18">
        <f t="shared" si="23"/>
        <v>0</v>
      </c>
      <c r="R97" s="220"/>
      <c r="S97" s="220"/>
    </row>
    <row r="98" spans="1:19" s="219" customFormat="1" ht="13.5" thickBot="1">
      <c r="A98" s="1358"/>
      <c r="B98" s="221"/>
      <c r="C98" s="744">
        <v>7723000</v>
      </c>
      <c r="D98" s="223" t="s">
        <v>782</v>
      </c>
      <c r="E98" s="224">
        <v>47440.18</v>
      </c>
      <c r="F98" s="13">
        <f t="shared" si="16"/>
        <v>26092.099000000002</v>
      </c>
      <c r="G98" s="16">
        <f t="shared" si="17"/>
        <v>0</v>
      </c>
      <c r="H98" s="14">
        <f t="shared" si="12"/>
        <v>818.50914563000015</v>
      </c>
      <c r="I98" s="15">
        <f t="shared" si="18"/>
        <v>0</v>
      </c>
      <c r="J98" s="15">
        <f t="shared" si="25"/>
        <v>714.92351260000009</v>
      </c>
      <c r="K98" s="15">
        <f t="shared" si="21"/>
        <v>0</v>
      </c>
      <c r="L98" s="15">
        <f t="shared" si="24"/>
        <v>594.89985720000004</v>
      </c>
      <c r="M98" s="15">
        <f t="shared" si="19"/>
        <v>0</v>
      </c>
      <c r="N98" s="15">
        <f t="shared" si="15"/>
        <v>532.27881960000013</v>
      </c>
      <c r="O98" s="15">
        <f t="shared" si="20"/>
        <v>0</v>
      </c>
      <c r="P98" s="15">
        <f t="shared" si="22"/>
        <v>15.142419194155002</v>
      </c>
      <c r="Q98" s="18">
        <f t="shared" si="23"/>
        <v>0</v>
      </c>
      <c r="R98" s="220"/>
      <c r="S98" s="220"/>
    </row>
    <row r="99" spans="1:19" s="219" customFormat="1" ht="13.5" thickBot="1">
      <c r="A99" s="1358"/>
      <c r="B99" s="221"/>
      <c r="C99" s="237">
        <v>45150140</v>
      </c>
      <c r="D99" s="235" t="s">
        <v>3980</v>
      </c>
      <c r="E99" s="231">
        <v>1200</v>
      </c>
      <c r="F99" s="13">
        <f t="shared" si="16"/>
        <v>660</v>
      </c>
      <c r="G99" s="16">
        <f t="shared" si="17"/>
        <v>0</v>
      </c>
      <c r="H99" s="14">
        <f t="shared" si="12"/>
        <v>20.7042</v>
      </c>
      <c r="I99" s="15">
        <f t="shared" si="18"/>
        <v>0</v>
      </c>
      <c r="J99" s="15">
        <f t="shared" si="25"/>
        <v>18.084</v>
      </c>
      <c r="K99" s="15">
        <f t="shared" si="21"/>
        <v>0</v>
      </c>
      <c r="L99" s="15">
        <f t="shared" si="24"/>
        <v>15.048</v>
      </c>
      <c r="M99" s="15">
        <f t="shared" si="19"/>
        <v>0</v>
      </c>
      <c r="N99" s="15">
        <f t="shared" si="15"/>
        <v>13.464</v>
      </c>
      <c r="O99" s="15">
        <f t="shared" si="20"/>
        <v>0</v>
      </c>
      <c r="P99" s="15">
        <f t="shared" si="22"/>
        <v>0.38302769999999997</v>
      </c>
      <c r="Q99" s="18">
        <f t="shared" si="23"/>
        <v>0</v>
      </c>
      <c r="R99" s="220"/>
      <c r="S99" s="220"/>
    </row>
    <row r="100" spans="1:19" s="219" customFormat="1" ht="13.5" thickBot="1">
      <c r="A100" s="1358"/>
      <c r="B100" s="221"/>
      <c r="C100" s="746" t="s">
        <v>575</v>
      </c>
      <c r="D100" s="225" t="s">
        <v>3962</v>
      </c>
      <c r="E100" s="224">
        <v>11660</v>
      </c>
      <c r="F100" s="13">
        <f t="shared" si="16"/>
        <v>6413.0000000000009</v>
      </c>
      <c r="G100" s="16">
        <f t="shared" si="17"/>
        <v>0</v>
      </c>
      <c r="H100" s="14">
        <f t="shared" si="12"/>
        <v>201.17581000000004</v>
      </c>
      <c r="I100" s="15">
        <f t="shared" si="18"/>
        <v>0</v>
      </c>
      <c r="J100" s="15">
        <f t="shared" si="25"/>
        <v>175.71620000000004</v>
      </c>
      <c r="K100" s="15">
        <f t="shared" si="21"/>
        <v>0</v>
      </c>
      <c r="L100" s="15">
        <f t="shared" si="24"/>
        <v>146.21640000000002</v>
      </c>
      <c r="M100" s="15">
        <f t="shared" si="19"/>
        <v>0</v>
      </c>
      <c r="N100" s="15">
        <f t="shared" si="15"/>
        <v>130.82520000000002</v>
      </c>
      <c r="O100" s="15">
        <f t="shared" si="20"/>
        <v>0</v>
      </c>
      <c r="P100" s="15">
        <f t="shared" si="22"/>
        <v>3.7217524850000006</v>
      </c>
      <c r="Q100" s="18">
        <f t="shared" si="23"/>
        <v>0</v>
      </c>
      <c r="R100" s="220"/>
      <c r="S100" s="220"/>
    </row>
    <row r="101" spans="1:19" s="219" customFormat="1" ht="13.5" thickBot="1">
      <c r="A101" s="1358"/>
      <c r="B101" s="221"/>
      <c r="C101" s="237" t="s">
        <v>576</v>
      </c>
      <c r="D101" s="235" t="s">
        <v>4183</v>
      </c>
      <c r="E101" s="231">
        <v>2566</v>
      </c>
      <c r="F101" s="13">
        <f t="shared" si="16"/>
        <v>1411.3000000000002</v>
      </c>
      <c r="G101" s="16">
        <f t="shared" si="17"/>
        <v>0</v>
      </c>
      <c r="H101" s="14">
        <f t="shared" ref="H101:H111" si="26">F101*0.03137</f>
        <v>44.272481000000006</v>
      </c>
      <c r="I101" s="15">
        <f t="shared" si="18"/>
        <v>0</v>
      </c>
      <c r="J101" s="15">
        <f t="shared" si="25"/>
        <v>38.669620000000009</v>
      </c>
      <c r="K101" s="15">
        <f t="shared" si="21"/>
        <v>0</v>
      </c>
      <c r="L101" s="15">
        <f t="shared" si="24"/>
        <v>32.177640000000004</v>
      </c>
      <c r="M101" s="15">
        <f t="shared" si="19"/>
        <v>0</v>
      </c>
      <c r="N101" s="15">
        <f t="shared" ref="N101:N111" si="27">F101*0.0204</f>
        <v>28.790520000000004</v>
      </c>
      <c r="O101" s="15">
        <f t="shared" si="20"/>
        <v>0</v>
      </c>
      <c r="P101" s="15">
        <f t="shared" si="22"/>
        <v>0.81904089850000006</v>
      </c>
      <c r="Q101" s="18">
        <f t="shared" si="23"/>
        <v>0</v>
      </c>
      <c r="R101" s="220"/>
      <c r="S101" s="220"/>
    </row>
    <row r="102" spans="1:19" s="219" customFormat="1" ht="13.5" thickBot="1">
      <c r="A102" s="1358"/>
      <c r="B102" s="221"/>
      <c r="C102" s="237" t="s">
        <v>267</v>
      </c>
      <c r="D102" s="235" t="s">
        <v>3850</v>
      </c>
      <c r="E102" s="231">
        <v>275</v>
      </c>
      <c r="F102" s="13">
        <f t="shared" si="16"/>
        <v>151.25</v>
      </c>
      <c r="G102" s="16">
        <f t="shared" si="17"/>
        <v>0</v>
      </c>
      <c r="H102" s="14">
        <f t="shared" si="26"/>
        <v>4.7447125000000003</v>
      </c>
      <c r="I102" s="15">
        <f t="shared" si="18"/>
        <v>0</v>
      </c>
      <c r="J102" s="15">
        <f t="shared" si="25"/>
        <v>4.1442500000000004</v>
      </c>
      <c r="K102" s="15">
        <f t="shared" si="21"/>
        <v>0</v>
      </c>
      <c r="L102" s="15">
        <f t="shared" si="24"/>
        <v>3.4485000000000001</v>
      </c>
      <c r="M102" s="15">
        <f t="shared" si="19"/>
        <v>0</v>
      </c>
      <c r="N102" s="15">
        <f t="shared" si="27"/>
        <v>3.0855000000000001</v>
      </c>
      <c r="O102" s="15">
        <f t="shared" si="20"/>
        <v>0</v>
      </c>
      <c r="P102" s="15">
        <f t="shared" si="22"/>
        <v>8.7777181250000003E-2</v>
      </c>
      <c r="Q102" s="18">
        <f t="shared" si="23"/>
        <v>0</v>
      </c>
      <c r="R102" s="220"/>
      <c r="S102" s="220"/>
    </row>
    <row r="103" spans="1:19" s="219" customFormat="1" ht="13.5" thickBot="1">
      <c r="A103" s="1358"/>
      <c r="B103" s="221"/>
      <c r="C103" s="237" t="s">
        <v>618</v>
      </c>
      <c r="D103" s="235" t="s">
        <v>3856</v>
      </c>
      <c r="E103" s="231">
        <v>1954</v>
      </c>
      <c r="F103" s="13">
        <f t="shared" si="16"/>
        <v>1074.7</v>
      </c>
      <c r="G103" s="16">
        <f t="shared" si="17"/>
        <v>0</v>
      </c>
      <c r="H103" s="14">
        <f t="shared" si="26"/>
        <v>33.713339000000005</v>
      </c>
      <c r="I103" s="15">
        <f t="shared" si="18"/>
        <v>0</v>
      </c>
      <c r="J103" s="15">
        <f t="shared" si="25"/>
        <v>29.44678</v>
      </c>
      <c r="K103" s="15">
        <f t="shared" si="21"/>
        <v>0</v>
      </c>
      <c r="L103" s="15">
        <f t="shared" si="24"/>
        <v>24.503160000000001</v>
      </c>
      <c r="M103" s="15">
        <f t="shared" si="19"/>
        <v>0</v>
      </c>
      <c r="N103" s="15">
        <f t="shared" si="27"/>
        <v>21.923880000000004</v>
      </c>
      <c r="O103" s="15">
        <f t="shared" si="20"/>
        <v>0</v>
      </c>
      <c r="P103" s="15">
        <f t="shared" si="22"/>
        <v>0.62369677150000002</v>
      </c>
      <c r="Q103" s="18">
        <f t="shared" si="23"/>
        <v>0</v>
      </c>
      <c r="R103" s="220"/>
      <c r="S103" s="220"/>
    </row>
    <row r="104" spans="1:19" s="219" customFormat="1" ht="13.5" thickBot="1">
      <c r="A104" s="1358"/>
      <c r="B104" s="221"/>
      <c r="C104" s="746" t="s">
        <v>4206</v>
      </c>
      <c r="D104" s="225" t="s">
        <v>4207</v>
      </c>
      <c r="E104" s="224">
        <v>5200</v>
      </c>
      <c r="F104" s="13">
        <f t="shared" ref="F104:F111" si="28">E104*(1-45%)</f>
        <v>2860.0000000000005</v>
      </c>
      <c r="G104" s="16">
        <f t="shared" ref="G104:G111" si="29">F104*B104</f>
        <v>0</v>
      </c>
      <c r="H104" s="14">
        <f t="shared" si="26"/>
        <v>89.718200000000024</v>
      </c>
      <c r="I104" s="15">
        <f t="shared" ref="I104:I111" si="30">H104*B104</f>
        <v>0</v>
      </c>
      <c r="J104" s="15">
        <f t="shared" si="25"/>
        <v>78.364000000000019</v>
      </c>
      <c r="K104" s="15">
        <f t="shared" si="21"/>
        <v>0</v>
      </c>
      <c r="L104" s="15">
        <f t="shared" si="24"/>
        <v>65.208000000000013</v>
      </c>
      <c r="M104" s="15">
        <f t="shared" ref="M104:M111" si="31">L104*B104</f>
        <v>0</v>
      </c>
      <c r="N104" s="15">
        <f t="shared" si="27"/>
        <v>58.344000000000015</v>
      </c>
      <c r="O104" s="18">
        <f t="shared" ref="O104:O111" si="32">N104*B104</f>
        <v>0</v>
      </c>
      <c r="P104" s="15">
        <f t="shared" si="22"/>
        <v>1.6597867000000004</v>
      </c>
      <c r="Q104" s="18">
        <f t="shared" si="23"/>
        <v>0</v>
      </c>
      <c r="R104" s="220"/>
      <c r="S104" s="220"/>
    </row>
    <row r="105" spans="1:19" s="219" customFormat="1" ht="13.5" thickBot="1">
      <c r="A105" s="1358"/>
      <c r="B105" s="221"/>
      <c r="C105" s="746" t="s">
        <v>3766</v>
      </c>
      <c r="D105" s="225" t="s">
        <v>4214</v>
      </c>
      <c r="E105" s="224">
        <v>35280</v>
      </c>
      <c r="F105" s="13">
        <f t="shared" si="28"/>
        <v>19404</v>
      </c>
      <c r="G105" s="16">
        <f t="shared" si="29"/>
        <v>0</v>
      </c>
      <c r="H105" s="14">
        <f t="shared" si="26"/>
        <v>608.70348000000001</v>
      </c>
      <c r="I105" s="15">
        <f t="shared" si="30"/>
        <v>0</v>
      </c>
      <c r="J105" s="15">
        <f t="shared" si="25"/>
        <v>531.66960000000006</v>
      </c>
      <c r="K105" s="15">
        <f t="shared" si="21"/>
        <v>0</v>
      </c>
      <c r="L105" s="15">
        <f t="shared" si="24"/>
        <v>442.41120000000001</v>
      </c>
      <c r="M105" s="15">
        <f t="shared" si="31"/>
        <v>0</v>
      </c>
      <c r="N105" s="15">
        <f t="shared" si="27"/>
        <v>395.84160000000003</v>
      </c>
      <c r="O105" s="18">
        <f t="shared" si="32"/>
        <v>0</v>
      </c>
      <c r="P105" s="15">
        <f t="shared" si="22"/>
        <v>11.261014379999999</v>
      </c>
      <c r="Q105" s="18">
        <f t="shared" si="23"/>
        <v>0</v>
      </c>
      <c r="R105" s="220"/>
      <c r="S105" s="220"/>
    </row>
    <row r="106" spans="1:19" s="219" customFormat="1" ht="13.5" thickBot="1">
      <c r="A106" s="1358"/>
      <c r="B106" s="221"/>
      <c r="C106" s="746" t="s">
        <v>4204</v>
      </c>
      <c r="D106" s="225" t="s">
        <v>4205</v>
      </c>
      <c r="E106" s="224">
        <v>5200</v>
      </c>
      <c r="F106" s="13">
        <f t="shared" si="28"/>
        <v>2860.0000000000005</v>
      </c>
      <c r="G106" s="16">
        <f t="shared" si="29"/>
        <v>0</v>
      </c>
      <c r="H106" s="14">
        <f t="shared" si="26"/>
        <v>89.718200000000024</v>
      </c>
      <c r="I106" s="15">
        <f t="shared" si="30"/>
        <v>0</v>
      </c>
      <c r="J106" s="15">
        <f t="shared" si="25"/>
        <v>78.364000000000019</v>
      </c>
      <c r="K106" s="15">
        <f t="shared" si="21"/>
        <v>0</v>
      </c>
      <c r="L106" s="15">
        <f t="shared" si="24"/>
        <v>65.208000000000013</v>
      </c>
      <c r="M106" s="15">
        <f t="shared" si="31"/>
        <v>0</v>
      </c>
      <c r="N106" s="15">
        <f t="shared" si="27"/>
        <v>58.344000000000015</v>
      </c>
      <c r="O106" s="18">
        <f t="shared" si="32"/>
        <v>0</v>
      </c>
      <c r="P106" s="15">
        <f t="shared" si="22"/>
        <v>1.6597867000000004</v>
      </c>
      <c r="Q106" s="18">
        <f t="shared" si="23"/>
        <v>0</v>
      </c>
      <c r="R106" s="220"/>
      <c r="S106" s="220"/>
    </row>
    <row r="107" spans="1:19" s="219" customFormat="1" ht="13.5" thickBot="1">
      <c r="A107" s="1358"/>
      <c r="B107" s="221"/>
      <c r="C107" s="746" t="s">
        <v>4208</v>
      </c>
      <c r="D107" s="225" t="s">
        <v>4209</v>
      </c>
      <c r="E107" s="224">
        <v>5200</v>
      </c>
      <c r="F107" s="13">
        <f t="shared" si="28"/>
        <v>2860.0000000000005</v>
      </c>
      <c r="G107" s="16">
        <f t="shared" si="29"/>
        <v>0</v>
      </c>
      <c r="H107" s="14">
        <f t="shared" si="26"/>
        <v>89.718200000000024</v>
      </c>
      <c r="I107" s="15">
        <f t="shared" si="30"/>
        <v>0</v>
      </c>
      <c r="J107" s="15">
        <f t="shared" si="25"/>
        <v>78.364000000000019</v>
      </c>
      <c r="K107" s="15">
        <f t="shared" si="21"/>
        <v>0</v>
      </c>
      <c r="L107" s="15">
        <f t="shared" si="24"/>
        <v>65.208000000000013</v>
      </c>
      <c r="M107" s="15">
        <f t="shared" si="31"/>
        <v>0</v>
      </c>
      <c r="N107" s="15">
        <f t="shared" si="27"/>
        <v>58.344000000000015</v>
      </c>
      <c r="O107" s="18">
        <f t="shared" si="32"/>
        <v>0</v>
      </c>
      <c r="P107" s="15">
        <f t="shared" si="22"/>
        <v>1.6597867000000004</v>
      </c>
      <c r="Q107" s="18">
        <f t="shared" si="23"/>
        <v>0</v>
      </c>
      <c r="R107" s="220"/>
      <c r="S107" s="220"/>
    </row>
    <row r="108" spans="1:19" s="219" customFormat="1" ht="13.5" thickBot="1">
      <c r="A108" s="1358"/>
      <c r="B108" s="221"/>
      <c r="C108" s="746" t="s">
        <v>4210</v>
      </c>
      <c r="D108" s="225" t="s">
        <v>4211</v>
      </c>
      <c r="E108" s="224">
        <v>9995</v>
      </c>
      <c r="F108" s="13">
        <f t="shared" si="28"/>
        <v>5497.25</v>
      </c>
      <c r="G108" s="16">
        <f t="shared" si="29"/>
        <v>0</v>
      </c>
      <c r="H108" s="14">
        <f t="shared" si="26"/>
        <v>172.44873250000001</v>
      </c>
      <c r="I108" s="15">
        <f t="shared" si="30"/>
        <v>0</v>
      </c>
      <c r="J108" s="15">
        <f t="shared" si="25"/>
        <v>150.62465</v>
      </c>
      <c r="K108" s="15">
        <f t="shared" si="21"/>
        <v>0</v>
      </c>
      <c r="L108" s="15">
        <f t="shared" si="24"/>
        <v>125.3373</v>
      </c>
      <c r="M108" s="15">
        <f t="shared" si="31"/>
        <v>0</v>
      </c>
      <c r="N108" s="15">
        <f t="shared" si="27"/>
        <v>112.1439</v>
      </c>
      <c r="O108" s="18">
        <f t="shared" si="32"/>
        <v>0</v>
      </c>
      <c r="P108" s="15">
        <f t="shared" si="22"/>
        <v>3.1903015512500001</v>
      </c>
      <c r="Q108" s="18">
        <f t="shared" si="23"/>
        <v>0</v>
      </c>
      <c r="R108" s="220"/>
      <c r="S108" s="220"/>
    </row>
    <row r="109" spans="1:19" s="219" customFormat="1" ht="13.5" thickBot="1">
      <c r="A109" s="1358"/>
      <c r="B109" s="221"/>
      <c r="C109" s="746" t="s">
        <v>4197</v>
      </c>
      <c r="D109" s="225" t="s">
        <v>4198</v>
      </c>
      <c r="E109" s="224">
        <v>32016.6</v>
      </c>
      <c r="F109" s="13">
        <f t="shared" si="28"/>
        <v>17609.13</v>
      </c>
      <c r="G109" s="16">
        <f t="shared" si="29"/>
        <v>0</v>
      </c>
      <c r="H109" s="14">
        <f t="shared" si="26"/>
        <v>552.3984081000001</v>
      </c>
      <c r="I109" s="15">
        <f t="shared" si="30"/>
        <v>0</v>
      </c>
      <c r="J109" s="15">
        <f t="shared" si="25"/>
        <v>482.49016200000005</v>
      </c>
      <c r="K109" s="15">
        <f>J109*B109</f>
        <v>0</v>
      </c>
      <c r="L109" s="15">
        <f t="shared" si="24"/>
        <v>401.48816400000004</v>
      </c>
      <c r="M109" s="15">
        <f t="shared" si="31"/>
        <v>0</v>
      </c>
      <c r="N109" s="15">
        <f t="shared" si="27"/>
        <v>359.22625200000004</v>
      </c>
      <c r="O109" s="18">
        <f t="shared" si="32"/>
        <v>0</v>
      </c>
      <c r="P109" s="15">
        <f t="shared" si="22"/>
        <v>10.219370549850002</v>
      </c>
      <c r="Q109" s="18">
        <f t="shared" si="23"/>
        <v>0</v>
      </c>
      <c r="R109" s="220"/>
      <c r="S109" s="220"/>
    </row>
    <row r="110" spans="1:19" s="219" customFormat="1" ht="26.25" thickBot="1">
      <c r="A110" s="1358"/>
      <c r="B110" s="221"/>
      <c r="C110" s="746" t="s">
        <v>4215</v>
      </c>
      <c r="D110" s="225" t="s">
        <v>4216</v>
      </c>
      <c r="E110" s="224">
        <v>83058</v>
      </c>
      <c r="F110" s="13">
        <f t="shared" si="28"/>
        <v>45681.9</v>
      </c>
      <c r="G110" s="17">
        <f t="shared" si="29"/>
        <v>0</v>
      </c>
      <c r="H110" s="15">
        <f t="shared" si="26"/>
        <v>1433.0412030000002</v>
      </c>
      <c r="I110" s="15">
        <f t="shared" si="30"/>
        <v>0</v>
      </c>
      <c r="J110" s="15">
        <f t="shared" si="25"/>
        <v>1251.68406</v>
      </c>
      <c r="K110" s="15">
        <f>J110*B110</f>
        <v>0</v>
      </c>
      <c r="L110" s="15">
        <f t="shared" si="24"/>
        <v>1041.5473200000001</v>
      </c>
      <c r="M110" s="15">
        <f t="shared" si="31"/>
        <v>0</v>
      </c>
      <c r="N110" s="15">
        <f t="shared" si="27"/>
        <v>931.9107600000001</v>
      </c>
      <c r="O110" s="18">
        <f t="shared" si="32"/>
        <v>0</v>
      </c>
      <c r="P110" s="15">
        <f t="shared" si="22"/>
        <v>26.511262255500004</v>
      </c>
      <c r="Q110" s="18">
        <f t="shared" si="23"/>
        <v>0</v>
      </c>
      <c r="R110" s="220"/>
      <c r="S110" s="220"/>
    </row>
    <row r="111" spans="1:19" s="219" customFormat="1" ht="26.25" thickBot="1">
      <c r="A111" s="1358"/>
      <c r="B111" s="221"/>
      <c r="C111" s="746" t="s">
        <v>3909</v>
      </c>
      <c r="D111" s="225" t="s">
        <v>4212</v>
      </c>
      <c r="E111" s="224">
        <v>6900</v>
      </c>
      <c r="F111" s="13">
        <f t="shared" si="28"/>
        <v>3795.0000000000005</v>
      </c>
      <c r="G111" s="16">
        <f t="shared" si="29"/>
        <v>0</v>
      </c>
      <c r="H111" s="14">
        <f t="shared" si="26"/>
        <v>119.04915000000003</v>
      </c>
      <c r="I111" s="15">
        <f t="shared" si="30"/>
        <v>0</v>
      </c>
      <c r="J111" s="15">
        <f t="shared" si="25"/>
        <v>103.98300000000002</v>
      </c>
      <c r="K111" s="15">
        <f>J111*B111</f>
        <v>0</v>
      </c>
      <c r="L111" s="15">
        <f t="shared" si="24"/>
        <v>86.52600000000001</v>
      </c>
      <c r="M111" s="15">
        <f t="shared" si="31"/>
        <v>0</v>
      </c>
      <c r="N111" s="15">
        <f t="shared" si="27"/>
        <v>77.418000000000021</v>
      </c>
      <c r="O111" s="18">
        <f t="shared" si="32"/>
        <v>0</v>
      </c>
      <c r="P111" s="15">
        <f t="shared" si="22"/>
        <v>2.2024092750000004</v>
      </c>
      <c r="Q111" s="18">
        <f t="shared" si="23"/>
        <v>0</v>
      </c>
      <c r="R111" s="220"/>
      <c r="S111" s="220"/>
    </row>
    <row r="112" spans="1:19" s="233" customFormat="1" ht="13.5" thickBot="1">
      <c r="A112" s="1358"/>
      <c r="B112" s="229"/>
      <c r="C112" s="746" t="s">
        <v>3832</v>
      </c>
      <c r="D112" s="225" t="s">
        <v>4110</v>
      </c>
      <c r="E112" s="224">
        <v>1716</v>
      </c>
      <c r="F112" s="79">
        <f t="shared" si="16"/>
        <v>943.80000000000007</v>
      </c>
      <c r="G112" s="80">
        <f t="shared" si="17"/>
        <v>0</v>
      </c>
      <c r="H112" s="79">
        <f t="shared" si="12"/>
        <v>29.607006000000005</v>
      </c>
      <c r="I112" s="18">
        <f t="shared" si="18"/>
        <v>0</v>
      </c>
      <c r="J112" s="18">
        <f t="shared" si="13"/>
        <v>25.860120000000002</v>
      </c>
      <c r="K112" s="18">
        <f t="shared" si="21"/>
        <v>0</v>
      </c>
      <c r="L112" s="18">
        <f t="shared" si="14"/>
        <v>21.518640000000001</v>
      </c>
      <c r="M112" s="18">
        <f t="shared" si="19"/>
        <v>0</v>
      </c>
      <c r="N112" s="18">
        <f t="shared" si="15"/>
        <v>19.253520000000002</v>
      </c>
      <c r="O112" s="18">
        <f t="shared" si="20"/>
        <v>0</v>
      </c>
      <c r="P112" s="18">
        <f t="shared" si="10"/>
        <v>0.54772961100000006</v>
      </c>
      <c r="Q112" s="18">
        <f t="shared" si="11"/>
        <v>0</v>
      </c>
      <c r="R112" s="232"/>
      <c r="S112" s="232"/>
    </row>
    <row r="113" spans="1:19" s="233" customFormat="1" ht="13.5" thickBot="1">
      <c r="A113" s="1358"/>
      <c r="B113" s="229"/>
      <c r="C113" s="746" t="s">
        <v>577</v>
      </c>
      <c r="D113" s="225" t="s">
        <v>3960</v>
      </c>
      <c r="E113" s="231">
        <v>19800</v>
      </c>
      <c r="F113" s="79">
        <f t="shared" si="16"/>
        <v>10890</v>
      </c>
      <c r="G113" s="80">
        <f t="shared" si="17"/>
        <v>0</v>
      </c>
      <c r="H113" s="79">
        <f t="shared" si="12"/>
        <v>341.61930000000001</v>
      </c>
      <c r="I113" s="18">
        <f t="shared" si="18"/>
        <v>0</v>
      </c>
      <c r="J113" s="18">
        <f t="shared" si="13"/>
        <v>298.38600000000002</v>
      </c>
      <c r="K113" s="18">
        <f t="shared" si="21"/>
        <v>0</v>
      </c>
      <c r="L113" s="18">
        <f t="shared" si="14"/>
        <v>248.292</v>
      </c>
      <c r="M113" s="18">
        <f t="shared" si="19"/>
        <v>0</v>
      </c>
      <c r="N113" s="18">
        <f t="shared" si="15"/>
        <v>222.15600000000001</v>
      </c>
      <c r="O113" s="18">
        <f t="shared" si="20"/>
        <v>0</v>
      </c>
      <c r="P113" s="18">
        <f t="shared" si="10"/>
        <v>6.3199570500000002</v>
      </c>
      <c r="Q113" s="18">
        <f t="shared" si="11"/>
        <v>0</v>
      </c>
      <c r="R113" s="232"/>
      <c r="S113" s="232"/>
    </row>
    <row r="114" spans="1:19" s="233" customFormat="1" ht="26.25" thickBot="1">
      <c r="A114" s="1358"/>
      <c r="B114" s="229"/>
      <c r="C114" s="746">
        <v>3000014327</v>
      </c>
      <c r="D114" s="225" t="s">
        <v>4196</v>
      </c>
      <c r="E114" s="224">
        <v>9950</v>
      </c>
      <c r="F114" s="79">
        <f t="shared" si="16"/>
        <v>5472.5</v>
      </c>
      <c r="G114" s="80">
        <f t="shared" si="17"/>
        <v>0</v>
      </c>
      <c r="H114" s="79">
        <f t="shared" si="12"/>
        <v>171.672325</v>
      </c>
      <c r="I114" s="18">
        <f t="shared" si="18"/>
        <v>0</v>
      </c>
      <c r="J114" s="18">
        <f t="shared" si="13"/>
        <v>149.94650000000001</v>
      </c>
      <c r="K114" s="18">
        <f t="shared" si="21"/>
        <v>0</v>
      </c>
      <c r="L114" s="18">
        <f t="shared" si="14"/>
        <v>124.77300000000001</v>
      </c>
      <c r="M114" s="18">
        <f t="shared" si="19"/>
        <v>0</v>
      </c>
      <c r="N114" s="18">
        <f t="shared" si="15"/>
        <v>111.63900000000001</v>
      </c>
      <c r="O114" s="18">
        <f t="shared" si="20"/>
        <v>0</v>
      </c>
      <c r="P114" s="18">
        <f t="shared" si="10"/>
        <v>3.1759380125000001</v>
      </c>
      <c r="Q114" s="18">
        <f t="shared" si="11"/>
        <v>0</v>
      </c>
      <c r="R114" s="232"/>
      <c r="S114" s="232"/>
    </row>
    <row r="115" spans="1:19" s="219" customFormat="1" ht="13.5" thickBot="1">
      <c r="A115" s="1358"/>
      <c r="B115" s="221"/>
      <c r="C115" s="237" t="s">
        <v>3746</v>
      </c>
      <c r="D115" s="235" t="s">
        <v>3971</v>
      </c>
      <c r="E115" s="231">
        <v>1232</v>
      </c>
      <c r="F115" s="13">
        <f t="shared" si="16"/>
        <v>677.6</v>
      </c>
      <c r="G115" s="16">
        <f t="shared" si="17"/>
        <v>0</v>
      </c>
      <c r="H115" s="14">
        <f t="shared" si="12"/>
        <v>21.256312000000001</v>
      </c>
      <c r="I115" s="15">
        <f t="shared" si="18"/>
        <v>0</v>
      </c>
      <c r="J115" s="15">
        <f t="shared" si="13"/>
        <v>18.566240000000001</v>
      </c>
      <c r="K115" s="15">
        <f t="shared" si="21"/>
        <v>0</v>
      </c>
      <c r="L115" s="15">
        <f t="shared" si="14"/>
        <v>15.449280000000002</v>
      </c>
      <c r="M115" s="15">
        <f t="shared" si="19"/>
        <v>0</v>
      </c>
      <c r="N115" s="15">
        <f t="shared" si="15"/>
        <v>13.823040000000001</v>
      </c>
      <c r="O115" s="18">
        <f t="shared" si="20"/>
        <v>0</v>
      </c>
      <c r="P115" s="15">
        <f t="shared" si="10"/>
        <v>0.39324177199999999</v>
      </c>
      <c r="Q115" s="18">
        <f t="shared" si="11"/>
        <v>0</v>
      </c>
      <c r="R115" s="220"/>
      <c r="S115" s="220"/>
    </row>
    <row r="116" spans="1:19" s="219" customFormat="1" ht="13.5" thickBot="1">
      <c r="A116" s="1358"/>
      <c r="B116" s="221"/>
      <c r="C116" s="237" t="s">
        <v>3742</v>
      </c>
      <c r="D116" s="235" t="s">
        <v>3967</v>
      </c>
      <c r="E116" s="231">
        <v>980</v>
      </c>
      <c r="F116" s="13">
        <f t="shared" si="16"/>
        <v>539</v>
      </c>
      <c r="G116" s="16">
        <f t="shared" si="17"/>
        <v>0</v>
      </c>
      <c r="H116" s="14">
        <f t="shared" si="12"/>
        <v>16.908430000000003</v>
      </c>
      <c r="I116" s="15">
        <f t="shared" si="18"/>
        <v>0</v>
      </c>
      <c r="J116" s="15">
        <f t="shared" si="13"/>
        <v>14.768600000000001</v>
      </c>
      <c r="K116" s="15">
        <f t="shared" si="21"/>
        <v>0</v>
      </c>
      <c r="L116" s="15">
        <f t="shared" si="14"/>
        <v>12.289200000000001</v>
      </c>
      <c r="M116" s="15">
        <f t="shared" si="19"/>
        <v>0</v>
      </c>
      <c r="N116" s="15">
        <f t="shared" si="15"/>
        <v>10.995600000000001</v>
      </c>
      <c r="O116" s="18">
        <f t="shared" si="20"/>
        <v>0</v>
      </c>
      <c r="P116" s="15">
        <f t="shared" si="10"/>
        <v>0.31280595500000002</v>
      </c>
      <c r="Q116" s="18">
        <f t="shared" si="11"/>
        <v>0</v>
      </c>
      <c r="R116" s="220"/>
      <c r="S116" s="220"/>
    </row>
    <row r="117" spans="1:19" s="219" customFormat="1" ht="13.5" thickBot="1">
      <c r="A117" s="1358"/>
      <c r="B117" s="221"/>
      <c r="C117" s="744" t="s">
        <v>799</v>
      </c>
      <c r="D117" s="223" t="s">
        <v>3843</v>
      </c>
      <c r="E117" s="224">
        <v>384.77</v>
      </c>
      <c r="F117" s="13">
        <f t="shared" si="16"/>
        <v>211.62350000000001</v>
      </c>
      <c r="G117" s="17">
        <f t="shared" si="17"/>
        <v>0</v>
      </c>
      <c r="H117" s="15">
        <f t="shared" si="12"/>
        <v>6.6386291950000009</v>
      </c>
      <c r="I117" s="15">
        <f t="shared" si="18"/>
        <v>0</v>
      </c>
      <c r="J117" s="15">
        <f t="shared" si="13"/>
        <v>5.7984838999999999</v>
      </c>
      <c r="K117" s="15">
        <f t="shared" si="21"/>
        <v>0</v>
      </c>
      <c r="L117" s="15">
        <f t="shared" si="14"/>
        <v>4.8250158000000001</v>
      </c>
      <c r="M117" s="15">
        <f t="shared" si="19"/>
        <v>0</v>
      </c>
      <c r="N117" s="15">
        <f t="shared" si="15"/>
        <v>4.3171194000000002</v>
      </c>
      <c r="O117" s="18">
        <f t="shared" si="20"/>
        <v>0</v>
      </c>
      <c r="P117" s="15">
        <f t="shared" si="10"/>
        <v>0.12281464010750001</v>
      </c>
      <c r="Q117" s="18">
        <f t="shared" si="11"/>
        <v>0</v>
      </c>
      <c r="R117" s="220"/>
      <c r="S117" s="220"/>
    </row>
    <row r="118" spans="1:19" s="219" customFormat="1" ht="13.5" thickBot="1">
      <c r="A118" s="1358"/>
      <c r="B118" s="221"/>
      <c r="C118" s="237" t="s">
        <v>3737</v>
      </c>
      <c r="D118" s="235" t="s">
        <v>3963</v>
      </c>
      <c r="E118" s="231">
        <v>23047</v>
      </c>
      <c r="F118" s="13">
        <f t="shared" ref="F118:F138" si="33">E118*(1-45%)</f>
        <v>12675.85</v>
      </c>
      <c r="G118" s="17">
        <f t="shared" ref="G118:G138" si="34">F118*B118</f>
        <v>0</v>
      </c>
      <c r="H118" s="15">
        <f t="shared" si="12"/>
        <v>397.64141450000005</v>
      </c>
      <c r="I118" s="15">
        <f t="shared" ref="I118:I138" si="35">H118*B118</f>
        <v>0</v>
      </c>
      <c r="J118" s="15">
        <f t="shared" si="13"/>
        <v>347.31829000000005</v>
      </c>
      <c r="K118" s="15">
        <f t="shared" ref="K118:K138" si="36">J118*B118</f>
        <v>0</v>
      </c>
      <c r="L118" s="15">
        <f t="shared" si="14"/>
        <v>289.00938000000002</v>
      </c>
      <c r="M118" s="15">
        <f t="shared" ref="M118:M138" si="37">L118*B118</f>
        <v>0</v>
      </c>
      <c r="N118" s="15">
        <f t="shared" si="15"/>
        <v>258.58734000000004</v>
      </c>
      <c r="O118" s="18">
        <f t="shared" ref="O118:O138" si="38">N118*B118</f>
        <v>0</v>
      </c>
      <c r="P118" s="15">
        <f t="shared" si="10"/>
        <v>7.356366168250001</v>
      </c>
      <c r="Q118" s="18">
        <f t="shared" si="11"/>
        <v>0</v>
      </c>
      <c r="R118" s="220"/>
      <c r="S118" s="220"/>
    </row>
    <row r="119" spans="1:19" s="219" customFormat="1" ht="13.5" thickBot="1">
      <c r="A119" s="1358"/>
      <c r="B119" s="221"/>
      <c r="C119" s="746" t="s">
        <v>4190</v>
      </c>
      <c r="D119" s="225" t="s">
        <v>4191</v>
      </c>
      <c r="E119" s="224">
        <v>4075</v>
      </c>
      <c r="F119" s="13">
        <f t="shared" si="33"/>
        <v>2241.25</v>
      </c>
      <c r="G119" s="17">
        <f t="shared" si="34"/>
        <v>0</v>
      </c>
      <c r="H119" s="15">
        <f t="shared" si="12"/>
        <v>70.308012500000004</v>
      </c>
      <c r="I119" s="15">
        <f t="shared" si="35"/>
        <v>0</v>
      </c>
      <c r="J119" s="15">
        <f t="shared" si="13"/>
        <v>61.410250000000005</v>
      </c>
      <c r="K119" s="15">
        <f t="shared" si="36"/>
        <v>0</v>
      </c>
      <c r="L119" s="15">
        <f t="shared" si="14"/>
        <v>51.100500000000004</v>
      </c>
      <c r="M119" s="15">
        <f t="shared" si="37"/>
        <v>0</v>
      </c>
      <c r="N119" s="15">
        <f t="shared" si="15"/>
        <v>45.721500000000006</v>
      </c>
      <c r="O119" s="15">
        <f t="shared" si="38"/>
        <v>0</v>
      </c>
      <c r="P119" s="15">
        <f t="shared" si="10"/>
        <v>1.3006982312499999</v>
      </c>
      <c r="Q119" s="18">
        <f t="shared" si="11"/>
        <v>0</v>
      </c>
      <c r="R119" s="220"/>
      <c r="S119" s="220"/>
    </row>
    <row r="120" spans="1:19" s="219" customFormat="1" ht="13.5" thickBot="1">
      <c r="A120" s="1358"/>
      <c r="B120" s="221"/>
      <c r="C120" s="746" t="s">
        <v>4192</v>
      </c>
      <c r="D120" s="225" t="s">
        <v>4193</v>
      </c>
      <c r="E120" s="224">
        <v>6292</v>
      </c>
      <c r="F120" s="13">
        <f t="shared" si="33"/>
        <v>3460.6000000000004</v>
      </c>
      <c r="G120" s="17">
        <f t="shared" si="34"/>
        <v>0</v>
      </c>
      <c r="H120" s="15">
        <f t="shared" si="12"/>
        <v>108.55902200000001</v>
      </c>
      <c r="I120" s="15">
        <f t="shared" si="35"/>
        <v>0</v>
      </c>
      <c r="J120" s="15">
        <f t="shared" si="13"/>
        <v>94.820440000000019</v>
      </c>
      <c r="K120" s="15">
        <f t="shared" si="36"/>
        <v>0</v>
      </c>
      <c r="L120" s="15">
        <f t="shared" si="14"/>
        <v>78.901680000000013</v>
      </c>
      <c r="M120" s="15">
        <f t="shared" si="37"/>
        <v>0</v>
      </c>
      <c r="N120" s="15">
        <f t="shared" si="15"/>
        <v>70.596240000000009</v>
      </c>
      <c r="O120" s="15">
        <f t="shared" si="38"/>
        <v>0</v>
      </c>
      <c r="P120" s="15">
        <f t="shared" si="10"/>
        <v>2.0083419070000001</v>
      </c>
      <c r="Q120" s="18">
        <f t="shared" si="11"/>
        <v>0</v>
      </c>
      <c r="R120" s="220"/>
      <c r="S120" s="220"/>
    </row>
    <row r="121" spans="1:19" s="219" customFormat="1" ht="13.5" thickBot="1">
      <c r="A121" s="1358"/>
      <c r="B121" s="221"/>
      <c r="C121" s="746" t="s">
        <v>4194</v>
      </c>
      <c r="D121" s="225" t="s">
        <v>4195</v>
      </c>
      <c r="E121" s="224">
        <v>2493</v>
      </c>
      <c r="F121" s="13">
        <f t="shared" si="33"/>
        <v>1371.15</v>
      </c>
      <c r="G121" s="17">
        <f t="shared" si="34"/>
        <v>0</v>
      </c>
      <c r="H121" s="15">
        <f t="shared" si="12"/>
        <v>43.012975500000003</v>
      </c>
      <c r="I121" s="15">
        <f t="shared" si="35"/>
        <v>0</v>
      </c>
      <c r="J121" s="15">
        <f t="shared" si="13"/>
        <v>37.569510000000001</v>
      </c>
      <c r="K121" s="15">
        <f t="shared" si="36"/>
        <v>0</v>
      </c>
      <c r="L121" s="15">
        <f t="shared" si="14"/>
        <v>31.262220000000003</v>
      </c>
      <c r="M121" s="15">
        <f t="shared" si="37"/>
        <v>0</v>
      </c>
      <c r="N121" s="15">
        <f t="shared" si="15"/>
        <v>27.971460000000004</v>
      </c>
      <c r="O121" s="15">
        <f t="shared" si="38"/>
        <v>0</v>
      </c>
      <c r="P121" s="15">
        <f t="shared" si="10"/>
        <v>0.79574004674999999</v>
      </c>
      <c r="Q121" s="18">
        <f t="shared" si="11"/>
        <v>0</v>
      </c>
      <c r="R121" s="220"/>
      <c r="S121" s="220"/>
    </row>
    <row r="122" spans="1:19" s="219" customFormat="1" ht="13.5" thickBot="1">
      <c r="A122" s="1358"/>
      <c r="B122" s="221"/>
      <c r="C122" s="746" t="s">
        <v>3752</v>
      </c>
      <c r="D122" s="225" t="s">
        <v>4188</v>
      </c>
      <c r="E122" s="224">
        <v>4685</v>
      </c>
      <c r="F122" s="13">
        <f t="shared" si="33"/>
        <v>2576.75</v>
      </c>
      <c r="G122" s="17">
        <f t="shared" si="34"/>
        <v>0</v>
      </c>
      <c r="H122" s="15">
        <f t="shared" si="12"/>
        <v>80.832647500000007</v>
      </c>
      <c r="I122" s="15">
        <f t="shared" si="35"/>
        <v>0</v>
      </c>
      <c r="J122" s="15">
        <f t="shared" si="13"/>
        <v>70.602950000000007</v>
      </c>
      <c r="K122" s="15">
        <f t="shared" si="36"/>
        <v>0</v>
      </c>
      <c r="L122" s="15">
        <f t="shared" si="14"/>
        <v>58.749900000000004</v>
      </c>
      <c r="M122" s="15">
        <f t="shared" si="37"/>
        <v>0</v>
      </c>
      <c r="N122" s="15">
        <f t="shared" si="15"/>
        <v>52.565700000000007</v>
      </c>
      <c r="O122" s="15">
        <f t="shared" si="38"/>
        <v>0</v>
      </c>
      <c r="P122" s="15">
        <f t="shared" si="10"/>
        <v>1.49540397875</v>
      </c>
      <c r="Q122" s="18">
        <f t="shared" si="11"/>
        <v>0</v>
      </c>
      <c r="R122" s="220"/>
      <c r="S122" s="220"/>
    </row>
    <row r="123" spans="1:19" s="219" customFormat="1" ht="13.5" thickBot="1">
      <c r="A123" s="1358"/>
      <c r="B123" s="221"/>
      <c r="C123" s="744" t="s">
        <v>56</v>
      </c>
      <c r="D123" s="223" t="s">
        <v>3848</v>
      </c>
      <c r="E123" s="224">
        <v>490</v>
      </c>
      <c r="F123" s="13">
        <f t="shared" si="33"/>
        <v>269.5</v>
      </c>
      <c r="G123" s="17">
        <f t="shared" si="34"/>
        <v>0</v>
      </c>
      <c r="H123" s="15">
        <f t="shared" si="12"/>
        <v>8.4542150000000014</v>
      </c>
      <c r="I123" s="15">
        <f t="shared" si="35"/>
        <v>0</v>
      </c>
      <c r="J123" s="15">
        <f t="shared" si="13"/>
        <v>7.3843000000000005</v>
      </c>
      <c r="K123" s="15">
        <f t="shared" si="36"/>
        <v>0</v>
      </c>
      <c r="L123" s="15">
        <f t="shared" si="14"/>
        <v>6.1446000000000005</v>
      </c>
      <c r="M123" s="15">
        <f t="shared" si="37"/>
        <v>0</v>
      </c>
      <c r="N123" s="15">
        <f t="shared" si="15"/>
        <v>5.4978000000000007</v>
      </c>
      <c r="O123" s="15">
        <f t="shared" si="38"/>
        <v>0</v>
      </c>
      <c r="P123" s="15">
        <f t="shared" si="10"/>
        <v>0.15640297750000001</v>
      </c>
      <c r="Q123" s="18">
        <f t="shared" si="11"/>
        <v>0</v>
      </c>
      <c r="R123" s="220"/>
      <c r="S123" s="220"/>
    </row>
    <row r="124" spans="1:19" s="219" customFormat="1" ht="26.25" thickBot="1">
      <c r="A124" s="1358"/>
      <c r="B124" s="221"/>
      <c r="C124" s="746" t="s">
        <v>578</v>
      </c>
      <c r="D124" s="225" t="s">
        <v>3958</v>
      </c>
      <c r="E124" s="231">
        <v>1568</v>
      </c>
      <c r="F124" s="13">
        <f t="shared" si="33"/>
        <v>862.40000000000009</v>
      </c>
      <c r="G124" s="17">
        <f t="shared" si="34"/>
        <v>0</v>
      </c>
      <c r="H124" s="15">
        <f t="shared" si="12"/>
        <v>27.053488000000005</v>
      </c>
      <c r="I124" s="15">
        <f t="shared" si="35"/>
        <v>0</v>
      </c>
      <c r="J124" s="15">
        <f t="shared" si="13"/>
        <v>23.629760000000005</v>
      </c>
      <c r="K124" s="15">
        <f t="shared" si="36"/>
        <v>0</v>
      </c>
      <c r="L124" s="15">
        <f t="shared" si="14"/>
        <v>19.662720000000004</v>
      </c>
      <c r="M124" s="15">
        <f t="shared" si="37"/>
        <v>0</v>
      </c>
      <c r="N124" s="15">
        <f t="shared" si="15"/>
        <v>17.592960000000001</v>
      </c>
      <c r="O124" s="15">
        <f t="shared" si="38"/>
        <v>0</v>
      </c>
      <c r="P124" s="15">
        <f t="shared" si="10"/>
        <v>0.50048952800000002</v>
      </c>
      <c r="Q124" s="18">
        <f t="shared" si="11"/>
        <v>0</v>
      </c>
      <c r="R124" s="220"/>
      <c r="S124" s="220"/>
    </row>
    <row r="125" spans="1:19" s="219" customFormat="1" ht="13.5" thickBot="1">
      <c r="A125" s="1358"/>
      <c r="B125" s="221"/>
      <c r="C125" s="746" t="s">
        <v>546</v>
      </c>
      <c r="D125" s="225" t="s">
        <v>3862</v>
      </c>
      <c r="E125" s="224">
        <v>660</v>
      </c>
      <c r="F125" s="13">
        <f t="shared" si="33"/>
        <v>363.00000000000006</v>
      </c>
      <c r="G125" s="17">
        <f t="shared" si="34"/>
        <v>0</v>
      </c>
      <c r="H125" s="15">
        <f t="shared" si="12"/>
        <v>11.387310000000003</v>
      </c>
      <c r="I125" s="15">
        <f t="shared" si="35"/>
        <v>0</v>
      </c>
      <c r="J125" s="15">
        <f t="shared" si="13"/>
        <v>9.946200000000001</v>
      </c>
      <c r="K125" s="15">
        <f t="shared" si="36"/>
        <v>0</v>
      </c>
      <c r="L125" s="15">
        <f t="shared" si="14"/>
        <v>8.2764000000000024</v>
      </c>
      <c r="M125" s="15">
        <f t="shared" si="37"/>
        <v>0</v>
      </c>
      <c r="N125" s="15">
        <f t="shared" si="15"/>
        <v>7.4052000000000016</v>
      </c>
      <c r="O125" s="15">
        <f t="shared" si="38"/>
        <v>0</v>
      </c>
      <c r="P125" s="15">
        <f t="shared" si="10"/>
        <v>0.21066523500000003</v>
      </c>
      <c r="Q125" s="18">
        <f t="shared" si="11"/>
        <v>0</v>
      </c>
      <c r="R125" s="220"/>
      <c r="S125" s="220"/>
    </row>
    <row r="126" spans="1:19" s="219" customFormat="1" ht="13.5" thickBot="1">
      <c r="A126" s="1358"/>
      <c r="B126" s="221"/>
      <c r="C126" s="746" t="s">
        <v>3755</v>
      </c>
      <c r="D126" s="225" t="s">
        <v>3868</v>
      </c>
      <c r="E126" s="224">
        <v>539</v>
      </c>
      <c r="F126" s="13">
        <f t="shared" si="33"/>
        <v>296.45000000000005</v>
      </c>
      <c r="G126" s="17">
        <f t="shared" si="34"/>
        <v>0</v>
      </c>
      <c r="H126" s="15">
        <f t="shared" si="12"/>
        <v>9.2996365000000019</v>
      </c>
      <c r="I126" s="15">
        <f t="shared" si="35"/>
        <v>0</v>
      </c>
      <c r="J126" s="15">
        <f t="shared" si="13"/>
        <v>8.1227300000000007</v>
      </c>
      <c r="K126" s="15">
        <f t="shared" si="36"/>
        <v>0</v>
      </c>
      <c r="L126" s="15">
        <f t="shared" si="14"/>
        <v>6.7590600000000016</v>
      </c>
      <c r="M126" s="15">
        <f t="shared" si="37"/>
        <v>0</v>
      </c>
      <c r="N126" s="15">
        <f t="shared" si="15"/>
        <v>6.0475800000000017</v>
      </c>
      <c r="O126" s="15">
        <f t="shared" si="38"/>
        <v>0</v>
      </c>
      <c r="P126" s="15">
        <f t="shared" si="10"/>
        <v>0.17204327525000002</v>
      </c>
      <c r="Q126" s="18">
        <f t="shared" si="11"/>
        <v>0</v>
      </c>
      <c r="R126" s="220"/>
      <c r="S126" s="220"/>
    </row>
    <row r="127" spans="1:19" s="219" customFormat="1" ht="13.5" thickBot="1">
      <c r="A127" s="1358"/>
      <c r="B127" s="221"/>
      <c r="C127" s="746" t="s">
        <v>3756</v>
      </c>
      <c r="D127" s="225" t="s">
        <v>3869</v>
      </c>
      <c r="E127" s="224">
        <v>847</v>
      </c>
      <c r="F127" s="13">
        <f t="shared" si="33"/>
        <v>465.85</v>
      </c>
      <c r="G127" s="17">
        <f t="shared" si="34"/>
        <v>0</v>
      </c>
      <c r="H127" s="15">
        <f t="shared" si="12"/>
        <v>14.613714500000002</v>
      </c>
      <c r="I127" s="15">
        <f t="shared" si="35"/>
        <v>0</v>
      </c>
      <c r="J127" s="15">
        <f t="shared" si="13"/>
        <v>12.764290000000001</v>
      </c>
      <c r="K127" s="15">
        <f t="shared" si="36"/>
        <v>0</v>
      </c>
      <c r="L127" s="15">
        <f t="shared" si="14"/>
        <v>10.62138</v>
      </c>
      <c r="M127" s="15">
        <f t="shared" si="37"/>
        <v>0</v>
      </c>
      <c r="N127" s="15">
        <f t="shared" si="15"/>
        <v>9.5033400000000015</v>
      </c>
      <c r="O127" s="15">
        <f t="shared" si="38"/>
        <v>0</v>
      </c>
      <c r="P127" s="15">
        <f t="shared" si="10"/>
        <v>0.27035371825000004</v>
      </c>
      <c r="Q127" s="18">
        <f t="shared" si="11"/>
        <v>0</v>
      </c>
      <c r="R127" s="220"/>
      <c r="S127" s="220"/>
    </row>
    <row r="128" spans="1:19" s="219" customFormat="1" ht="13.5" thickBot="1">
      <c r="A128" s="1358"/>
      <c r="B128" s="221"/>
      <c r="C128" s="237" t="s">
        <v>3745</v>
      </c>
      <c r="D128" s="235" t="s">
        <v>3970</v>
      </c>
      <c r="E128" s="231">
        <v>4613</v>
      </c>
      <c r="F128" s="13">
        <f t="shared" si="33"/>
        <v>2537.15</v>
      </c>
      <c r="G128" s="17">
        <f t="shared" si="34"/>
        <v>0</v>
      </c>
      <c r="H128" s="15">
        <f t="shared" si="12"/>
        <v>79.590395500000014</v>
      </c>
      <c r="I128" s="15">
        <f t="shared" si="35"/>
        <v>0</v>
      </c>
      <c r="J128" s="15">
        <f t="shared" si="13"/>
        <v>69.517910000000001</v>
      </c>
      <c r="K128" s="15">
        <f t="shared" si="36"/>
        <v>0</v>
      </c>
      <c r="L128" s="15">
        <f t="shared" si="14"/>
        <v>57.847020000000008</v>
      </c>
      <c r="M128" s="15">
        <f t="shared" si="37"/>
        <v>0</v>
      </c>
      <c r="N128" s="15">
        <f t="shared" si="15"/>
        <v>51.757860000000008</v>
      </c>
      <c r="O128" s="15">
        <f t="shared" si="38"/>
        <v>0</v>
      </c>
      <c r="P128" s="15">
        <f t="shared" si="10"/>
        <v>1.4724223167500001</v>
      </c>
      <c r="Q128" s="18">
        <f t="shared" si="11"/>
        <v>0</v>
      </c>
      <c r="R128" s="220"/>
      <c r="S128" s="220"/>
    </row>
    <row r="129" spans="1:19" s="219" customFormat="1" ht="13.5" thickBot="1">
      <c r="A129" s="1358"/>
      <c r="B129" s="221"/>
      <c r="C129" s="746" t="s">
        <v>3903</v>
      </c>
      <c r="D129" s="225" t="s">
        <v>4173</v>
      </c>
      <c r="E129" s="224">
        <v>3693</v>
      </c>
      <c r="F129" s="13">
        <f t="shared" si="33"/>
        <v>2031.15</v>
      </c>
      <c r="G129" s="17">
        <f t="shared" si="34"/>
        <v>0</v>
      </c>
      <c r="H129" s="15">
        <f t="shared" si="12"/>
        <v>63.71717550000001</v>
      </c>
      <c r="I129" s="15">
        <f t="shared" si="35"/>
        <v>0</v>
      </c>
      <c r="J129" s="15">
        <f t="shared" si="13"/>
        <v>55.653510000000004</v>
      </c>
      <c r="K129" s="15">
        <f t="shared" si="36"/>
        <v>0</v>
      </c>
      <c r="L129" s="15">
        <f t="shared" si="14"/>
        <v>46.310220000000001</v>
      </c>
      <c r="M129" s="15">
        <f t="shared" si="37"/>
        <v>0</v>
      </c>
      <c r="N129" s="15">
        <f t="shared" si="15"/>
        <v>41.435460000000006</v>
      </c>
      <c r="O129" s="15">
        <f t="shared" si="38"/>
        <v>0</v>
      </c>
      <c r="P129" s="15">
        <f t="shared" si="10"/>
        <v>1.1787677467500002</v>
      </c>
      <c r="Q129" s="18">
        <f t="shared" si="11"/>
        <v>0</v>
      </c>
      <c r="R129" s="220"/>
      <c r="S129" s="220"/>
    </row>
    <row r="130" spans="1:19" s="219" customFormat="1" ht="13.5" thickBot="1">
      <c r="A130" s="1358"/>
      <c r="B130" s="221"/>
      <c r="C130" s="237">
        <v>45189980</v>
      </c>
      <c r="D130" s="235" t="s">
        <v>785</v>
      </c>
      <c r="E130" s="231">
        <v>5586</v>
      </c>
      <c r="F130" s="13">
        <f t="shared" si="33"/>
        <v>3072.3</v>
      </c>
      <c r="G130" s="16">
        <f t="shared" si="34"/>
        <v>0</v>
      </c>
      <c r="H130" s="14">
        <f t="shared" si="12"/>
        <v>96.378051000000013</v>
      </c>
      <c r="I130" s="15">
        <f t="shared" si="35"/>
        <v>0</v>
      </c>
      <c r="J130" s="15">
        <f t="shared" si="13"/>
        <v>84.181020000000004</v>
      </c>
      <c r="K130" s="15">
        <f t="shared" si="36"/>
        <v>0</v>
      </c>
      <c r="L130" s="15">
        <f t="shared" si="14"/>
        <v>70.048440000000014</v>
      </c>
      <c r="M130" s="15">
        <f t="shared" si="37"/>
        <v>0</v>
      </c>
      <c r="N130" s="15">
        <f t="shared" si="15"/>
        <v>62.674920000000007</v>
      </c>
      <c r="O130" s="15">
        <f t="shared" si="38"/>
        <v>0</v>
      </c>
      <c r="P130" s="15">
        <f t="shared" si="10"/>
        <v>1.7829939435000002</v>
      </c>
      <c r="Q130" s="18">
        <f t="shared" si="11"/>
        <v>0</v>
      </c>
      <c r="R130" s="220"/>
      <c r="S130" s="220"/>
    </row>
    <row r="131" spans="1:19" s="219" customFormat="1" ht="13.5" thickBot="1">
      <c r="A131" s="1358"/>
      <c r="B131" s="221"/>
      <c r="C131" s="237">
        <v>45162419</v>
      </c>
      <c r="D131" s="235" t="s">
        <v>786</v>
      </c>
      <c r="E131" s="231">
        <v>5362</v>
      </c>
      <c r="F131" s="13">
        <f t="shared" si="33"/>
        <v>2949.1000000000004</v>
      </c>
      <c r="G131" s="16">
        <f t="shared" si="34"/>
        <v>0</v>
      </c>
      <c r="H131" s="14">
        <f t="shared" si="12"/>
        <v>92.513267000000013</v>
      </c>
      <c r="I131" s="15">
        <f t="shared" si="35"/>
        <v>0</v>
      </c>
      <c r="J131" s="15">
        <f t="shared" si="13"/>
        <v>80.805340000000015</v>
      </c>
      <c r="K131" s="15">
        <f t="shared" si="36"/>
        <v>0</v>
      </c>
      <c r="L131" s="15">
        <f t="shared" si="14"/>
        <v>67.239480000000015</v>
      </c>
      <c r="M131" s="15">
        <f t="shared" si="37"/>
        <v>0</v>
      </c>
      <c r="N131" s="15">
        <f t="shared" si="15"/>
        <v>60.161640000000013</v>
      </c>
      <c r="O131" s="15">
        <f t="shared" si="38"/>
        <v>0</v>
      </c>
      <c r="P131" s="15">
        <f t="shared" si="10"/>
        <v>1.7114954395000002</v>
      </c>
      <c r="Q131" s="18">
        <f t="shared" si="11"/>
        <v>0</v>
      </c>
      <c r="R131" s="220"/>
      <c r="S131" s="220"/>
    </row>
    <row r="132" spans="1:19" s="219" customFormat="1" ht="13.5" thickBot="1">
      <c r="A132" s="1358"/>
      <c r="B132" s="221"/>
      <c r="C132" s="744" t="s">
        <v>4162</v>
      </c>
      <c r="D132" s="225" t="s">
        <v>3844</v>
      </c>
      <c r="E132" s="224">
        <v>1060</v>
      </c>
      <c r="F132" s="13">
        <f t="shared" si="33"/>
        <v>583</v>
      </c>
      <c r="G132" s="16">
        <f t="shared" si="34"/>
        <v>0</v>
      </c>
      <c r="H132" s="14">
        <f t="shared" si="12"/>
        <v>18.288710000000002</v>
      </c>
      <c r="I132" s="15">
        <f t="shared" si="35"/>
        <v>0</v>
      </c>
      <c r="J132" s="15">
        <f t="shared" si="13"/>
        <v>15.9742</v>
      </c>
      <c r="K132" s="15">
        <f t="shared" si="36"/>
        <v>0</v>
      </c>
      <c r="L132" s="15">
        <f t="shared" si="14"/>
        <v>13.292400000000001</v>
      </c>
      <c r="M132" s="15">
        <f t="shared" si="37"/>
        <v>0</v>
      </c>
      <c r="N132" s="15">
        <f t="shared" si="15"/>
        <v>11.8932</v>
      </c>
      <c r="O132" s="15">
        <f t="shared" si="38"/>
        <v>0</v>
      </c>
      <c r="P132" s="15">
        <f t="shared" si="10"/>
        <v>0.33834113500000002</v>
      </c>
      <c r="Q132" s="18">
        <f t="shared" si="11"/>
        <v>0</v>
      </c>
      <c r="R132" s="220"/>
      <c r="S132" s="220"/>
    </row>
    <row r="133" spans="1:19" s="219" customFormat="1" ht="13.5" thickBot="1">
      <c r="A133" s="1358"/>
      <c r="B133" s="221"/>
      <c r="C133" s="237" t="s">
        <v>3741</v>
      </c>
      <c r="D133" s="235" t="s">
        <v>3852</v>
      </c>
      <c r="E133" s="231">
        <v>4178</v>
      </c>
      <c r="F133" s="13">
        <f t="shared" si="33"/>
        <v>2297.9</v>
      </c>
      <c r="G133" s="16">
        <f t="shared" si="34"/>
        <v>0</v>
      </c>
      <c r="H133" s="14">
        <f t="shared" ref="H133:H167" si="39">F133*0.03137</f>
        <v>72.08512300000001</v>
      </c>
      <c r="I133" s="15">
        <f t="shared" si="35"/>
        <v>0</v>
      </c>
      <c r="J133" s="15">
        <f t="shared" ref="J133:J167" si="40">F133*0.0274</f>
        <v>62.962460000000007</v>
      </c>
      <c r="K133" s="15">
        <f t="shared" si="36"/>
        <v>0</v>
      </c>
      <c r="L133" s="15">
        <f t="shared" ref="L133:L167" si="41">F133*0.0228</f>
        <v>52.392120000000006</v>
      </c>
      <c r="M133" s="15">
        <f t="shared" si="37"/>
        <v>0</v>
      </c>
      <c r="N133" s="15">
        <f t="shared" ref="N133:N167" si="42">F133*0.0204</f>
        <v>46.877160000000003</v>
      </c>
      <c r="O133" s="15">
        <f t="shared" si="38"/>
        <v>0</v>
      </c>
      <c r="P133" s="15">
        <f t="shared" ref="P133:P167" si="43">H133*0.0185</f>
        <v>1.3335747755</v>
      </c>
      <c r="Q133" s="18">
        <f t="shared" si="11"/>
        <v>0</v>
      </c>
      <c r="R133" s="220"/>
      <c r="S133" s="220"/>
    </row>
    <row r="134" spans="1:19" s="219" customFormat="1" ht="13.5" thickBot="1">
      <c r="A134" s="1358"/>
      <c r="B134" s="221"/>
      <c r="C134" s="746" t="s">
        <v>3730</v>
      </c>
      <c r="D134" s="225" t="s">
        <v>3952</v>
      </c>
      <c r="E134" s="231">
        <v>49322</v>
      </c>
      <c r="F134" s="13">
        <f t="shared" si="33"/>
        <v>27127.100000000002</v>
      </c>
      <c r="G134" s="16">
        <f t="shared" si="34"/>
        <v>0</v>
      </c>
      <c r="H134" s="14">
        <f t="shared" si="39"/>
        <v>850.97712700000011</v>
      </c>
      <c r="I134" s="15">
        <f t="shared" si="35"/>
        <v>0</v>
      </c>
      <c r="J134" s="15">
        <f t="shared" si="40"/>
        <v>743.28254000000004</v>
      </c>
      <c r="K134" s="15">
        <f t="shared" si="36"/>
        <v>0</v>
      </c>
      <c r="L134" s="15">
        <f t="shared" si="41"/>
        <v>618.49788000000012</v>
      </c>
      <c r="M134" s="15">
        <f t="shared" si="37"/>
        <v>0</v>
      </c>
      <c r="N134" s="15">
        <f t="shared" si="42"/>
        <v>553.39284000000009</v>
      </c>
      <c r="O134" s="15">
        <f t="shared" si="38"/>
        <v>0</v>
      </c>
      <c r="P134" s="15">
        <f t="shared" si="43"/>
        <v>15.743076849500001</v>
      </c>
      <c r="Q134" s="18">
        <f t="shared" ref="Q134:Q167" si="44">P134*B134</f>
        <v>0</v>
      </c>
      <c r="R134" s="220"/>
      <c r="S134" s="220"/>
    </row>
    <row r="135" spans="1:19" s="219" customFormat="1" ht="13.5" thickBot="1">
      <c r="A135" s="1358"/>
      <c r="B135" s="221"/>
      <c r="C135" s="746" t="s">
        <v>3904</v>
      </c>
      <c r="D135" s="225" t="s">
        <v>4174</v>
      </c>
      <c r="E135" s="224">
        <v>6160</v>
      </c>
      <c r="F135" s="13">
        <f t="shared" si="33"/>
        <v>3388.0000000000005</v>
      </c>
      <c r="G135" s="16">
        <f t="shared" si="34"/>
        <v>0</v>
      </c>
      <c r="H135" s="14">
        <f t="shared" si="39"/>
        <v>106.28156000000003</v>
      </c>
      <c r="I135" s="15">
        <f t="shared" si="35"/>
        <v>0</v>
      </c>
      <c r="J135" s="15">
        <f t="shared" si="40"/>
        <v>92.83120000000001</v>
      </c>
      <c r="K135" s="15">
        <f t="shared" si="36"/>
        <v>0</v>
      </c>
      <c r="L135" s="15">
        <f t="shared" si="41"/>
        <v>77.246400000000008</v>
      </c>
      <c r="M135" s="15">
        <f t="shared" si="37"/>
        <v>0</v>
      </c>
      <c r="N135" s="15">
        <f t="shared" si="42"/>
        <v>69.115200000000016</v>
      </c>
      <c r="O135" s="15">
        <f t="shared" si="38"/>
        <v>0</v>
      </c>
      <c r="P135" s="15">
        <f t="shared" si="43"/>
        <v>1.9662088600000005</v>
      </c>
      <c r="Q135" s="18">
        <f t="shared" si="44"/>
        <v>0</v>
      </c>
      <c r="R135" s="220"/>
      <c r="S135" s="220"/>
    </row>
    <row r="136" spans="1:19" s="219" customFormat="1" ht="13.5" thickBot="1">
      <c r="A136" s="1358"/>
      <c r="B136" s="221"/>
      <c r="C136" s="746" t="s">
        <v>3905</v>
      </c>
      <c r="D136" s="225" t="s">
        <v>4175</v>
      </c>
      <c r="E136" s="224">
        <v>4312</v>
      </c>
      <c r="F136" s="13">
        <f t="shared" si="33"/>
        <v>2371.6000000000004</v>
      </c>
      <c r="G136" s="16">
        <f t="shared" si="34"/>
        <v>0</v>
      </c>
      <c r="H136" s="14">
        <f t="shared" si="39"/>
        <v>74.397092000000015</v>
      </c>
      <c r="I136" s="15">
        <f t="shared" si="35"/>
        <v>0</v>
      </c>
      <c r="J136" s="15">
        <f t="shared" si="40"/>
        <v>64.981840000000005</v>
      </c>
      <c r="K136" s="15">
        <f t="shared" si="36"/>
        <v>0</v>
      </c>
      <c r="L136" s="15">
        <f t="shared" si="41"/>
        <v>54.072480000000013</v>
      </c>
      <c r="M136" s="15">
        <f t="shared" si="37"/>
        <v>0</v>
      </c>
      <c r="N136" s="15">
        <f t="shared" si="42"/>
        <v>48.380640000000014</v>
      </c>
      <c r="O136" s="15">
        <f t="shared" si="38"/>
        <v>0</v>
      </c>
      <c r="P136" s="15">
        <f t="shared" si="43"/>
        <v>1.3763462020000001</v>
      </c>
      <c r="Q136" s="18">
        <f t="shared" si="44"/>
        <v>0</v>
      </c>
      <c r="R136" s="220"/>
      <c r="S136" s="220"/>
    </row>
    <row r="137" spans="1:19" s="219" customFormat="1" ht="13.5" thickBot="1">
      <c r="A137" s="1358"/>
      <c r="B137" s="221"/>
      <c r="C137" s="746" t="s">
        <v>3750</v>
      </c>
      <c r="D137" s="225" t="s">
        <v>4184</v>
      </c>
      <c r="E137" s="224">
        <v>12777</v>
      </c>
      <c r="F137" s="13">
        <f t="shared" si="33"/>
        <v>7027.35</v>
      </c>
      <c r="G137" s="16">
        <f t="shared" si="34"/>
        <v>0</v>
      </c>
      <c r="H137" s="14">
        <f t="shared" si="39"/>
        <v>220.44796950000003</v>
      </c>
      <c r="I137" s="15">
        <f t="shared" si="35"/>
        <v>0</v>
      </c>
      <c r="J137" s="15">
        <f t="shared" si="40"/>
        <v>192.54939000000002</v>
      </c>
      <c r="K137" s="15">
        <f t="shared" si="36"/>
        <v>0</v>
      </c>
      <c r="L137" s="15">
        <f t="shared" si="41"/>
        <v>160.22358000000003</v>
      </c>
      <c r="M137" s="15">
        <f t="shared" si="37"/>
        <v>0</v>
      </c>
      <c r="N137" s="15">
        <f t="shared" si="42"/>
        <v>143.35794000000001</v>
      </c>
      <c r="O137" s="15">
        <f t="shared" si="38"/>
        <v>0</v>
      </c>
      <c r="P137" s="15">
        <f t="shared" si="43"/>
        <v>4.0782874357500001</v>
      </c>
      <c r="Q137" s="18">
        <f t="shared" si="44"/>
        <v>0</v>
      </c>
      <c r="R137" s="220"/>
      <c r="S137" s="220"/>
    </row>
    <row r="138" spans="1:19" s="219" customFormat="1" ht="13.5" thickBot="1">
      <c r="A138" s="1358"/>
      <c r="B138" s="221"/>
      <c r="C138" s="746" t="s">
        <v>3751</v>
      </c>
      <c r="D138" s="225" t="s">
        <v>4185</v>
      </c>
      <c r="E138" s="224">
        <v>23056</v>
      </c>
      <c r="F138" s="13">
        <f t="shared" si="33"/>
        <v>12680.800000000001</v>
      </c>
      <c r="G138" s="16">
        <f t="shared" si="34"/>
        <v>0</v>
      </c>
      <c r="H138" s="14">
        <f t="shared" si="39"/>
        <v>397.79669600000005</v>
      </c>
      <c r="I138" s="15">
        <f t="shared" si="35"/>
        <v>0</v>
      </c>
      <c r="J138" s="15">
        <f t="shared" si="40"/>
        <v>347.45392000000004</v>
      </c>
      <c r="K138" s="15">
        <f t="shared" si="36"/>
        <v>0</v>
      </c>
      <c r="L138" s="15">
        <f t="shared" si="41"/>
        <v>289.12224000000003</v>
      </c>
      <c r="M138" s="15">
        <f t="shared" si="37"/>
        <v>0</v>
      </c>
      <c r="N138" s="15">
        <f t="shared" si="42"/>
        <v>258.68832000000003</v>
      </c>
      <c r="O138" s="15">
        <f t="shared" si="38"/>
        <v>0</v>
      </c>
      <c r="P138" s="15">
        <f t="shared" si="43"/>
        <v>7.3592388760000009</v>
      </c>
      <c r="Q138" s="18">
        <f t="shared" si="44"/>
        <v>0</v>
      </c>
      <c r="R138" s="220"/>
      <c r="S138" s="220"/>
    </row>
    <row r="139" spans="1:19" s="219" customFormat="1" ht="26.25" thickBot="1">
      <c r="A139" s="1358"/>
      <c r="B139" s="221"/>
      <c r="C139" s="746" t="s">
        <v>4186</v>
      </c>
      <c r="D139" s="225" t="s">
        <v>4187</v>
      </c>
      <c r="E139" s="224">
        <v>23188</v>
      </c>
      <c r="F139" s="13">
        <f t="shared" si="16"/>
        <v>12753.400000000001</v>
      </c>
      <c r="G139" s="17">
        <f t="shared" si="17"/>
        <v>0</v>
      </c>
      <c r="H139" s="15">
        <f t="shared" si="39"/>
        <v>400.07415800000007</v>
      </c>
      <c r="I139" s="15">
        <f t="shared" si="18"/>
        <v>0</v>
      </c>
      <c r="J139" s="15">
        <f t="shared" si="40"/>
        <v>349.44316000000003</v>
      </c>
      <c r="K139" s="15">
        <f t="shared" si="21"/>
        <v>0</v>
      </c>
      <c r="L139" s="15">
        <f t="shared" si="41"/>
        <v>290.77752000000004</v>
      </c>
      <c r="M139" s="15">
        <f t="shared" si="19"/>
        <v>0</v>
      </c>
      <c r="N139" s="15">
        <f t="shared" si="42"/>
        <v>260.16936000000004</v>
      </c>
      <c r="O139" s="18">
        <f t="shared" si="20"/>
        <v>0</v>
      </c>
      <c r="P139" s="15">
        <f t="shared" si="43"/>
        <v>7.401371923000001</v>
      </c>
      <c r="Q139" s="18">
        <f t="shared" si="44"/>
        <v>0</v>
      </c>
      <c r="R139" s="220"/>
      <c r="S139" s="220"/>
    </row>
    <row r="140" spans="1:19" s="219" customFormat="1" ht="13.5" thickBot="1">
      <c r="A140" s="1358"/>
      <c r="B140" s="221"/>
      <c r="C140" s="744" t="s">
        <v>158</v>
      </c>
      <c r="D140" s="225" t="s">
        <v>4163</v>
      </c>
      <c r="E140" s="224">
        <v>1225</v>
      </c>
      <c r="F140" s="13">
        <f t="shared" si="16"/>
        <v>673.75</v>
      </c>
      <c r="G140" s="17">
        <f t="shared" si="17"/>
        <v>0</v>
      </c>
      <c r="H140" s="15">
        <f t="shared" si="39"/>
        <v>21.135537500000002</v>
      </c>
      <c r="I140" s="15">
        <f t="shared" si="18"/>
        <v>0</v>
      </c>
      <c r="J140" s="15">
        <f t="shared" si="40"/>
        <v>18.460750000000001</v>
      </c>
      <c r="K140" s="15">
        <f t="shared" si="21"/>
        <v>0</v>
      </c>
      <c r="L140" s="15">
        <f t="shared" si="41"/>
        <v>15.361500000000001</v>
      </c>
      <c r="M140" s="15">
        <f t="shared" si="19"/>
        <v>0</v>
      </c>
      <c r="N140" s="15">
        <f t="shared" si="42"/>
        <v>13.7445</v>
      </c>
      <c r="O140" s="18">
        <f t="shared" si="20"/>
        <v>0</v>
      </c>
      <c r="P140" s="15">
        <f t="shared" si="43"/>
        <v>0.39100744375000002</v>
      </c>
      <c r="Q140" s="18">
        <f t="shared" si="44"/>
        <v>0</v>
      </c>
      <c r="R140" s="220"/>
      <c r="S140" s="220"/>
    </row>
    <row r="141" spans="1:19" s="219" customFormat="1" ht="13.5" thickBot="1">
      <c r="A141" s="1358"/>
      <c r="B141" s="221"/>
      <c r="C141" s="237" t="s">
        <v>3740</v>
      </c>
      <c r="D141" s="235" t="s">
        <v>3851</v>
      </c>
      <c r="E141" s="231">
        <v>919</v>
      </c>
      <c r="F141" s="13">
        <f t="shared" si="16"/>
        <v>505.45000000000005</v>
      </c>
      <c r="G141" s="17">
        <f t="shared" si="17"/>
        <v>0</v>
      </c>
      <c r="H141" s="15">
        <f t="shared" si="39"/>
        <v>15.855966500000003</v>
      </c>
      <c r="I141" s="15">
        <f t="shared" si="18"/>
        <v>0</v>
      </c>
      <c r="J141" s="15">
        <f t="shared" si="40"/>
        <v>13.849330000000002</v>
      </c>
      <c r="K141" s="15">
        <f t="shared" si="21"/>
        <v>0</v>
      </c>
      <c r="L141" s="15">
        <f t="shared" si="41"/>
        <v>11.524260000000002</v>
      </c>
      <c r="M141" s="15">
        <f t="shared" si="19"/>
        <v>0</v>
      </c>
      <c r="N141" s="15">
        <f t="shared" si="42"/>
        <v>10.311180000000002</v>
      </c>
      <c r="O141" s="15">
        <f t="shared" si="20"/>
        <v>0</v>
      </c>
      <c r="P141" s="15">
        <f t="shared" si="43"/>
        <v>0.29333538025000006</v>
      </c>
      <c r="Q141" s="18">
        <f t="shared" si="44"/>
        <v>0</v>
      </c>
      <c r="R141" s="220"/>
      <c r="S141" s="220"/>
    </row>
    <row r="142" spans="1:19" s="219" customFormat="1" ht="13.5" thickBot="1">
      <c r="A142" s="1358"/>
      <c r="B142" s="221"/>
      <c r="C142" s="746">
        <v>13307100</v>
      </c>
      <c r="D142" s="225" t="s">
        <v>4156</v>
      </c>
      <c r="E142" s="231">
        <v>27994.22</v>
      </c>
      <c r="F142" s="13">
        <f t="shared" si="16"/>
        <v>15396.821000000002</v>
      </c>
      <c r="G142" s="17">
        <f t="shared" si="17"/>
        <v>0</v>
      </c>
      <c r="H142" s="15">
        <f t="shared" si="39"/>
        <v>482.99827477000008</v>
      </c>
      <c r="I142" s="15">
        <f t="shared" si="18"/>
        <v>0</v>
      </c>
      <c r="J142" s="15">
        <f t="shared" si="40"/>
        <v>421.87289540000006</v>
      </c>
      <c r="K142" s="15">
        <f t="shared" si="21"/>
        <v>0</v>
      </c>
      <c r="L142" s="15">
        <f t="shared" si="41"/>
        <v>351.04751880000003</v>
      </c>
      <c r="M142" s="15">
        <f t="shared" si="19"/>
        <v>0</v>
      </c>
      <c r="N142" s="15">
        <f t="shared" si="42"/>
        <v>314.09514840000008</v>
      </c>
      <c r="O142" s="15">
        <f t="shared" si="20"/>
        <v>0</v>
      </c>
      <c r="P142" s="15">
        <f t="shared" si="43"/>
        <v>8.9354680832450004</v>
      </c>
      <c r="Q142" s="18">
        <f t="shared" si="44"/>
        <v>0</v>
      </c>
      <c r="R142" s="220"/>
      <c r="S142" s="220"/>
    </row>
    <row r="143" spans="1:19" s="219" customFormat="1" ht="13.5" thickBot="1">
      <c r="A143" s="1358"/>
      <c r="B143" s="221"/>
      <c r="C143" s="744">
        <v>13200002</v>
      </c>
      <c r="D143" s="223" t="s">
        <v>4154</v>
      </c>
      <c r="E143" s="224">
        <v>596.77</v>
      </c>
      <c r="F143" s="13">
        <f t="shared" si="16"/>
        <v>328.2235</v>
      </c>
      <c r="G143" s="17">
        <f t="shared" si="17"/>
        <v>0</v>
      </c>
      <c r="H143" s="15">
        <f t="shared" si="39"/>
        <v>10.296371195000001</v>
      </c>
      <c r="I143" s="15">
        <f t="shared" si="18"/>
        <v>0</v>
      </c>
      <c r="J143" s="15">
        <f t="shared" si="40"/>
        <v>8.9933239</v>
      </c>
      <c r="K143" s="15">
        <f t="shared" si="21"/>
        <v>0</v>
      </c>
      <c r="L143" s="15">
        <f t="shared" si="41"/>
        <v>7.4834958</v>
      </c>
      <c r="M143" s="15">
        <f t="shared" si="19"/>
        <v>0</v>
      </c>
      <c r="N143" s="15">
        <f t="shared" si="42"/>
        <v>6.6957594000000009</v>
      </c>
      <c r="O143" s="15">
        <f t="shared" si="20"/>
        <v>0</v>
      </c>
      <c r="P143" s="15">
        <f t="shared" si="43"/>
        <v>0.19048286710750001</v>
      </c>
      <c r="Q143" s="18">
        <f t="shared" si="44"/>
        <v>0</v>
      </c>
      <c r="R143" s="220"/>
      <c r="S143" s="220"/>
    </row>
    <row r="144" spans="1:19" s="219" customFormat="1" ht="13.5" thickBot="1">
      <c r="A144" s="1358"/>
      <c r="B144" s="221"/>
      <c r="C144" s="744">
        <v>4704000</v>
      </c>
      <c r="D144" s="223" t="s">
        <v>791</v>
      </c>
      <c r="E144" s="224">
        <v>6400</v>
      </c>
      <c r="F144" s="13">
        <f t="shared" si="16"/>
        <v>3520.0000000000005</v>
      </c>
      <c r="G144" s="17">
        <f t="shared" si="17"/>
        <v>0</v>
      </c>
      <c r="H144" s="15">
        <f t="shared" si="39"/>
        <v>110.42240000000002</v>
      </c>
      <c r="I144" s="15">
        <f t="shared" si="18"/>
        <v>0</v>
      </c>
      <c r="J144" s="15">
        <f t="shared" si="40"/>
        <v>96.448000000000022</v>
      </c>
      <c r="K144" s="15">
        <f t="shared" si="21"/>
        <v>0</v>
      </c>
      <c r="L144" s="15">
        <f t="shared" si="41"/>
        <v>80.256000000000014</v>
      </c>
      <c r="M144" s="15">
        <f t="shared" si="19"/>
        <v>0</v>
      </c>
      <c r="N144" s="15">
        <f t="shared" si="42"/>
        <v>71.808000000000021</v>
      </c>
      <c r="O144" s="15">
        <f t="shared" si="20"/>
        <v>0</v>
      </c>
      <c r="P144" s="15">
        <f t="shared" si="43"/>
        <v>2.0428144000000001</v>
      </c>
      <c r="Q144" s="18">
        <f t="shared" si="44"/>
        <v>0</v>
      </c>
      <c r="R144" s="220"/>
      <c r="S144" s="220"/>
    </row>
    <row r="145" spans="1:19" s="219" customFormat="1" ht="13.5" thickBot="1">
      <c r="A145" s="1358"/>
      <c r="B145" s="221"/>
      <c r="C145" s="745">
        <v>12207100</v>
      </c>
      <c r="D145" s="227" t="s">
        <v>4153</v>
      </c>
      <c r="E145" s="228">
        <v>45969.56</v>
      </c>
      <c r="F145" s="13">
        <f t="shared" si="16"/>
        <v>25283.258000000002</v>
      </c>
      <c r="G145" s="17">
        <f t="shared" si="17"/>
        <v>0</v>
      </c>
      <c r="H145" s="15">
        <f t="shared" si="39"/>
        <v>793.13580346000015</v>
      </c>
      <c r="I145" s="15">
        <f t="shared" si="18"/>
        <v>0</v>
      </c>
      <c r="J145" s="15">
        <f t="shared" si="40"/>
        <v>692.76126920000002</v>
      </c>
      <c r="K145" s="15">
        <f t="shared" si="21"/>
        <v>0</v>
      </c>
      <c r="L145" s="15">
        <f t="shared" si="41"/>
        <v>576.45828240000003</v>
      </c>
      <c r="M145" s="15">
        <f t="shared" si="19"/>
        <v>0</v>
      </c>
      <c r="N145" s="15">
        <f t="shared" si="42"/>
        <v>515.77846320000003</v>
      </c>
      <c r="O145" s="15">
        <f t="shared" si="20"/>
        <v>0</v>
      </c>
      <c r="P145" s="15">
        <f t="shared" si="43"/>
        <v>14.673012364010003</v>
      </c>
      <c r="Q145" s="18">
        <f t="shared" si="44"/>
        <v>0</v>
      </c>
      <c r="R145" s="220"/>
      <c r="S145" s="220"/>
    </row>
    <row r="146" spans="1:19" s="219" customFormat="1" ht="13.5" thickBot="1">
      <c r="A146" s="1358"/>
      <c r="B146" s="221"/>
      <c r="C146" s="746">
        <v>13207000</v>
      </c>
      <c r="D146" s="225" t="s">
        <v>4155</v>
      </c>
      <c r="E146" s="231">
        <v>23472.81</v>
      </c>
      <c r="F146" s="13">
        <f t="shared" si="16"/>
        <v>12910.045500000002</v>
      </c>
      <c r="G146" s="17">
        <f t="shared" si="17"/>
        <v>0</v>
      </c>
      <c r="H146" s="15">
        <f t="shared" si="39"/>
        <v>404.98812733500012</v>
      </c>
      <c r="I146" s="15">
        <f t="shared" si="18"/>
        <v>0</v>
      </c>
      <c r="J146" s="15">
        <f t="shared" si="40"/>
        <v>353.73524670000006</v>
      </c>
      <c r="K146" s="15">
        <f t="shared" si="21"/>
        <v>0</v>
      </c>
      <c r="L146" s="15">
        <f t="shared" si="41"/>
        <v>294.34903740000004</v>
      </c>
      <c r="M146" s="15">
        <f t="shared" si="19"/>
        <v>0</v>
      </c>
      <c r="N146" s="15">
        <f t="shared" si="42"/>
        <v>263.36492820000007</v>
      </c>
      <c r="O146" s="15">
        <f t="shared" si="20"/>
        <v>0</v>
      </c>
      <c r="P146" s="15">
        <f t="shared" si="43"/>
        <v>7.4922803556975017</v>
      </c>
      <c r="Q146" s="18">
        <f t="shared" si="44"/>
        <v>0</v>
      </c>
      <c r="R146" s="220"/>
      <c r="S146" s="220"/>
    </row>
    <row r="147" spans="1:19" s="219" customFormat="1" ht="13.5" thickBot="1">
      <c r="A147" s="1358"/>
      <c r="B147" s="221"/>
      <c r="C147" s="744">
        <v>13700022</v>
      </c>
      <c r="D147" s="223" t="s">
        <v>4157</v>
      </c>
      <c r="E147" s="224">
        <v>16738.7</v>
      </c>
      <c r="F147" s="13">
        <f t="shared" si="16"/>
        <v>9206.2850000000017</v>
      </c>
      <c r="G147" s="17">
        <f t="shared" si="17"/>
        <v>0</v>
      </c>
      <c r="H147" s="15">
        <f t="shared" si="39"/>
        <v>288.80116045000005</v>
      </c>
      <c r="I147" s="15">
        <f t="shared" si="18"/>
        <v>0</v>
      </c>
      <c r="J147" s="15">
        <f t="shared" si="40"/>
        <v>252.25220900000005</v>
      </c>
      <c r="K147" s="15">
        <f t="shared" si="21"/>
        <v>0</v>
      </c>
      <c r="L147" s="15">
        <f t="shared" si="41"/>
        <v>209.90329800000004</v>
      </c>
      <c r="M147" s="15">
        <f t="shared" si="19"/>
        <v>0</v>
      </c>
      <c r="N147" s="15">
        <f t="shared" si="42"/>
        <v>187.80821400000005</v>
      </c>
      <c r="O147" s="15">
        <f t="shared" si="20"/>
        <v>0</v>
      </c>
      <c r="P147" s="15">
        <f t="shared" si="43"/>
        <v>5.3428214683250008</v>
      </c>
      <c r="Q147" s="18">
        <f t="shared" si="44"/>
        <v>0</v>
      </c>
      <c r="R147" s="220"/>
      <c r="S147" s="220"/>
    </row>
    <row r="148" spans="1:19" s="219" customFormat="1" ht="26.25" thickBot="1">
      <c r="A148" s="1358"/>
      <c r="B148" s="221"/>
      <c r="C148" s="744" t="s">
        <v>4151</v>
      </c>
      <c r="D148" s="225" t="s">
        <v>4152</v>
      </c>
      <c r="E148" s="224">
        <v>265</v>
      </c>
      <c r="F148" s="13">
        <f t="shared" si="16"/>
        <v>145.75</v>
      </c>
      <c r="G148" s="17">
        <f t="shared" si="17"/>
        <v>0</v>
      </c>
      <c r="H148" s="15">
        <f t="shared" si="39"/>
        <v>4.5721775000000004</v>
      </c>
      <c r="I148" s="15">
        <f t="shared" si="18"/>
        <v>0</v>
      </c>
      <c r="J148" s="15">
        <f t="shared" si="40"/>
        <v>3.9935499999999999</v>
      </c>
      <c r="K148" s="15">
        <f t="shared" si="21"/>
        <v>0</v>
      </c>
      <c r="L148" s="15">
        <f t="shared" si="41"/>
        <v>3.3231000000000002</v>
      </c>
      <c r="M148" s="15">
        <f t="shared" si="19"/>
        <v>0</v>
      </c>
      <c r="N148" s="15">
        <f t="shared" si="42"/>
        <v>2.9733000000000001</v>
      </c>
      <c r="O148" s="15">
        <f t="shared" si="20"/>
        <v>0</v>
      </c>
      <c r="P148" s="15">
        <f t="shared" si="43"/>
        <v>8.4585283750000004E-2</v>
      </c>
      <c r="Q148" s="18">
        <f t="shared" si="44"/>
        <v>0</v>
      </c>
      <c r="R148" s="220"/>
      <c r="S148" s="220"/>
    </row>
    <row r="149" spans="1:19" s="219" customFormat="1" ht="13.5" thickBot="1">
      <c r="A149" s="1358"/>
      <c r="B149" s="221"/>
      <c r="C149" s="744" t="s">
        <v>3731</v>
      </c>
      <c r="D149" s="223" t="s">
        <v>3953</v>
      </c>
      <c r="E149" s="224">
        <v>4098</v>
      </c>
      <c r="F149" s="13">
        <f t="shared" si="16"/>
        <v>2253.9</v>
      </c>
      <c r="G149" s="17">
        <f t="shared" si="17"/>
        <v>0</v>
      </c>
      <c r="H149" s="15">
        <f t="shared" si="39"/>
        <v>70.704843000000011</v>
      </c>
      <c r="I149" s="15">
        <f t="shared" si="18"/>
        <v>0</v>
      </c>
      <c r="J149" s="15">
        <f t="shared" si="40"/>
        <v>61.756860000000003</v>
      </c>
      <c r="K149" s="15">
        <f t="shared" si="21"/>
        <v>0</v>
      </c>
      <c r="L149" s="15">
        <f t="shared" si="41"/>
        <v>51.388920000000006</v>
      </c>
      <c r="M149" s="15">
        <f t="shared" si="19"/>
        <v>0</v>
      </c>
      <c r="N149" s="15">
        <f t="shared" si="42"/>
        <v>45.979560000000006</v>
      </c>
      <c r="O149" s="15">
        <f t="shared" si="20"/>
        <v>0</v>
      </c>
      <c r="P149" s="15">
        <f t="shared" si="43"/>
        <v>1.3080395955000002</v>
      </c>
      <c r="Q149" s="18">
        <f t="shared" si="44"/>
        <v>0</v>
      </c>
      <c r="R149" s="220"/>
      <c r="S149" s="220"/>
    </row>
    <row r="150" spans="1:19" s="219" customFormat="1" ht="13.5" thickBot="1">
      <c r="A150" s="1358"/>
      <c r="B150" s="221"/>
      <c r="C150" s="746" t="s">
        <v>3736</v>
      </c>
      <c r="D150" s="225" t="s">
        <v>4167</v>
      </c>
      <c r="E150" s="224">
        <v>9680</v>
      </c>
      <c r="F150" s="13">
        <f t="shared" si="16"/>
        <v>5324</v>
      </c>
      <c r="G150" s="17">
        <f t="shared" si="17"/>
        <v>0</v>
      </c>
      <c r="H150" s="15">
        <f t="shared" si="39"/>
        <v>167.01388</v>
      </c>
      <c r="I150" s="15">
        <f t="shared" si="18"/>
        <v>0</v>
      </c>
      <c r="J150" s="15">
        <f t="shared" si="40"/>
        <v>145.8776</v>
      </c>
      <c r="K150" s="15">
        <f t="shared" si="21"/>
        <v>0</v>
      </c>
      <c r="L150" s="15">
        <f t="shared" si="41"/>
        <v>121.38720000000001</v>
      </c>
      <c r="M150" s="15">
        <f t="shared" si="19"/>
        <v>0</v>
      </c>
      <c r="N150" s="15">
        <f t="shared" si="42"/>
        <v>108.60960000000001</v>
      </c>
      <c r="O150" s="15">
        <f t="shared" si="20"/>
        <v>0</v>
      </c>
      <c r="P150" s="15">
        <f t="shared" si="43"/>
        <v>3.0897567799999996</v>
      </c>
      <c r="Q150" s="18">
        <f t="shared" si="44"/>
        <v>0</v>
      </c>
      <c r="R150" s="220"/>
      <c r="S150" s="220"/>
    </row>
    <row r="151" spans="1:19" s="219" customFormat="1" ht="13.5" thickBot="1">
      <c r="A151" s="1358"/>
      <c r="B151" s="221"/>
      <c r="C151" s="237" t="s">
        <v>803</v>
      </c>
      <c r="D151" s="235" t="s">
        <v>3966</v>
      </c>
      <c r="E151" s="231">
        <v>5550</v>
      </c>
      <c r="F151" s="13">
        <f t="shared" si="16"/>
        <v>3052.5000000000005</v>
      </c>
      <c r="G151" s="17">
        <f t="shared" si="17"/>
        <v>0</v>
      </c>
      <c r="H151" s="15">
        <f t="shared" si="39"/>
        <v>95.756925000000024</v>
      </c>
      <c r="I151" s="15">
        <f t="shared" si="18"/>
        <v>0</v>
      </c>
      <c r="J151" s="15">
        <f t="shared" si="40"/>
        <v>83.638500000000022</v>
      </c>
      <c r="K151" s="15">
        <f t="shared" si="21"/>
        <v>0</v>
      </c>
      <c r="L151" s="15">
        <f t="shared" si="41"/>
        <v>69.597000000000008</v>
      </c>
      <c r="M151" s="15">
        <f t="shared" si="19"/>
        <v>0</v>
      </c>
      <c r="N151" s="15">
        <f t="shared" si="42"/>
        <v>62.271000000000015</v>
      </c>
      <c r="O151" s="15">
        <f t="shared" si="20"/>
        <v>0</v>
      </c>
      <c r="P151" s="15">
        <f t="shared" si="43"/>
        <v>1.7715031125000003</v>
      </c>
      <c r="Q151" s="18">
        <f t="shared" si="44"/>
        <v>0</v>
      </c>
      <c r="R151" s="220"/>
      <c r="S151" s="220"/>
    </row>
    <row r="152" spans="1:19" s="219" customFormat="1" ht="13.5" thickBot="1">
      <c r="A152" s="1358"/>
      <c r="B152" s="221"/>
      <c r="C152" s="744" t="s">
        <v>3729</v>
      </c>
      <c r="D152" s="223" t="s">
        <v>3951</v>
      </c>
      <c r="E152" s="224">
        <v>30608</v>
      </c>
      <c r="F152" s="13">
        <f t="shared" si="16"/>
        <v>16834.400000000001</v>
      </c>
      <c r="G152" s="16">
        <f t="shared" si="17"/>
        <v>0</v>
      </c>
      <c r="H152" s="14">
        <f t="shared" si="39"/>
        <v>528.09512800000005</v>
      </c>
      <c r="I152" s="15">
        <f t="shared" si="18"/>
        <v>0</v>
      </c>
      <c r="J152" s="15">
        <f t="shared" si="40"/>
        <v>461.26256000000006</v>
      </c>
      <c r="K152" s="15">
        <f t="shared" si="21"/>
        <v>0</v>
      </c>
      <c r="L152" s="15">
        <f t="shared" si="41"/>
        <v>383.82432000000006</v>
      </c>
      <c r="M152" s="15">
        <f t="shared" si="19"/>
        <v>0</v>
      </c>
      <c r="N152" s="15">
        <f t="shared" si="42"/>
        <v>343.42176000000006</v>
      </c>
      <c r="O152" s="15">
        <f t="shared" si="20"/>
        <v>0</v>
      </c>
      <c r="P152" s="15">
        <f t="shared" si="43"/>
        <v>9.7697598679999995</v>
      </c>
      <c r="Q152" s="18">
        <f t="shared" si="44"/>
        <v>0</v>
      </c>
      <c r="R152" s="220"/>
      <c r="S152" s="220"/>
    </row>
    <row r="153" spans="1:19" s="219" customFormat="1" ht="13.5" thickBot="1">
      <c r="A153" s="1358"/>
      <c r="B153" s="221"/>
      <c r="C153" s="744" t="s">
        <v>55</v>
      </c>
      <c r="D153" s="223" t="s">
        <v>4165</v>
      </c>
      <c r="E153" s="224">
        <v>2176</v>
      </c>
      <c r="F153" s="13">
        <f t="shared" si="16"/>
        <v>1196.8000000000002</v>
      </c>
      <c r="G153" s="16">
        <f t="shared" si="17"/>
        <v>0</v>
      </c>
      <c r="H153" s="14">
        <f t="shared" si="39"/>
        <v>37.543616000000007</v>
      </c>
      <c r="I153" s="15">
        <f t="shared" si="18"/>
        <v>0</v>
      </c>
      <c r="J153" s="15">
        <f t="shared" si="40"/>
        <v>32.792320000000004</v>
      </c>
      <c r="K153" s="15">
        <f t="shared" si="21"/>
        <v>0</v>
      </c>
      <c r="L153" s="15">
        <f t="shared" si="41"/>
        <v>27.287040000000005</v>
      </c>
      <c r="M153" s="15">
        <f t="shared" si="19"/>
        <v>0</v>
      </c>
      <c r="N153" s="15">
        <f t="shared" si="42"/>
        <v>24.414720000000006</v>
      </c>
      <c r="O153" s="15">
        <f t="shared" si="20"/>
        <v>0</v>
      </c>
      <c r="P153" s="15">
        <f t="shared" si="43"/>
        <v>0.69455689600000015</v>
      </c>
      <c r="Q153" s="18">
        <f t="shared" si="44"/>
        <v>0</v>
      </c>
      <c r="R153" s="220"/>
      <c r="S153" s="220"/>
    </row>
    <row r="154" spans="1:19" s="219" customFormat="1" ht="13.5" thickBot="1">
      <c r="A154" s="1358"/>
      <c r="B154" s="221"/>
      <c r="C154" s="744" t="s">
        <v>3733</v>
      </c>
      <c r="D154" s="225" t="s">
        <v>4166</v>
      </c>
      <c r="E154" s="224">
        <v>17837</v>
      </c>
      <c r="F154" s="13">
        <f t="shared" si="16"/>
        <v>9810.35</v>
      </c>
      <c r="G154" s="16">
        <f t="shared" si="17"/>
        <v>0</v>
      </c>
      <c r="H154" s="14">
        <f t="shared" si="39"/>
        <v>307.75067950000005</v>
      </c>
      <c r="I154" s="15">
        <f t="shared" si="18"/>
        <v>0</v>
      </c>
      <c r="J154" s="15">
        <f t="shared" si="40"/>
        <v>268.80359000000004</v>
      </c>
      <c r="K154" s="15">
        <f t="shared" si="21"/>
        <v>0</v>
      </c>
      <c r="L154" s="15">
        <f t="shared" si="41"/>
        <v>223.67598000000001</v>
      </c>
      <c r="M154" s="15">
        <f t="shared" si="19"/>
        <v>0</v>
      </c>
      <c r="N154" s="15">
        <f t="shared" si="42"/>
        <v>200.13114000000002</v>
      </c>
      <c r="O154" s="15">
        <f t="shared" si="20"/>
        <v>0</v>
      </c>
      <c r="P154" s="15">
        <f t="shared" si="43"/>
        <v>5.6933875707500006</v>
      </c>
      <c r="Q154" s="18">
        <f t="shared" si="44"/>
        <v>0</v>
      </c>
      <c r="R154" s="220"/>
      <c r="S154" s="220"/>
    </row>
    <row r="155" spans="1:19" s="219" customFormat="1" ht="13.5" thickBot="1">
      <c r="A155" s="1358"/>
      <c r="B155" s="221"/>
      <c r="C155" s="746" t="s">
        <v>555</v>
      </c>
      <c r="D155" s="225" t="s">
        <v>3959</v>
      </c>
      <c r="E155" s="231">
        <v>17812</v>
      </c>
      <c r="F155" s="13">
        <f t="shared" si="16"/>
        <v>9796.6</v>
      </c>
      <c r="G155" s="16">
        <f t="shared" si="17"/>
        <v>0</v>
      </c>
      <c r="H155" s="14">
        <f t="shared" si="39"/>
        <v>307.31934200000001</v>
      </c>
      <c r="I155" s="15">
        <f t="shared" si="18"/>
        <v>0</v>
      </c>
      <c r="J155" s="15">
        <f t="shared" si="40"/>
        <v>268.42684000000003</v>
      </c>
      <c r="K155" s="15">
        <f t="shared" si="21"/>
        <v>0</v>
      </c>
      <c r="L155" s="15">
        <f t="shared" si="41"/>
        <v>223.36248000000001</v>
      </c>
      <c r="M155" s="15">
        <f t="shared" si="19"/>
        <v>0</v>
      </c>
      <c r="N155" s="15">
        <f t="shared" si="42"/>
        <v>199.85064000000003</v>
      </c>
      <c r="O155" s="15">
        <f t="shared" si="20"/>
        <v>0</v>
      </c>
      <c r="P155" s="15">
        <f t="shared" si="43"/>
        <v>5.6854078269999997</v>
      </c>
      <c r="Q155" s="18">
        <f t="shared" si="44"/>
        <v>0</v>
      </c>
      <c r="R155" s="220"/>
      <c r="S155" s="220"/>
    </row>
    <row r="156" spans="1:19" s="219" customFormat="1" ht="26.25" thickBot="1">
      <c r="A156" s="1358"/>
      <c r="B156" s="221"/>
      <c r="C156" s="744" t="s">
        <v>3711</v>
      </c>
      <c r="D156" s="223" t="s">
        <v>3647</v>
      </c>
      <c r="E156" s="224">
        <v>773</v>
      </c>
      <c r="F156" s="13">
        <f t="shared" si="16"/>
        <v>425.15000000000003</v>
      </c>
      <c r="G156" s="16">
        <f t="shared" si="17"/>
        <v>0</v>
      </c>
      <c r="H156" s="14">
        <f t="shared" si="39"/>
        <v>13.336955500000002</v>
      </c>
      <c r="I156" s="15">
        <f t="shared" si="18"/>
        <v>0</v>
      </c>
      <c r="J156" s="15">
        <f t="shared" si="40"/>
        <v>11.649110000000002</v>
      </c>
      <c r="K156" s="15">
        <f t="shared" si="21"/>
        <v>0</v>
      </c>
      <c r="L156" s="15">
        <f t="shared" si="41"/>
        <v>9.6934200000000015</v>
      </c>
      <c r="M156" s="15">
        <f t="shared" si="19"/>
        <v>0</v>
      </c>
      <c r="N156" s="15">
        <f t="shared" si="42"/>
        <v>8.6730600000000013</v>
      </c>
      <c r="O156" s="15">
        <f t="shared" si="20"/>
        <v>0</v>
      </c>
      <c r="P156" s="15">
        <f t="shared" si="43"/>
        <v>0.24673367675000002</v>
      </c>
      <c r="Q156" s="18">
        <f t="shared" si="44"/>
        <v>0</v>
      </c>
      <c r="R156" s="220"/>
      <c r="S156" s="220"/>
    </row>
    <row r="157" spans="1:19" s="219" customFormat="1" ht="13.5" thickBot="1">
      <c r="A157" s="1358"/>
      <c r="B157" s="221"/>
      <c r="C157" s="745" t="s">
        <v>556</v>
      </c>
      <c r="D157" s="227" t="s">
        <v>3956</v>
      </c>
      <c r="E157" s="228">
        <v>17424</v>
      </c>
      <c r="F157" s="13">
        <f t="shared" si="16"/>
        <v>9583.2000000000007</v>
      </c>
      <c r="G157" s="16">
        <f t="shared" si="17"/>
        <v>0</v>
      </c>
      <c r="H157" s="14">
        <f t="shared" si="39"/>
        <v>300.62498400000004</v>
      </c>
      <c r="I157" s="15">
        <f t="shared" si="18"/>
        <v>0</v>
      </c>
      <c r="J157" s="15">
        <f t="shared" si="40"/>
        <v>262.57968000000005</v>
      </c>
      <c r="K157" s="15">
        <f t="shared" si="21"/>
        <v>0</v>
      </c>
      <c r="L157" s="15">
        <f t="shared" si="41"/>
        <v>218.49696000000003</v>
      </c>
      <c r="M157" s="15">
        <f t="shared" si="19"/>
        <v>0</v>
      </c>
      <c r="N157" s="15">
        <f t="shared" si="42"/>
        <v>195.49728000000002</v>
      </c>
      <c r="O157" s="15">
        <f t="shared" si="20"/>
        <v>0</v>
      </c>
      <c r="P157" s="15">
        <f t="shared" si="43"/>
        <v>5.5615622040000003</v>
      </c>
      <c r="Q157" s="18">
        <f t="shared" si="44"/>
        <v>0</v>
      </c>
      <c r="R157" s="220"/>
      <c r="S157" s="220"/>
    </row>
    <row r="158" spans="1:19" s="219" customFormat="1" ht="13.5" thickBot="1">
      <c r="A158" s="1358"/>
      <c r="B158" s="221"/>
      <c r="C158" s="237" t="s">
        <v>3744</v>
      </c>
      <c r="D158" s="235" t="s">
        <v>3969</v>
      </c>
      <c r="E158" s="231">
        <v>5440</v>
      </c>
      <c r="F158" s="13">
        <f t="shared" si="16"/>
        <v>2992.0000000000005</v>
      </c>
      <c r="G158" s="16">
        <f t="shared" si="17"/>
        <v>0</v>
      </c>
      <c r="H158" s="14">
        <f t="shared" si="39"/>
        <v>93.859040000000022</v>
      </c>
      <c r="I158" s="15">
        <f t="shared" si="18"/>
        <v>0</v>
      </c>
      <c r="J158" s="15">
        <f t="shared" si="40"/>
        <v>81.980800000000016</v>
      </c>
      <c r="K158" s="15">
        <f t="shared" si="21"/>
        <v>0</v>
      </c>
      <c r="L158" s="15">
        <f t="shared" si="41"/>
        <v>68.217600000000019</v>
      </c>
      <c r="M158" s="15">
        <f t="shared" si="19"/>
        <v>0</v>
      </c>
      <c r="N158" s="15">
        <f t="shared" si="42"/>
        <v>61.036800000000014</v>
      </c>
      <c r="O158" s="15">
        <f t="shared" si="20"/>
        <v>0</v>
      </c>
      <c r="P158" s="15">
        <f t="shared" si="43"/>
        <v>1.7363922400000003</v>
      </c>
      <c r="Q158" s="18">
        <f t="shared" si="44"/>
        <v>0</v>
      </c>
      <c r="R158" s="220"/>
      <c r="S158" s="220"/>
    </row>
    <row r="159" spans="1:19" s="219" customFormat="1" ht="13.5" thickBot="1">
      <c r="A159" s="1358"/>
      <c r="B159" s="221"/>
      <c r="C159" s="237" t="s">
        <v>3739</v>
      </c>
      <c r="D159" s="235" t="s">
        <v>3964</v>
      </c>
      <c r="E159" s="231">
        <v>31708</v>
      </c>
      <c r="F159" s="13">
        <f t="shared" ref="F159:F167" si="45">E159*(1-45%)</f>
        <v>17439.400000000001</v>
      </c>
      <c r="G159" s="16">
        <f t="shared" ref="G159:G167" si="46">F159*B159</f>
        <v>0</v>
      </c>
      <c r="H159" s="14">
        <f t="shared" si="39"/>
        <v>547.07397800000012</v>
      </c>
      <c r="I159" s="15">
        <f t="shared" ref="I159:I167" si="47">H159*B159</f>
        <v>0</v>
      </c>
      <c r="J159" s="15">
        <f t="shared" si="40"/>
        <v>477.83956000000006</v>
      </c>
      <c r="K159" s="15">
        <f t="shared" ref="K159:K167" si="48">J159*B159</f>
        <v>0</v>
      </c>
      <c r="L159" s="15">
        <f t="shared" si="41"/>
        <v>397.61832000000004</v>
      </c>
      <c r="M159" s="15">
        <f t="shared" ref="M159:M167" si="49">L159*B159</f>
        <v>0</v>
      </c>
      <c r="N159" s="15">
        <f t="shared" si="42"/>
        <v>355.76376000000005</v>
      </c>
      <c r="O159" s="15">
        <f t="shared" ref="O159:O167" si="50">N159*B159</f>
        <v>0</v>
      </c>
      <c r="P159" s="15">
        <f t="shared" si="43"/>
        <v>10.120868593000003</v>
      </c>
      <c r="Q159" s="18">
        <f t="shared" si="44"/>
        <v>0</v>
      </c>
      <c r="R159" s="220"/>
      <c r="S159" s="220"/>
    </row>
    <row r="160" spans="1:19" s="219" customFormat="1" ht="13.5" thickBot="1">
      <c r="A160" s="1358"/>
      <c r="B160" s="221"/>
      <c r="C160" s="744" t="s">
        <v>3754</v>
      </c>
      <c r="D160" s="223" t="s">
        <v>3841</v>
      </c>
      <c r="E160" s="224">
        <v>2750</v>
      </c>
      <c r="F160" s="13">
        <f t="shared" si="45"/>
        <v>1512.5000000000002</v>
      </c>
      <c r="G160" s="16">
        <f t="shared" si="46"/>
        <v>0</v>
      </c>
      <c r="H160" s="14">
        <f t="shared" si="39"/>
        <v>47.447125000000007</v>
      </c>
      <c r="I160" s="15">
        <f t="shared" si="47"/>
        <v>0</v>
      </c>
      <c r="J160" s="15">
        <f t="shared" si="40"/>
        <v>41.44250000000001</v>
      </c>
      <c r="K160" s="15">
        <f t="shared" si="48"/>
        <v>0</v>
      </c>
      <c r="L160" s="15">
        <f t="shared" si="41"/>
        <v>34.485000000000007</v>
      </c>
      <c r="M160" s="15">
        <f t="shared" si="49"/>
        <v>0</v>
      </c>
      <c r="N160" s="15">
        <f t="shared" si="42"/>
        <v>30.855000000000008</v>
      </c>
      <c r="O160" s="15">
        <f t="shared" si="50"/>
        <v>0</v>
      </c>
      <c r="P160" s="15">
        <f t="shared" si="43"/>
        <v>0.87777181250000014</v>
      </c>
      <c r="Q160" s="18">
        <f t="shared" si="44"/>
        <v>0</v>
      </c>
      <c r="R160" s="220"/>
      <c r="S160" s="220"/>
    </row>
    <row r="161" spans="1:19" s="219" customFormat="1" ht="13.5" thickBot="1">
      <c r="A161" s="1358"/>
      <c r="B161" s="221"/>
      <c r="C161" s="746" t="s">
        <v>3910</v>
      </c>
      <c r="D161" s="225" t="s">
        <v>4213</v>
      </c>
      <c r="E161" s="224">
        <v>990</v>
      </c>
      <c r="F161" s="13">
        <f t="shared" si="45"/>
        <v>544.5</v>
      </c>
      <c r="G161" s="16">
        <f t="shared" si="46"/>
        <v>0</v>
      </c>
      <c r="H161" s="14">
        <f t="shared" si="39"/>
        <v>17.080965000000003</v>
      </c>
      <c r="I161" s="15">
        <f t="shared" si="47"/>
        <v>0</v>
      </c>
      <c r="J161" s="15">
        <f t="shared" si="40"/>
        <v>14.9193</v>
      </c>
      <c r="K161" s="15">
        <f t="shared" si="48"/>
        <v>0</v>
      </c>
      <c r="L161" s="15">
        <f t="shared" si="41"/>
        <v>12.4146</v>
      </c>
      <c r="M161" s="15">
        <f t="shared" si="49"/>
        <v>0</v>
      </c>
      <c r="N161" s="15">
        <f t="shared" si="42"/>
        <v>11.107800000000001</v>
      </c>
      <c r="O161" s="15">
        <f t="shared" si="50"/>
        <v>0</v>
      </c>
      <c r="P161" s="15">
        <f t="shared" si="43"/>
        <v>0.31599785250000001</v>
      </c>
      <c r="Q161" s="18">
        <f t="shared" si="44"/>
        <v>0</v>
      </c>
      <c r="R161" s="220"/>
      <c r="S161" s="220"/>
    </row>
    <row r="162" spans="1:19" s="219" customFormat="1" ht="13.5" thickBot="1">
      <c r="A162" s="1358"/>
      <c r="B162" s="221" t="s">
        <v>817</v>
      </c>
      <c r="C162" s="237" t="s">
        <v>805</v>
      </c>
      <c r="D162" s="235" t="s">
        <v>3965</v>
      </c>
      <c r="E162" s="231">
        <v>9015</v>
      </c>
      <c r="F162" s="13">
        <f t="shared" si="45"/>
        <v>4958.25</v>
      </c>
      <c r="G162" s="16">
        <f t="shared" si="46"/>
        <v>4958.25</v>
      </c>
      <c r="H162" s="14">
        <f t="shared" si="39"/>
        <v>155.54030250000002</v>
      </c>
      <c r="I162" s="15">
        <f t="shared" si="47"/>
        <v>155.54030250000002</v>
      </c>
      <c r="J162" s="15">
        <f t="shared" si="40"/>
        <v>135.85605000000001</v>
      </c>
      <c r="K162" s="15">
        <f t="shared" si="48"/>
        <v>135.85605000000001</v>
      </c>
      <c r="L162" s="15">
        <f t="shared" si="41"/>
        <v>113.04810000000001</v>
      </c>
      <c r="M162" s="15">
        <f t="shared" si="49"/>
        <v>113.04810000000001</v>
      </c>
      <c r="N162" s="15">
        <f t="shared" si="42"/>
        <v>101.14830000000001</v>
      </c>
      <c r="O162" s="15">
        <f t="shared" si="50"/>
        <v>101.14830000000001</v>
      </c>
      <c r="P162" s="15">
        <f t="shared" si="43"/>
        <v>2.8774955962500002</v>
      </c>
      <c r="Q162" s="18">
        <f t="shared" si="44"/>
        <v>2.8774955962500002</v>
      </c>
      <c r="R162" s="220"/>
      <c r="S162" s="220"/>
    </row>
    <row r="163" spans="1:19" s="219" customFormat="1" ht="13.5" thickBot="1">
      <c r="A163" s="1358"/>
      <c r="B163" s="221"/>
      <c r="C163" s="746" t="s">
        <v>3906</v>
      </c>
      <c r="D163" s="225" t="s">
        <v>3977</v>
      </c>
      <c r="E163" s="224">
        <v>4290</v>
      </c>
      <c r="F163" s="13">
        <f t="shared" si="45"/>
        <v>2359.5</v>
      </c>
      <c r="G163" s="16">
        <f t="shared" si="46"/>
        <v>0</v>
      </c>
      <c r="H163" s="14">
        <f t="shared" si="39"/>
        <v>74.017515000000003</v>
      </c>
      <c r="I163" s="15">
        <f t="shared" si="47"/>
        <v>0</v>
      </c>
      <c r="J163" s="15">
        <f t="shared" si="40"/>
        <v>64.650300000000001</v>
      </c>
      <c r="K163" s="15">
        <f t="shared" si="48"/>
        <v>0</v>
      </c>
      <c r="L163" s="15">
        <f t="shared" si="41"/>
        <v>53.796600000000005</v>
      </c>
      <c r="M163" s="15">
        <f t="shared" si="49"/>
        <v>0</v>
      </c>
      <c r="N163" s="15">
        <f t="shared" si="42"/>
        <v>48.133800000000001</v>
      </c>
      <c r="O163" s="15">
        <f t="shared" si="50"/>
        <v>0</v>
      </c>
      <c r="P163" s="15">
        <f t="shared" si="43"/>
        <v>1.3693240275</v>
      </c>
      <c r="Q163" s="18">
        <f t="shared" si="44"/>
        <v>0</v>
      </c>
      <c r="R163" s="220"/>
      <c r="S163" s="220"/>
    </row>
    <row r="164" spans="1:19" s="219" customFormat="1" ht="13.5" thickBot="1">
      <c r="A164" s="1358"/>
      <c r="B164" s="221"/>
      <c r="C164" s="746" t="s">
        <v>3907</v>
      </c>
      <c r="D164" s="225" t="s">
        <v>3978</v>
      </c>
      <c r="E164" s="224">
        <v>20009</v>
      </c>
      <c r="F164" s="13">
        <f t="shared" si="45"/>
        <v>11004.95</v>
      </c>
      <c r="G164" s="16">
        <f t="shared" si="46"/>
        <v>0</v>
      </c>
      <c r="H164" s="14">
        <f t="shared" si="39"/>
        <v>345.22528150000005</v>
      </c>
      <c r="I164" s="15">
        <f t="shared" si="47"/>
        <v>0</v>
      </c>
      <c r="J164" s="15">
        <f t="shared" si="40"/>
        <v>301.53563000000003</v>
      </c>
      <c r="K164" s="15">
        <f t="shared" si="48"/>
        <v>0</v>
      </c>
      <c r="L164" s="15">
        <f t="shared" si="41"/>
        <v>250.91286000000002</v>
      </c>
      <c r="M164" s="15">
        <f t="shared" si="49"/>
        <v>0</v>
      </c>
      <c r="N164" s="15">
        <f t="shared" si="42"/>
        <v>224.50098000000003</v>
      </c>
      <c r="O164" s="15">
        <f t="shared" si="50"/>
        <v>0</v>
      </c>
      <c r="P164" s="15">
        <f t="shared" si="43"/>
        <v>6.3866677077500009</v>
      </c>
      <c r="Q164" s="18">
        <f t="shared" si="44"/>
        <v>0</v>
      </c>
      <c r="R164" s="220"/>
      <c r="S164" s="220"/>
    </row>
    <row r="165" spans="1:19" s="219" customFormat="1" ht="13.5" thickBot="1">
      <c r="A165" s="1358"/>
      <c r="B165" s="221"/>
      <c r="C165" s="746" t="s">
        <v>3747</v>
      </c>
      <c r="D165" s="225" t="s">
        <v>3972</v>
      </c>
      <c r="E165" s="224">
        <v>3518</v>
      </c>
      <c r="F165" s="13">
        <f t="shared" si="45"/>
        <v>1934.9</v>
      </c>
      <c r="G165" s="16">
        <f t="shared" si="46"/>
        <v>0</v>
      </c>
      <c r="H165" s="14">
        <f t="shared" si="39"/>
        <v>60.697813000000004</v>
      </c>
      <c r="I165" s="15">
        <f t="shared" si="47"/>
        <v>0</v>
      </c>
      <c r="J165" s="15">
        <f t="shared" si="40"/>
        <v>53.016260000000003</v>
      </c>
      <c r="K165" s="15">
        <f t="shared" si="48"/>
        <v>0</v>
      </c>
      <c r="L165" s="15">
        <f t="shared" si="41"/>
        <v>44.115720000000003</v>
      </c>
      <c r="M165" s="15">
        <f t="shared" si="49"/>
        <v>0</v>
      </c>
      <c r="N165" s="15">
        <f t="shared" si="42"/>
        <v>39.471960000000003</v>
      </c>
      <c r="O165" s="15">
        <f t="shared" si="50"/>
        <v>0</v>
      </c>
      <c r="P165" s="15">
        <f t="shared" si="43"/>
        <v>1.1229095405</v>
      </c>
      <c r="Q165" s="18">
        <f t="shared" si="44"/>
        <v>0</v>
      </c>
      <c r="R165" s="220"/>
      <c r="S165" s="220"/>
    </row>
    <row r="166" spans="1:19" s="219" customFormat="1" ht="26.25" thickBot="1">
      <c r="A166" s="1358"/>
      <c r="B166" s="221"/>
      <c r="C166" s="746" t="s">
        <v>3765</v>
      </c>
      <c r="D166" s="225" t="s">
        <v>3853</v>
      </c>
      <c r="E166" s="224">
        <v>990</v>
      </c>
      <c r="F166" s="13">
        <f t="shared" si="45"/>
        <v>544.5</v>
      </c>
      <c r="G166" s="16">
        <f t="shared" si="46"/>
        <v>0</v>
      </c>
      <c r="H166" s="14">
        <f t="shared" si="39"/>
        <v>17.080965000000003</v>
      </c>
      <c r="I166" s="15">
        <f t="shared" si="47"/>
        <v>0</v>
      </c>
      <c r="J166" s="15">
        <f t="shared" si="40"/>
        <v>14.9193</v>
      </c>
      <c r="K166" s="15">
        <f t="shared" si="48"/>
        <v>0</v>
      </c>
      <c r="L166" s="15">
        <f t="shared" si="41"/>
        <v>12.4146</v>
      </c>
      <c r="M166" s="15">
        <f t="shared" si="49"/>
        <v>0</v>
      </c>
      <c r="N166" s="15">
        <f t="shared" si="42"/>
        <v>11.107800000000001</v>
      </c>
      <c r="O166" s="15">
        <f t="shared" si="50"/>
        <v>0</v>
      </c>
      <c r="P166" s="15">
        <f t="shared" si="43"/>
        <v>0.31599785250000001</v>
      </c>
      <c r="Q166" s="18">
        <f t="shared" si="44"/>
        <v>0</v>
      </c>
      <c r="R166" s="220"/>
      <c r="S166" s="220"/>
    </row>
    <row r="167" spans="1:19" s="219" customFormat="1" ht="13.5" thickBot="1">
      <c r="A167" s="1358"/>
      <c r="B167" s="221"/>
      <c r="C167" s="744" t="s">
        <v>268</v>
      </c>
      <c r="D167" s="223" t="s">
        <v>3849</v>
      </c>
      <c r="E167" s="224">
        <v>638</v>
      </c>
      <c r="F167" s="13">
        <f t="shared" si="45"/>
        <v>350.90000000000003</v>
      </c>
      <c r="G167" s="16">
        <f t="shared" si="46"/>
        <v>0</v>
      </c>
      <c r="H167" s="14">
        <f t="shared" si="39"/>
        <v>11.007733000000002</v>
      </c>
      <c r="I167" s="15">
        <f t="shared" si="47"/>
        <v>0</v>
      </c>
      <c r="J167" s="15">
        <f t="shared" si="40"/>
        <v>9.6146600000000007</v>
      </c>
      <c r="K167" s="15">
        <f t="shared" si="48"/>
        <v>0</v>
      </c>
      <c r="L167" s="15">
        <f t="shared" si="41"/>
        <v>8.0005200000000016</v>
      </c>
      <c r="M167" s="15">
        <f t="shared" si="49"/>
        <v>0</v>
      </c>
      <c r="N167" s="15">
        <f t="shared" si="42"/>
        <v>7.1583600000000009</v>
      </c>
      <c r="O167" s="15">
        <f t="shared" si="50"/>
        <v>0</v>
      </c>
      <c r="P167" s="15">
        <f t="shared" si="43"/>
        <v>0.20364306050000003</v>
      </c>
      <c r="Q167" s="18">
        <f t="shared" si="44"/>
        <v>0</v>
      </c>
      <c r="R167" s="220"/>
      <c r="S167" s="220"/>
    </row>
    <row r="168" spans="1:19" s="239" customFormat="1">
      <c r="A168" s="238"/>
      <c r="D168" s="1342" t="s">
        <v>183</v>
      </c>
      <c r="E168" s="1343"/>
      <c r="F168" s="1343"/>
      <c r="G168" s="78">
        <f>SUM(G28:G167)+G25</f>
        <v>4958.25</v>
      </c>
      <c r="H168" s="240" t="s">
        <v>201</v>
      </c>
      <c r="I168" s="78">
        <f>SUM(I28:I167)+I25</f>
        <v>155.54030250000002</v>
      </c>
      <c r="J168" s="240" t="s">
        <v>202</v>
      </c>
      <c r="K168" s="78">
        <f>SUM(K28:K167)+K25</f>
        <v>135.85605000000001</v>
      </c>
      <c r="L168" s="240" t="s">
        <v>203</v>
      </c>
      <c r="M168" s="78">
        <f>SUM(M28:M167)+M25</f>
        <v>113.04810000000001</v>
      </c>
      <c r="N168" s="240" t="s">
        <v>95</v>
      </c>
      <c r="O168" s="78">
        <f>SUM(O28:O167)+O25</f>
        <v>101.14830000000001</v>
      </c>
      <c r="P168" s="240" t="s">
        <v>888</v>
      </c>
      <c r="Q168" s="78">
        <f>SUM(Q28:Q167)+Q25</f>
        <v>2.8774955962500002</v>
      </c>
    </row>
    <row r="169" spans="1:19" s="239" customFormat="1" ht="12.75">
      <c r="F169" s="241"/>
      <c r="G169" s="241"/>
      <c r="H169" s="242"/>
    </row>
    <row r="170" spans="1:19" s="239" customFormat="1" ht="12.75">
      <c r="F170" s="241"/>
      <c r="G170" s="241"/>
    </row>
    <row r="171" spans="1:19" s="239" customFormat="1" ht="12.75">
      <c r="F171" s="241"/>
      <c r="G171" s="241"/>
    </row>
    <row r="172" spans="1:19" s="239" customFormat="1" ht="12.75">
      <c r="F172" s="241"/>
      <c r="G172" s="241"/>
    </row>
    <row r="173" spans="1:19" s="239" customFormat="1" ht="12.75">
      <c r="F173" s="241"/>
      <c r="G173" s="241"/>
    </row>
    <row r="174" spans="1:19" s="239" customFormat="1" ht="12.75">
      <c r="F174" s="241"/>
      <c r="G174" s="241"/>
    </row>
    <row r="175" spans="1:19" s="239" customFormat="1" ht="12.75">
      <c r="F175" s="241"/>
      <c r="G175" s="241"/>
    </row>
    <row r="176" spans="1:19" s="239" customFormat="1" ht="12.75">
      <c r="F176" s="241"/>
      <c r="G176" s="241"/>
    </row>
    <row r="177" spans="2:7" s="239" customFormat="1" ht="12.75">
      <c r="F177" s="241"/>
      <c r="G177" s="241"/>
    </row>
    <row r="178" spans="2:7" s="239" customFormat="1" ht="12.75">
      <c r="F178" s="241"/>
      <c r="G178" s="241"/>
    </row>
    <row r="179" spans="2:7" s="239" customFormat="1" ht="12.75">
      <c r="F179" s="241"/>
      <c r="G179" s="241"/>
    </row>
    <row r="180" spans="2:7" s="239" customFormat="1" ht="12.75">
      <c r="F180" s="241"/>
      <c r="G180" s="241"/>
    </row>
    <row r="181" spans="2:7" s="239" customFormat="1" ht="12.75">
      <c r="F181" s="241"/>
      <c r="G181" s="241"/>
    </row>
    <row r="182" spans="2:7" s="239" customFormat="1" ht="12.75">
      <c r="F182" s="241"/>
      <c r="G182" s="241"/>
    </row>
    <row r="183" spans="2:7" s="239" customFormat="1" ht="12.75">
      <c r="F183" s="241"/>
      <c r="G183" s="241"/>
    </row>
    <row r="184" spans="2:7" s="239" customFormat="1" ht="12.75">
      <c r="F184" s="241"/>
      <c r="G184" s="241"/>
    </row>
    <row r="185" spans="2:7" s="239" customFormat="1" ht="12.75">
      <c r="B185" s="243"/>
      <c r="C185" s="243"/>
      <c r="F185" s="241"/>
      <c r="G185" s="241"/>
    </row>
    <row r="186" spans="2:7" s="239" customFormat="1" ht="12.75">
      <c r="F186" s="241"/>
      <c r="G186" s="241"/>
    </row>
    <row r="187" spans="2:7" s="239" customFormat="1" ht="12.75">
      <c r="F187" s="241"/>
      <c r="G187" s="241"/>
    </row>
    <row r="188" spans="2:7" s="239" customFormat="1" ht="12.75">
      <c r="F188" s="241"/>
      <c r="G188" s="241"/>
    </row>
    <row r="189" spans="2:7" s="239" customFormat="1" ht="12.75">
      <c r="F189" s="241"/>
      <c r="G189" s="241"/>
    </row>
    <row r="190" spans="2:7" s="239" customFormat="1" ht="12.75">
      <c r="F190" s="241"/>
      <c r="G190" s="241"/>
    </row>
    <row r="191" spans="2:7" s="239" customFormat="1" ht="12.75">
      <c r="F191" s="241"/>
      <c r="G191" s="241"/>
    </row>
    <row r="192" spans="2:7" s="239" customFormat="1" ht="12.75">
      <c r="F192" s="241"/>
      <c r="G192" s="241"/>
    </row>
    <row r="193" spans="6:7" s="239" customFormat="1" ht="12.75">
      <c r="F193" s="241"/>
      <c r="G193" s="241"/>
    </row>
    <row r="194" spans="6:7" s="239" customFormat="1" ht="12.75">
      <c r="F194" s="241"/>
      <c r="G194" s="241"/>
    </row>
    <row r="195" spans="6:7" s="239" customFormat="1" ht="12.75">
      <c r="F195" s="241"/>
      <c r="G195" s="241"/>
    </row>
    <row r="196" spans="6:7" s="239" customFormat="1" ht="12.75">
      <c r="F196" s="241"/>
      <c r="G196" s="241"/>
    </row>
    <row r="197" spans="6:7" s="239" customFormat="1" ht="12.75">
      <c r="F197" s="241"/>
      <c r="G197" s="241"/>
    </row>
    <row r="198" spans="6:7" s="239" customFormat="1" ht="12.75">
      <c r="F198" s="241"/>
      <c r="G198" s="241"/>
    </row>
    <row r="199" spans="6:7" s="239" customFormat="1" ht="12.75">
      <c r="F199" s="241"/>
      <c r="G199" s="241"/>
    </row>
    <row r="200" spans="6:7" s="239" customFormat="1" ht="12.75">
      <c r="F200" s="241"/>
      <c r="G200" s="241"/>
    </row>
    <row r="201" spans="6:7" s="239" customFormat="1" ht="12.75">
      <c r="F201" s="241"/>
      <c r="G201" s="241"/>
    </row>
    <row r="202" spans="6:7" s="239" customFormat="1" ht="12.75">
      <c r="F202" s="241"/>
      <c r="G202" s="241"/>
    </row>
    <row r="203" spans="6:7" s="239" customFormat="1" ht="12.75">
      <c r="F203" s="241"/>
      <c r="G203" s="241"/>
    </row>
    <row r="204" spans="6:7" s="239" customFormat="1" ht="12.75">
      <c r="F204" s="241"/>
      <c r="G204" s="241"/>
    </row>
    <row r="205" spans="6:7" s="239" customFormat="1" ht="12.75">
      <c r="F205" s="241"/>
      <c r="G205" s="241"/>
    </row>
    <row r="206" spans="6:7" s="239" customFormat="1" ht="12.75">
      <c r="F206" s="241"/>
      <c r="G206" s="241"/>
    </row>
    <row r="207" spans="6:7" s="239" customFormat="1" ht="12.75">
      <c r="F207" s="241"/>
      <c r="G207" s="241"/>
    </row>
    <row r="208" spans="6:7" s="239" customFormat="1" ht="12.75">
      <c r="F208" s="241"/>
      <c r="G208" s="241"/>
    </row>
    <row r="209" spans="6:7" s="239" customFormat="1" ht="12.75">
      <c r="F209" s="241"/>
      <c r="G209" s="241"/>
    </row>
    <row r="210" spans="6:7" s="239" customFormat="1" ht="12.75">
      <c r="F210" s="241"/>
      <c r="G210" s="241"/>
    </row>
    <row r="211" spans="6:7" s="239" customFormat="1" ht="12.75">
      <c r="F211" s="241"/>
      <c r="G211" s="241"/>
    </row>
    <row r="212" spans="6:7" s="239" customFormat="1" ht="12.75">
      <c r="F212" s="241"/>
      <c r="G212" s="241"/>
    </row>
    <row r="213" spans="6:7" s="239" customFormat="1" ht="12.75">
      <c r="F213" s="241"/>
      <c r="G213" s="241"/>
    </row>
    <row r="214" spans="6:7" s="239" customFormat="1" ht="12.75">
      <c r="F214" s="241"/>
      <c r="G214" s="241"/>
    </row>
    <row r="215" spans="6:7" s="239" customFormat="1" ht="12.75">
      <c r="F215" s="241"/>
      <c r="G215" s="241"/>
    </row>
    <row r="216" spans="6:7" s="239" customFormat="1" ht="12.75">
      <c r="F216" s="241"/>
      <c r="G216" s="241"/>
    </row>
    <row r="217" spans="6:7" s="239" customFormat="1" ht="12.75">
      <c r="F217" s="241"/>
      <c r="G217" s="241"/>
    </row>
    <row r="218" spans="6:7" s="239" customFormat="1" ht="12.75">
      <c r="F218" s="241"/>
      <c r="G218" s="241"/>
    </row>
    <row r="219" spans="6:7" s="239" customFormat="1" ht="12.75">
      <c r="F219" s="241"/>
      <c r="G219" s="241"/>
    </row>
    <row r="220" spans="6:7" s="239" customFormat="1" ht="12.75">
      <c r="F220" s="241"/>
      <c r="G220" s="241"/>
    </row>
    <row r="221" spans="6:7" s="239" customFormat="1" ht="12.75">
      <c r="F221" s="241"/>
      <c r="G221" s="241"/>
    </row>
    <row r="222" spans="6:7" s="239" customFormat="1" ht="12.75">
      <c r="F222" s="241"/>
      <c r="G222" s="241"/>
    </row>
    <row r="223" spans="6:7" s="239" customFormat="1" ht="12.75">
      <c r="F223" s="241"/>
      <c r="G223" s="241"/>
    </row>
    <row r="224" spans="6:7" s="239" customFormat="1" ht="12.75">
      <c r="F224" s="241"/>
      <c r="G224" s="241"/>
    </row>
    <row r="225" spans="6:7" s="239" customFormat="1" ht="12.75">
      <c r="F225" s="241"/>
      <c r="G225" s="241"/>
    </row>
    <row r="226" spans="6:7" s="239" customFormat="1" ht="12.75">
      <c r="F226" s="241"/>
      <c r="G226" s="241"/>
    </row>
    <row r="227" spans="6:7" s="239" customFormat="1" ht="12.75">
      <c r="F227" s="241"/>
      <c r="G227" s="241"/>
    </row>
    <row r="228" spans="6:7" s="239" customFormat="1" ht="12.75">
      <c r="F228" s="241"/>
      <c r="G228" s="241"/>
    </row>
    <row r="229" spans="6:7" s="239" customFormat="1" ht="12.75">
      <c r="F229" s="241"/>
      <c r="G229" s="241"/>
    </row>
    <row r="230" spans="6:7" s="239" customFormat="1" ht="12.75">
      <c r="F230" s="241"/>
      <c r="G230" s="241"/>
    </row>
    <row r="231" spans="6:7" s="239" customFormat="1" ht="12.75">
      <c r="F231" s="241"/>
      <c r="G231" s="241"/>
    </row>
    <row r="232" spans="6:7" s="239" customFormat="1" ht="12.75">
      <c r="F232" s="241"/>
      <c r="G232" s="241"/>
    </row>
    <row r="233" spans="6:7" s="239" customFormat="1" ht="12.75">
      <c r="F233" s="241"/>
      <c r="G233" s="241"/>
    </row>
    <row r="234" spans="6:7" s="239" customFormat="1" ht="12.75">
      <c r="F234" s="241"/>
      <c r="G234" s="241"/>
    </row>
    <row r="235" spans="6:7" s="239" customFormat="1" ht="12.75">
      <c r="F235" s="241"/>
      <c r="G235" s="241"/>
    </row>
    <row r="236" spans="6:7" s="239" customFormat="1" ht="12.75">
      <c r="F236" s="241"/>
      <c r="G236" s="241"/>
    </row>
    <row r="237" spans="6:7" s="239" customFormat="1" ht="12.75">
      <c r="F237" s="241"/>
      <c r="G237" s="241"/>
    </row>
    <row r="238" spans="6:7" s="239" customFormat="1" ht="12.75">
      <c r="F238" s="241"/>
      <c r="G238" s="241"/>
    </row>
    <row r="239" spans="6:7" s="239" customFormat="1" ht="12.75">
      <c r="F239" s="241"/>
      <c r="G239" s="241"/>
    </row>
    <row r="240" spans="6:7" s="239" customFormat="1" ht="12.75">
      <c r="F240" s="241"/>
      <c r="G240" s="241"/>
    </row>
    <row r="241" spans="6:7" s="239" customFormat="1" ht="12.75">
      <c r="F241" s="241"/>
      <c r="G241" s="241"/>
    </row>
    <row r="242" spans="6:7" s="239" customFormat="1" ht="12.75">
      <c r="F242" s="241"/>
      <c r="G242" s="241"/>
    </row>
    <row r="243" spans="6:7" s="239" customFormat="1" ht="12.75">
      <c r="F243" s="241"/>
      <c r="G243" s="241"/>
    </row>
    <row r="244" spans="6:7" s="239" customFormat="1" ht="12.75">
      <c r="F244" s="241"/>
      <c r="G244" s="241"/>
    </row>
    <row r="245" spans="6:7" s="239" customFormat="1" ht="12.75">
      <c r="F245" s="241"/>
      <c r="G245" s="241"/>
    </row>
    <row r="246" spans="6:7" s="239" customFormat="1" ht="12.75">
      <c r="F246" s="241"/>
      <c r="G246" s="241"/>
    </row>
    <row r="247" spans="6:7" s="239" customFormat="1" ht="12.75">
      <c r="F247" s="241"/>
      <c r="G247" s="241"/>
    </row>
    <row r="248" spans="6:7" s="239" customFormat="1" ht="12.75">
      <c r="F248" s="241"/>
      <c r="G248" s="241"/>
    </row>
    <row r="249" spans="6:7" s="239" customFormat="1" ht="12.75">
      <c r="F249" s="241"/>
      <c r="G249" s="241"/>
    </row>
    <row r="250" spans="6:7" s="239" customFormat="1" ht="12.75">
      <c r="F250" s="241"/>
      <c r="G250" s="241"/>
    </row>
    <row r="251" spans="6:7" s="239" customFormat="1" ht="12.75">
      <c r="F251" s="241"/>
      <c r="G251" s="241"/>
    </row>
    <row r="252" spans="6:7" s="239" customFormat="1" ht="12.75">
      <c r="F252" s="241"/>
      <c r="G252" s="241"/>
    </row>
    <row r="253" spans="6:7" s="239" customFormat="1" ht="12.75">
      <c r="F253" s="241"/>
      <c r="G253" s="241"/>
    </row>
    <row r="254" spans="6:7" s="239" customFormat="1" ht="12.75">
      <c r="F254" s="241"/>
      <c r="G254" s="241"/>
    </row>
    <row r="255" spans="6:7" s="239" customFormat="1" ht="12.75">
      <c r="F255" s="241"/>
      <c r="G255" s="241"/>
    </row>
    <row r="256" spans="6:7" s="239" customFormat="1" ht="12.75">
      <c r="F256" s="241"/>
      <c r="G256" s="241"/>
    </row>
    <row r="257" spans="1:17" s="239" customFormat="1" ht="12.75">
      <c r="F257" s="241"/>
      <c r="G257" s="241"/>
    </row>
    <row r="258" spans="1:17" s="239" customFormat="1" ht="12.75">
      <c r="F258" s="241"/>
      <c r="G258" s="241"/>
    </row>
    <row r="259" spans="1:17" s="239" customFormat="1" ht="12.75">
      <c r="F259" s="241"/>
      <c r="G259" s="241"/>
    </row>
    <row r="260" spans="1:17" s="239" customFormat="1" ht="12.75">
      <c r="F260" s="241"/>
      <c r="G260" s="241"/>
    </row>
    <row r="261" spans="1:17" s="239" customFormat="1" ht="12.75">
      <c r="F261" s="241"/>
      <c r="G261" s="241"/>
    </row>
    <row r="262" spans="1:17" s="239" customFormat="1" ht="12.75">
      <c r="F262" s="241"/>
      <c r="G262" s="241"/>
    </row>
    <row r="263" spans="1:17" s="239" customFormat="1" ht="12.75">
      <c r="F263" s="241"/>
      <c r="G263" s="241"/>
    </row>
    <row r="264" spans="1:17" s="239" customFormat="1" ht="12.75">
      <c r="F264" s="241"/>
      <c r="G264" s="241"/>
    </row>
    <row r="265" spans="1:17" s="239" customFormat="1" ht="12.75">
      <c r="F265" s="241"/>
      <c r="G265" s="241"/>
    </row>
    <row r="266" spans="1:17" s="239" customFormat="1" ht="12.75">
      <c r="F266" s="241"/>
      <c r="G266" s="241"/>
    </row>
    <row r="267" spans="1:17" s="239" customFormat="1" ht="12.75">
      <c r="F267" s="241"/>
      <c r="G267" s="241"/>
    </row>
    <row r="268" spans="1:17" s="239" customFormat="1" ht="12.75">
      <c r="F268" s="241"/>
      <c r="G268" s="241"/>
    </row>
    <row r="269" spans="1:17">
      <c r="A269" s="239"/>
      <c r="B269" s="239"/>
      <c r="C269" s="239"/>
      <c r="D269" s="239"/>
      <c r="E269" s="239"/>
      <c r="F269" s="241"/>
      <c r="G269" s="241"/>
      <c r="H269" s="239"/>
      <c r="I269" s="239"/>
      <c r="J269" s="239"/>
      <c r="K269" s="239"/>
      <c r="L269" s="239"/>
      <c r="M269" s="239"/>
      <c r="N269" s="239"/>
      <c r="O269" s="239"/>
      <c r="P269" s="239"/>
      <c r="Q269" s="239"/>
    </row>
    <row r="270" spans="1:17">
      <c r="A270" s="239"/>
      <c r="B270" s="239"/>
      <c r="C270" s="239"/>
      <c r="D270" s="239"/>
      <c r="E270" s="239"/>
      <c r="F270" s="241"/>
      <c r="G270" s="241"/>
      <c r="H270" s="239"/>
      <c r="I270" s="239"/>
      <c r="J270" s="239"/>
      <c r="K270" s="239"/>
      <c r="L270" s="239"/>
      <c r="M270" s="239"/>
      <c r="N270" s="239"/>
      <c r="O270" s="239"/>
      <c r="P270" s="239"/>
      <c r="Q270" s="239"/>
    </row>
    <row r="271" spans="1:17">
      <c r="A271" s="239"/>
      <c r="B271" s="239"/>
      <c r="C271" s="239"/>
      <c r="D271" s="239"/>
      <c r="E271" s="239"/>
      <c r="F271" s="241"/>
      <c r="G271" s="241"/>
      <c r="I271" s="239"/>
      <c r="J271" s="239"/>
      <c r="K271" s="239"/>
      <c r="L271" s="239"/>
      <c r="M271" s="239"/>
      <c r="N271" s="239"/>
      <c r="O271" s="239"/>
      <c r="P271" s="239"/>
      <c r="Q271" s="239"/>
    </row>
  </sheetData>
  <mergeCells count="18">
    <mergeCell ref="A27:Q27"/>
    <mergeCell ref="A28:A167"/>
    <mergeCell ref="D168:F168"/>
    <mergeCell ref="F23:G23"/>
    <mergeCell ref="A25:A26"/>
    <mergeCell ref="B25:B26"/>
    <mergeCell ref="G25:G26"/>
    <mergeCell ref="I25:I26"/>
    <mergeCell ref="K25:K26"/>
    <mergeCell ref="M25:M26"/>
    <mergeCell ref="O25:O26"/>
    <mergeCell ref="Q25:Q26"/>
    <mergeCell ref="H23:Q23"/>
    <mergeCell ref="A4:O4"/>
    <mergeCell ref="A5:O5"/>
    <mergeCell ref="F8:I8"/>
    <mergeCell ref="A19:S19"/>
    <mergeCell ref="A20:S20"/>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9">
    <tabColor indexed="62"/>
  </sheetPr>
  <dimension ref="A1:S247"/>
  <sheetViews>
    <sheetView topLeftCell="A7" zoomScale="78" zoomScaleNormal="78" workbookViewId="0">
      <selection activeCell="I46" sqref="I46"/>
    </sheetView>
  </sheetViews>
  <sheetFormatPr defaultColWidth="8.85546875" defaultRowHeight="15.75"/>
  <cols>
    <col min="1" max="1" width="14" style="178" customWidth="1"/>
    <col min="2" max="2" width="8.7109375" style="178" customWidth="1"/>
    <col min="3" max="3" width="21.28515625" style="178" customWidth="1"/>
    <col min="4" max="4" width="42" style="178" customWidth="1"/>
    <col min="5" max="5" width="17" style="178" customWidth="1"/>
    <col min="6" max="6" width="18.28515625" style="165" customWidth="1"/>
    <col min="7" max="7" width="16" style="165" customWidth="1"/>
    <col min="8" max="8" width="21.28515625" style="178" customWidth="1"/>
    <col min="9" max="9" width="25.5703125" style="178" customWidth="1"/>
    <col min="10" max="10" width="20.5703125" style="178" customWidth="1"/>
    <col min="11" max="11" width="21.140625" style="178" customWidth="1"/>
    <col min="12" max="12" width="20" style="178" customWidth="1"/>
    <col min="13" max="13" width="19" style="178" customWidth="1"/>
    <col min="14" max="14" width="19.5703125" style="178" customWidth="1"/>
    <col min="15" max="15" width="19.140625" style="178" customWidth="1"/>
    <col min="16" max="16" width="19.5703125" style="178" customWidth="1"/>
    <col min="17" max="17" width="19.140625" style="178" customWidth="1"/>
    <col min="18" max="18" width="12.42578125" style="178" customWidth="1"/>
    <col min="19" max="16384" width="8.85546875" style="178"/>
  </cols>
  <sheetData>
    <row r="1" spans="1:17" ht="16.5" thickBot="1">
      <c r="B1" s="179"/>
      <c r="C1" s="179"/>
      <c r="D1" s="180"/>
      <c r="E1" s="180"/>
      <c r="F1" s="181"/>
      <c r="G1" s="181"/>
      <c r="H1" s="181"/>
      <c r="I1" s="181"/>
      <c r="J1" s="181"/>
      <c r="K1" s="180"/>
      <c r="L1" s="181"/>
    </row>
    <row r="2" spans="1:17" ht="9" customHeight="1">
      <c r="A2" s="182"/>
      <c r="B2" s="183"/>
      <c r="C2" s="183"/>
      <c r="D2" s="184"/>
      <c r="E2" s="184"/>
      <c r="F2" s="185"/>
      <c r="G2" s="185"/>
      <c r="H2" s="185"/>
      <c r="I2" s="186"/>
      <c r="J2" s="186"/>
      <c r="K2" s="186"/>
      <c r="L2" s="186"/>
      <c r="M2" s="182"/>
      <c r="N2" s="182"/>
      <c r="O2" s="182"/>
      <c r="P2" s="182"/>
      <c r="Q2" s="182"/>
    </row>
    <row r="3" spans="1:17" ht="10.5" customHeight="1">
      <c r="B3" s="179"/>
      <c r="C3" s="179"/>
      <c r="D3" s="180"/>
      <c r="E3" s="180"/>
      <c r="F3" s="181"/>
      <c r="G3" s="181"/>
      <c r="H3" s="181"/>
      <c r="I3" s="187"/>
      <c r="J3" s="187"/>
      <c r="K3" s="187"/>
      <c r="L3" s="187"/>
    </row>
    <row r="4" spans="1:17" ht="36" customHeight="1">
      <c r="A4" s="1329" t="s">
        <v>3769</v>
      </c>
      <c r="B4" s="979"/>
      <c r="C4" s="979"/>
      <c r="D4" s="979"/>
      <c r="E4" s="979"/>
      <c r="F4" s="979"/>
      <c r="G4" s="979"/>
      <c r="H4" s="979"/>
      <c r="I4" s="979"/>
      <c r="J4" s="979"/>
      <c r="K4" s="979"/>
      <c r="L4" s="979"/>
      <c r="M4" s="979"/>
      <c r="N4" s="979"/>
      <c r="O4" s="979"/>
      <c r="P4" s="104"/>
      <c r="Q4" s="104"/>
    </row>
    <row r="5" spans="1:17" s="188" customFormat="1" ht="46.5" customHeight="1">
      <c r="A5" s="1330" t="s">
        <v>3780</v>
      </c>
      <c r="B5" s="1213"/>
      <c r="C5" s="1213"/>
      <c r="D5" s="1213"/>
      <c r="E5" s="1213"/>
      <c r="F5" s="1213"/>
      <c r="G5" s="1213"/>
      <c r="H5" s="1213"/>
      <c r="I5" s="1213"/>
      <c r="J5" s="1213"/>
      <c r="K5" s="1213"/>
      <c r="L5" s="1213"/>
      <c r="M5" s="1213"/>
      <c r="N5" s="1213"/>
      <c r="O5" s="1213"/>
      <c r="P5" s="114"/>
      <c r="Q5" s="114"/>
    </row>
    <row r="6" spans="1:17" ht="9" customHeight="1" thickBot="1">
      <c r="A6" s="189"/>
      <c r="B6" s="190"/>
      <c r="C6" s="190"/>
      <c r="D6" s="191"/>
      <c r="E6" s="191"/>
      <c r="F6" s="192"/>
      <c r="G6" s="192"/>
      <c r="H6" s="192"/>
      <c r="I6" s="193"/>
      <c r="J6" s="193"/>
      <c r="K6" s="193"/>
      <c r="L6" s="193"/>
      <c r="M6" s="189"/>
      <c r="N6" s="189"/>
      <c r="O6" s="189"/>
      <c r="P6" s="189"/>
      <c r="Q6" s="189"/>
    </row>
    <row r="7" spans="1:17" s="187" customFormat="1" ht="14.25">
      <c r="B7" s="194"/>
      <c r="C7" s="194"/>
      <c r="D7" s="195"/>
      <c r="E7" s="195"/>
      <c r="F7" s="195"/>
      <c r="G7" s="195"/>
      <c r="H7" s="195"/>
      <c r="I7" s="195"/>
      <c r="J7" s="195"/>
      <c r="K7" s="195"/>
      <c r="L7" s="195"/>
      <c r="M7" s="195"/>
      <c r="N7" s="195"/>
      <c r="O7" s="195"/>
      <c r="P7" s="195"/>
      <c r="Q7" s="195"/>
    </row>
    <row r="8" spans="1:17" s="187" customFormat="1">
      <c r="F8" s="1188" t="s">
        <v>3</v>
      </c>
      <c r="G8" s="1188"/>
      <c r="H8" s="1188"/>
      <c r="I8" s="1352"/>
      <c r="J8" s="178"/>
      <c r="K8" s="178"/>
      <c r="L8" s="178"/>
    </row>
    <row r="9" spans="1:17" s="187" customFormat="1" ht="14.25">
      <c r="C9" s="123"/>
      <c r="D9" s="113"/>
      <c r="F9" s="123" t="s">
        <v>210</v>
      </c>
      <c r="G9" s="113" t="s">
        <v>58</v>
      </c>
      <c r="H9" s="196"/>
      <c r="I9" s="197"/>
      <c r="J9" s="198"/>
      <c r="L9" s="198"/>
    </row>
    <row r="10" spans="1:17" s="187" customFormat="1" ht="14.25">
      <c r="C10" s="123"/>
      <c r="D10" s="113"/>
      <c r="F10" s="123" t="s">
        <v>212</v>
      </c>
      <c r="G10" s="113" t="s">
        <v>59</v>
      </c>
      <c r="H10" s="196"/>
      <c r="I10" s="197"/>
      <c r="J10" s="198"/>
      <c r="L10" s="198"/>
    </row>
    <row r="11" spans="1:17" s="187" customFormat="1" ht="14.25">
      <c r="C11" s="123"/>
      <c r="D11" s="113"/>
      <c r="F11" s="123" t="s">
        <v>214</v>
      </c>
      <c r="G11" s="113" t="s">
        <v>26</v>
      </c>
      <c r="H11" s="196"/>
      <c r="I11" s="197"/>
      <c r="J11" s="198"/>
      <c r="L11" s="198"/>
    </row>
    <row r="12" spans="1:17" s="187" customFormat="1" ht="14.25">
      <c r="C12" s="123"/>
      <c r="D12" s="113"/>
      <c r="F12" s="123" t="s">
        <v>8</v>
      </c>
      <c r="G12" s="113" t="s">
        <v>3772</v>
      </c>
      <c r="H12" s="196"/>
      <c r="I12" s="197"/>
      <c r="J12" s="198"/>
      <c r="L12" s="198"/>
    </row>
    <row r="13" spans="1:17" s="187" customFormat="1" ht="14.25">
      <c r="C13" s="123"/>
      <c r="D13" s="113"/>
      <c r="E13" s="199"/>
      <c r="F13" s="123" t="s">
        <v>9</v>
      </c>
      <c r="G13" s="113" t="s">
        <v>3773</v>
      </c>
      <c r="H13" s="196"/>
      <c r="I13" s="197"/>
      <c r="J13" s="198"/>
      <c r="L13" s="198"/>
    </row>
    <row r="14" spans="1:17" s="187" customFormat="1" ht="14.25">
      <c r="C14" s="123"/>
      <c r="D14" s="113"/>
      <c r="F14" s="123" t="s">
        <v>10</v>
      </c>
      <c r="G14" s="113" t="s">
        <v>3776</v>
      </c>
      <c r="H14" s="196"/>
      <c r="I14" s="197"/>
      <c r="J14" s="198"/>
      <c r="L14" s="198"/>
    </row>
    <row r="15" spans="1:17" s="187" customFormat="1" ht="14.25">
      <c r="C15" s="123"/>
      <c r="D15" s="113"/>
      <c r="F15" s="123" t="s">
        <v>99</v>
      </c>
      <c r="G15" s="113" t="s">
        <v>806</v>
      </c>
      <c r="H15" s="196"/>
      <c r="I15" s="197"/>
      <c r="J15" s="198"/>
      <c r="L15" s="198"/>
    </row>
    <row r="16" spans="1:17" s="113" customFormat="1" ht="14.25">
      <c r="C16" s="123"/>
      <c r="F16" s="123" t="s">
        <v>13</v>
      </c>
      <c r="G16" s="113" t="s">
        <v>60</v>
      </c>
      <c r="H16" s="196"/>
      <c r="I16" s="200"/>
    </row>
    <row r="17" spans="1:19" s="113" customFormat="1" ht="14.25">
      <c r="C17" s="123"/>
      <c r="F17" s="123" t="s">
        <v>16</v>
      </c>
      <c r="G17" s="113" t="s">
        <v>61</v>
      </c>
      <c r="H17" s="196"/>
      <c r="I17" s="200"/>
    </row>
    <row r="18" spans="1:19" s="187" customFormat="1" ht="14.25">
      <c r="C18" s="123"/>
      <c r="D18" s="113"/>
      <c r="F18" s="123" t="s">
        <v>220</v>
      </c>
      <c r="G18" s="113" t="s">
        <v>807</v>
      </c>
      <c r="H18" s="196"/>
      <c r="I18" s="200"/>
      <c r="J18" s="201"/>
      <c r="L18" s="201"/>
    </row>
    <row r="19" spans="1:19" s="187" customFormat="1" ht="14.25">
      <c r="C19" s="123"/>
      <c r="D19" s="113"/>
      <c r="F19" s="123" t="s">
        <v>21</v>
      </c>
      <c r="G19" s="113" t="s">
        <v>3777</v>
      </c>
      <c r="H19" s="196"/>
      <c r="I19" s="200"/>
      <c r="J19" s="201"/>
      <c r="L19" s="201"/>
    </row>
    <row r="20" spans="1:19" s="187" customFormat="1" ht="14.25">
      <c r="C20" s="123"/>
      <c r="D20" s="202"/>
      <c r="F20" s="123" t="s">
        <v>22</v>
      </c>
      <c r="G20" s="202" t="s">
        <v>3778</v>
      </c>
      <c r="H20" s="196"/>
      <c r="I20" s="196"/>
      <c r="J20" s="201"/>
      <c r="L20" s="201"/>
    </row>
    <row r="21" spans="1:19" s="113" customFormat="1" ht="14.25">
      <c r="A21" s="1188" t="s">
        <v>23</v>
      </c>
      <c r="B21" s="1188"/>
      <c r="C21" s="1188"/>
      <c r="D21" s="1188"/>
      <c r="E21" s="1188"/>
      <c r="F21" s="1188"/>
      <c r="G21" s="1188"/>
      <c r="H21" s="1188"/>
      <c r="I21" s="1188"/>
      <c r="J21" s="1188"/>
      <c r="K21" s="1188"/>
      <c r="L21" s="1188"/>
      <c r="M21" s="1188"/>
      <c r="N21" s="1188"/>
      <c r="O21" s="1188"/>
      <c r="P21" s="1188"/>
      <c r="Q21" s="1188"/>
      <c r="R21" s="1188"/>
      <c r="S21" s="1188"/>
    </row>
    <row r="22" spans="1:19" s="113" customFormat="1" ht="14.25">
      <c r="A22" s="1335" t="s">
        <v>887</v>
      </c>
      <c r="B22" s="1336"/>
      <c r="C22" s="1336"/>
      <c r="D22" s="1336"/>
      <c r="E22" s="1336"/>
      <c r="F22" s="1336"/>
      <c r="G22" s="1336"/>
      <c r="H22" s="1336"/>
      <c r="I22" s="1336"/>
      <c r="J22" s="1336"/>
      <c r="K22" s="1336"/>
      <c r="L22" s="1336"/>
      <c r="M22" s="1336"/>
      <c r="N22" s="1336"/>
      <c r="O22" s="1336"/>
      <c r="P22" s="1336"/>
      <c r="Q22" s="1336"/>
      <c r="R22" s="1336"/>
      <c r="S22" s="1336"/>
    </row>
    <row r="23" spans="1:19" s="187" customFormat="1" ht="12.75" customHeight="1">
      <c r="B23" s="203"/>
      <c r="C23" s="203"/>
      <c r="D23" s="204"/>
      <c r="E23" s="204"/>
      <c r="F23" s="205"/>
      <c r="G23" s="205"/>
      <c r="I23" s="188"/>
      <c r="J23" s="188"/>
      <c r="K23" s="188"/>
      <c r="L23" s="188"/>
    </row>
    <row r="24" spans="1:19" s="187" customFormat="1" ht="12.75" customHeight="1" thickBot="1">
      <c r="D24" s="204"/>
      <c r="E24" s="204"/>
      <c r="F24" s="205"/>
      <c r="G24" s="205"/>
      <c r="I24" s="206"/>
      <c r="J24" s="206"/>
      <c r="K24" s="206"/>
      <c r="L24" s="206"/>
    </row>
    <row r="25" spans="1:19" s="187" customFormat="1" ht="15.75" customHeight="1" thickBot="1">
      <c r="F25" s="1217" t="s">
        <v>167</v>
      </c>
      <c r="G25" s="1008"/>
      <c r="H25" s="1332" t="s">
        <v>168</v>
      </c>
      <c r="I25" s="1333"/>
      <c r="J25" s="1333"/>
      <c r="K25" s="1333"/>
      <c r="L25" s="1333"/>
      <c r="M25" s="1333"/>
      <c r="N25" s="1333"/>
      <c r="O25" s="1333"/>
      <c r="P25" s="1333"/>
      <c r="Q25" s="1334"/>
    </row>
    <row r="26" spans="1:19" s="209" customFormat="1" ht="63.75" customHeight="1" thickBot="1">
      <c r="A26" s="207" t="s">
        <v>122</v>
      </c>
      <c r="B26" s="207" t="s">
        <v>169</v>
      </c>
      <c r="C26" s="208" t="s">
        <v>170</v>
      </c>
      <c r="D26" s="208" t="s">
        <v>171</v>
      </c>
      <c r="E26" s="208" t="s">
        <v>172</v>
      </c>
      <c r="F26" s="208" t="s">
        <v>173</v>
      </c>
      <c r="G26" s="207" t="s">
        <v>174</v>
      </c>
      <c r="H26" s="208" t="s">
        <v>176</v>
      </c>
      <c r="I26" s="207" t="s">
        <v>174</v>
      </c>
      <c r="J26" s="208" t="s">
        <v>177</v>
      </c>
      <c r="K26" s="207" t="s">
        <v>174</v>
      </c>
      <c r="L26" s="208" t="s">
        <v>178</v>
      </c>
      <c r="M26" s="207" t="s">
        <v>174</v>
      </c>
      <c r="N26" s="208" t="s">
        <v>157</v>
      </c>
      <c r="O26" s="207" t="s">
        <v>174</v>
      </c>
      <c r="P26" s="208" t="s">
        <v>824</v>
      </c>
      <c r="Q26" s="207" t="s">
        <v>174</v>
      </c>
    </row>
    <row r="27" spans="1:19" s="213" customFormat="1" ht="26.25" customHeight="1" thickBot="1">
      <c r="A27" s="1345" t="s">
        <v>998</v>
      </c>
      <c r="B27" s="1347"/>
      <c r="C27" s="210" t="s">
        <v>3646</v>
      </c>
      <c r="D27" s="211" t="s">
        <v>3645</v>
      </c>
      <c r="E27" s="212">
        <v>255928.07</v>
      </c>
      <c r="F27" s="969">
        <f>SUM(E27:E28)*(1-51.6%)</f>
        <v>123994.54188</v>
      </c>
      <c r="G27" s="987">
        <f>F27*B27</f>
        <v>0</v>
      </c>
      <c r="H27" s="73">
        <f>F27*0.03137</f>
        <v>3889.7087787756004</v>
      </c>
      <c r="I27" s="987">
        <f>H27*B27</f>
        <v>0</v>
      </c>
      <c r="J27" s="73">
        <f>F27*0.0274</f>
        <v>3397.4504475120002</v>
      </c>
      <c r="K27" s="987">
        <f>J27*B27</f>
        <v>0</v>
      </c>
      <c r="L27" s="77">
        <f>F27*0.0228</f>
        <v>2827.0755548640004</v>
      </c>
      <c r="M27" s="987">
        <f>L27*B27</f>
        <v>0</v>
      </c>
      <c r="N27" s="77">
        <f>F27*0.0204</f>
        <v>2529.4886543520001</v>
      </c>
      <c r="O27" s="987">
        <f>N27*B27</f>
        <v>0</v>
      </c>
      <c r="P27" s="77">
        <f>F27*0.0185</f>
        <v>2293.8990247799998</v>
      </c>
      <c r="Q27" s="987">
        <f>P27*B27</f>
        <v>0</v>
      </c>
    </row>
    <row r="28" spans="1:19" s="219" customFormat="1" ht="13.5" customHeight="1" thickBot="1">
      <c r="A28" s="1346"/>
      <c r="B28" s="1348"/>
      <c r="C28" s="214" t="s">
        <v>104</v>
      </c>
      <c r="D28" s="215" t="s">
        <v>180</v>
      </c>
      <c r="E28" s="216">
        <v>259</v>
      </c>
      <c r="F28" s="970" t="s">
        <v>162</v>
      </c>
      <c r="G28" s="1349"/>
      <c r="H28" s="217" t="s">
        <v>162</v>
      </c>
      <c r="I28" s="1349"/>
      <c r="J28" s="217" t="s">
        <v>162</v>
      </c>
      <c r="K28" s="1349"/>
      <c r="L28" s="218" t="s">
        <v>162</v>
      </c>
      <c r="M28" s="1350"/>
      <c r="N28" s="218" t="s">
        <v>162</v>
      </c>
      <c r="O28" s="1351"/>
      <c r="P28" s="218" t="s">
        <v>162</v>
      </c>
      <c r="Q28" s="1351"/>
    </row>
    <row r="29" spans="1:19" s="219" customFormat="1" ht="12.6" customHeight="1" thickBot="1">
      <c r="A29" s="1337" t="s">
        <v>182</v>
      </c>
      <c r="B29" s="1338"/>
      <c r="C29" s="1338"/>
      <c r="D29" s="1338"/>
      <c r="E29" s="1338"/>
      <c r="F29" s="1338"/>
      <c r="G29" s="1338"/>
      <c r="H29" s="1338"/>
      <c r="I29" s="1338"/>
      <c r="J29" s="1338"/>
      <c r="K29" s="1338"/>
      <c r="L29" s="1338"/>
      <c r="M29" s="1338"/>
      <c r="N29" s="1338"/>
      <c r="O29" s="1338"/>
      <c r="P29" s="1338"/>
      <c r="Q29" s="1339"/>
      <c r="R29" s="220"/>
      <c r="S29" s="220"/>
    </row>
    <row r="30" spans="1:19" s="219" customFormat="1" ht="26.25" thickBot="1">
      <c r="A30" s="1357"/>
      <c r="B30" s="646"/>
      <c r="C30" s="700" t="s">
        <v>796</v>
      </c>
      <c r="D30" s="701" t="s">
        <v>762</v>
      </c>
      <c r="E30" s="702">
        <v>2940</v>
      </c>
      <c r="F30" s="575">
        <f t="shared" ref="F30:F61" si="0">E30*(1-45%)</f>
        <v>1617.0000000000002</v>
      </c>
      <c r="G30" s="17">
        <f t="shared" ref="G30:G61" si="1">F30*B30</f>
        <v>0</v>
      </c>
      <c r="H30" s="15">
        <f t="shared" ref="H30:H61" si="2">F30*0.03137</f>
        <v>50.725290000000008</v>
      </c>
      <c r="I30" s="15">
        <f t="shared" ref="I30:I61" si="3">H30*B30</f>
        <v>0</v>
      </c>
      <c r="J30" s="15">
        <f t="shared" ref="J30:J61" si="4">F30*0.0274</f>
        <v>44.305800000000005</v>
      </c>
      <c r="K30" s="15">
        <f t="shared" ref="K30:K61" si="5">J30*B30</f>
        <v>0</v>
      </c>
      <c r="L30" s="15">
        <f t="shared" ref="L30:L61" si="6">F30*0.0228</f>
        <v>36.867600000000003</v>
      </c>
      <c r="M30" s="15">
        <f t="shared" ref="M30:M61" si="7">L30*B30</f>
        <v>0</v>
      </c>
      <c r="N30" s="15">
        <f t="shared" ref="N30:N61" si="8">F30*0.0204</f>
        <v>32.986800000000009</v>
      </c>
      <c r="O30" s="15">
        <f t="shared" ref="O30:O61" si="9">N30*B30</f>
        <v>0</v>
      </c>
      <c r="P30" s="15">
        <f t="shared" ref="P30:P61" si="10">H30*0.0185</f>
        <v>0.93841786500000013</v>
      </c>
      <c r="Q30" s="18">
        <f t="shared" ref="Q30:Q61" si="11">P30*B30</f>
        <v>0</v>
      </c>
      <c r="R30" s="220"/>
      <c r="S30" s="220"/>
    </row>
    <row r="31" spans="1:19" s="219" customFormat="1" ht="13.5" thickBot="1">
      <c r="A31" s="1358"/>
      <c r="B31" s="221"/>
      <c r="C31" s="234" t="s">
        <v>278</v>
      </c>
      <c r="D31" s="223" t="s">
        <v>3705</v>
      </c>
      <c r="E31" s="224">
        <v>5200</v>
      </c>
      <c r="F31" s="13">
        <f t="shared" si="0"/>
        <v>2860.0000000000005</v>
      </c>
      <c r="G31" s="16">
        <f t="shared" si="1"/>
        <v>0</v>
      </c>
      <c r="H31" s="14">
        <f t="shared" si="2"/>
        <v>89.718200000000024</v>
      </c>
      <c r="I31" s="15">
        <f t="shared" si="3"/>
        <v>0</v>
      </c>
      <c r="J31" s="15">
        <f t="shared" si="4"/>
        <v>78.364000000000019</v>
      </c>
      <c r="K31" s="15">
        <f t="shared" si="5"/>
        <v>0</v>
      </c>
      <c r="L31" s="15">
        <f t="shared" si="6"/>
        <v>65.208000000000013</v>
      </c>
      <c r="M31" s="15">
        <f t="shared" si="7"/>
        <v>0</v>
      </c>
      <c r="N31" s="15">
        <f t="shared" si="8"/>
        <v>58.344000000000015</v>
      </c>
      <c r="O31" s="15">
        <f t="shared" si="9"/>
        <v>0</v>
      </c>
      <c r="P31" s="15">
        <f t="shared" si="10"/>
        <v>1.6597867000000004</v>
      </c>
      <c r="Q31" s="18">
        <f t="shared" si="11"/>
        <v>0</v>
      </c>
      <c r="R31" s="220"/>
      <c r="S31" s="220"/>
    </row>
    <row r="32" spans="1:19" s="219" customFormat="1" ht="13.5" thickBot="1">
      <c r="A32" s="1358"/>
      <c r="B32" s="221"/>
      <c r="C32" s="234">
        <v>45206625</v>
      </c>
      <c r="D32" s="223" t="s">
        <v>3701</v>
      </c>
      <c r="E32" s="224">
        <v>418</v>
      </c>
      <c r="F32" s="13">
        <f t="shared" si="0"/>
        <v>229.9</v>
      </c>
      <c r="G32" s="16">
        <f t="shared" si="1"/>
        <v>0</v>
      </c>
      <c r="H32" s="14">
        <f t="shared" si="2"/>
        <v>7.2119630000000008</v>
      </c>
      <c r="I32" s="15">
        <f t="shared" si="3"/>
        <v>0</v>
      </c>
      <c r="J32" s="15">
        <f t="shared" si="4"/>
        <v>6.2992600000000003</v>
      </c>
      <c r="K32" s="15">
        <f t="shared" si="5"/>
        <v>0</v>
      </c>
      <c r="L32" s="15">
        <f t="shared" si="6"/>
        <v>5.2417199999999999</v>
      </c>
      <c r="M32" s="15">
        <f t="shared" si="7"/>
        <v>0</v>
      </c>
      <c r="N32" s="15">
        <f t="shared" si="8"/>
        <v>4.6899600000000001</v>
      </c>
      <c r="O32" s="15">
        <f t="shared" si="9"/>
        <v>0</v>
      </c>
      <c r="P32" s="15">
        <f t="shared" si="10"/>
        <v>0.1334213155</v>
      </c>
      <c r="Q32" s="18">
        <f t="shared" si="11"/>
        <v>0</v>
      </c>
      <c r="R32" s="220"/>
      <c r="S32" s="220"/>
    </row>
    <row r="33" spans="1:19" s="219" customFormat="1" ht="13.5" thickBot="1">
      <c r="A33" s="1358"/>
      <c r="B33" s="221"/>
      <c r="C33" s="222" t="s">
        <v>3491</v>
      </c>
      <c r="D33" s="223" t="s">
        <v>3568</v>
      </c>
      <c r="E33" s="224">
        <v>399</v>
      </c>
      <c r="F33" s="13">
        <f t="shared" si="0"/>
        <v>219.45000000000002</v>
      </c>
      <c r="G33" s="16">
        <f t="shared" si="1"/>
        <v>0</v>
      </c>
      <c r="H33" s="14">
        <f t="shared" si="2"/>
        <v>6.8841465000000008</v>
      </c>
      <c r="I33" s="15">
        <f t="shared" si="3"/>
        <v>0</v>
      </c>
      <c r="J33" s="15">
        <f t="shared" si="4"/>
        <v>6.0129300000000008</v>
      </c>
      <c r="K33" s="15">
        <f t="shared" si="5"/>
        <v>0</v>
      </c>
      <c r="L33" s="15">
        <f t="shared" si="6"/>
        <v>5.0034600000000005</v>
      </c>
      <c r="M33" s="15">
        <f t="shared" si="7"/>
        <v>0</v>
      </c>
      <c r="N33" s="15">
        <f t="shared" si="8"/>
        <v>4.4767800000000006</v>
      </c>
      <c r="O33" s="18">
        <f t="shared" si="9"/>
        <v>0</v>
      </c>
      <c r="P33" s="15">
        <f t="shared" si="10"/>
        <v>0.12735671025</v>
      </c>
      <c r="Q33" s="18">
        <f t="shared" si="11"/>
        <v>0</v>
      </c>
      <c r="R33" s="220"/>
      <c r="S33" s="220"/>
    </row>
    <row r="34" spans="1:19" s="219" customFormat="1" ht="13.5" thickBot="1">
      <c r="A34" s="1358"/>
      <c r="B34" s="221"/>
      <c r="C34" s="222" t="s">
        <v>3732</v>
      </c>
      <c r="D34" s="223" t="s">
        <v>3664</v>
      </c>
      <c r="E34" s="224">
        <v>2792.78</v>
      </c>
      <c r="F34" s="13">
        <f t="shared" si="0"/>
        <v>1536.0290000000002</v>
      </c>
      <c r="G34" s="16">
        <f t="shared" si="1"/>
        <v>0</v>
      </c>
      <c r="H34" s="14">
        <f t="shared" si="2"/>
        <v>48.18522973000001</v>
      </c>
      <c r="I34" s="15">
        <f t="shared" si="3"/>
        <v>0</v>
      </c>
      <c r="J34" s="15">
        <f t="shared" si="4"/>
        <v>42.087194600000011</v>
      </c>
      <c r="K34" s="15">
        <f t="shared" si="5"/>
        <v>0</v>
      </c>
      <c r="L34" s="15">
        <f t="shared" si="6"/>
        <v>35.021461200000005</v>
      </c>
      <c r="M34" s="15">
        <f t="shared" si="7"/>
        <v>0</v>
      </c>
      <c r="N34" s="15">
        <f t="shared" si="8"/>
        <v>31.334991600000006</v>
      </c>
      <c r="O34" s="18">
        <f t="shared" si="9"/>
        <v>0</v>
      </c>
      <c r="P34" s="15">
        <f t="shared" si="10"/>
        <v>0.89142675000500016</v>
      </c>
      <c r="Q34" s="18">
        <f t="shared" si="11"/>
        <v>0</v>
      </c>
      <c r="R34" s="220"/>
      <c r="S34" s="220"/>
    </row>
    <row r="35" spans="1:19" s="219" customFormat="1" ht="13.5" thickBot="1">
      <c r="A35" s="1358"/>
      <c r="B35" s="221"/>
      <c r="C35" s="222" t="s">
        <v>541</v>
      </c>
      <c r="D35" s="223" t="s">
        <v>3667</v>
      </c>
      <c r="E35" s="224">
        <v>10560</v>
      </c>
      <c r="F35" s="13">
        <f t="shared" si="0"/>
        <v>5808.0000000000009</v>
      </c>
      <c r="G35" s="16">
        <f t="shared" si="1"/>
        <v>0</v>
      </c>
      <c r="H35" s="14">
        <f t="shared" si="2"/>
        <v>182.19696000000005</v>
      </c>
      <c r="I35" s="15">
        <f t="shared" si="3"/>
        <v>0</v>
      </c>
      <c r="J35" s="15">
        <f t="shared" si="4"/>
        <v>159.13920000000002</v>
      </c>
      <c r="K35" s="15">
        <f t="shared" si="5"/>
        <v>0</v>
      </c>
      <c r="L35" s="15">
        <f t="shared" si="6"/>
        <v>132.42240000000004</v>
      </c>
      <c r="M35" s="15">
        <f t="shared" si="7"/>
        <v>0</v>
      </c>
      <c r="N35" s="15">
        <f t="shared" si="8"/>
        <v>118.48320000000002</v>
      </c>
      <c r="O35" s="18">
        <f t="shared" si="9"/>
        <v>0</v>
      </c>
      <c r="P35" s="15">
        <f t="shared" si="10"/>
        <v>3.3706437600000005</v>
      </c>
      <c r="Q35" s="18">
        <f t="shared" si="11"/>
        <v>0</v>
      </c>
      <c r="R35" s="220"/>
      <c r="S35" s="220"/>
    </row>
    <row r="36" spans="1:19" s="219" customFormat="1" ht="13.5" thickBot="1">
      <c r="A36" s="1358"/>
      <c r="B36" s="221"/>
      <c r="C36" s="90" t="s">
        <v>3743</v>
      </c>
      <c r="D36" s="235" t="s">
        <v>3677</v>
      </c>
      <c r="E36" s="236">
        <v>3357</v>
      </c>
      <c r="F36" s="13">
        <f t="shared" si="0"/>
        <v>1846.3500000000001</v>
      </c>
      <c r="G36" s="16">
        <f t="shared" si="1"/>
        <v>0</v>
      </c>
      <c r="H36" s="14">
        <f t="shared" si="2"/>
        <v>57.91999950000001</v>
      </c>
      <c r="I36" s="15">
        <f t="shared" si="3"/>
        <v>0</v>
      </c>
      <c r="J36" s="15">
        <f t="shared" si="4"/>
        <v>50.589990000000007</v>
      </c>
      <c r="K36" s="15">
        <f t="shared" si="5"/>
        <v>0</v>
      </c>
      <c r="L36" s="15">
        <f t="shared" si="6"/>
        <v>42.096780000000003</v>
      </c>
      <c r="M36" s="15">
        <f t="shared" si="7"/>
        <v>0</v>
      </c>
      <c r="N36" s="15">
        <f t="shared" si="8"/>
        <v>37.665540000000007</v>
      </c>
      <c r="O36" s="15">
        <f t="shared" si="9"/>
        <v>0</v>
      </c>
      <c r="P36" s="15">
        <f t="shared" si="10"/>
        <v>1.0715199907500002</v>
      </c>
      <c r="Q36" s="18">
        <f t="shared" si="11"/>
        <v>0</v>
      </c>
      <c r="R36" s="220"/>
      <c r="S36" s="220"/>
    </row>
    <row r="37" spans="1:19" s="219" customFormat="1" ht="13.5" thickBot="1">
      <c r="A37" s="1358"/>
      <c r="B37" s="221"/>
      <c r="C37" s="90" t="s">
        <v>615</v>
      </c>
      <c r="D37" s="235" t="s">
        <v>763</v>
      </c>
      <c r="E37" s="236">
        <v>4162.78</v>
      </c>
      <c r="F37" s="13">
        <f t="shared" si="0"/>
        <v>2289.529</v>
      </c>
      <c r="G37" s="17">
        <f t="shared" si="1"/>
        <v>0</v>
      </c>
      <c r="H37" s="15">
        <f t="shared" si="2"/>
        <v>71.822524729999998</v>
      </c>
      <c r="I37" s="15">
        <f t="shared" si="3"/>
        <v>0</v>
      </c>
      <c r="J37" s="15">
        <f t="shared" si="4"/>
        <v>62.733094600000001</v>
      </c>
      <c r="K37" s="15">
        <f t="shared" si="5"/>
        <v>0</v>
      </c>
      <c r="L37" s="15">
        <f t="shared" si="6"/>
        <v>52.201261200000005</v>
      </c>
      <c r="M37" s="15">
        <f t="shared" si="7"/>
        <v>0</v>
      </c>
      <c r="N37" s="15">
        <f t="shared" si="8"/>
        <v>46.706391600000003</v>
      </c>
      <c r="O37" s="15">
        <f t="shared" si="9"/>
        <v>0</v>
      </c>
      <c r="P37" s="15">
        <f t="shared" si="10"/>
        <v>1.3287167075049999</v>
      </c>
      <c r="Q37" s="18">
        <f t="shared" si="11"/>
        <v>0</v>
      </c>
      <c r="R37" s="220"/>
      <c r="S37" s="220"/>
    </row>
    <row r="38" spans="1:19" s="219" customFormat="1" ht="13.5" thickBot="1">
      <c r="A38" s="1358"/>
      <c r="B38" s="221"/>
      <c r="C38" s="90" t="s">
        <v>609</v>
      </c>
      <c r="D38" s="235" t="s">
        <v>764</v>
      </c>
      <c r="E38" s="236">
        <v>1387.59</v>
      </c>
      <c r="F38" s="13">
        <f t="shared" si="0"/>
        <v>763.17449999999997</v>
      </c>
      <c r="G38" s="16">
        <f t="shared" si="1"/>
        <v>0</v>
      </c>
      <c r="H38" s="14">
        <f t="shared" si="2"/>
        <v>23.940784064999999</v>
      </c>
      <c r="I38" s="15">
        <f t="shared" si="3"/>
        <v>0</v>
      </c>
      <c r="J38" s="15">
        <f t="shared" si="4"/>
        <v>20.9109813</v>
      </c>
      <c r="K38" s="15">
        <f t="shared" si="5"/>
        <v>0</v>
      </c>
      <c r="L38" s="15">
        <f t="shared" si="6"/>
        <v>17.4003786</v>
      </c>
      <c r="M38" s="15">
        <f t="shared" si="7"/>
        <v>0</v>
      </c>
      <c r="N38" s="15">
        <f t="shared" si="8"/>
        <v>15.5687598</v>
      </c>
      <c r="O38" s="15">
        <f t="shared" si="9"/>
        <v>0</v>
      </c>
      <c r="P38" s="15">
        <f t="shared" si="10"/>
        <v>0.44290450520249997</v>
      </c>
      <c r="Q38" s="18">
        <f t="shared" si="11"/>
        <v>0</v>
      </c>
      <c r="R38" s="220"/>
      <c r="S38" s="220"/>
    </row>
    <row r="39" spans="1:19" s="233" customFormat="1" ht="13.5" thickBot="1">
      <c r="A39" s="1358"/>
      <c r="B39" s="221"/>
      <c r="C39" s="90" t="s">
        <v>607</v>
      </c>
      <c r="D39" s="235" t="s">
        <v>765</v>
      </c>
      <c r="E39" s="236">
        <v>1387.59</v>
      </c>
      <c r="F39" s="13">
        <f t="shared" si="0"/>
        <v>763.17449999999997</v>
      </c>
      <c r="G39" s="16">
        <f t="shared" si="1"/>
        <v>0</v>
      </c>
      <c r="H39" s="14">
        <f t="shared" si="2"/>
        <v>23.940784064999999</v>
      </c>
      <c r="I39" s="15">
        <f t="shared" si="3"/>
        <v>0</v>
      </c>
      <c r="J39" s="15">
        <f t="shared" si="4"/>
        <v>20.9109813</v>
      </c>
      <c r="K39" s="15">
        <f t="shared" si="5"/>
        <v>0</v>
      </c>
      <c r="L39" s="15">
        <f t="shared" si="6"/>
        <v>17.4003786</v>
      </c>
      <c r="M39" s="15">
        <f t="shared" si="7"/>
        <v>0</v>
      </c>
      <c r="N39" s="15">
        <f t="shared" si="8"/>
        <v>15.5687598</v>
      </c>
      <c r="O39" s="18">
        <f t="shared" si="9"/>
        <v>0</v>
      </c>
      <c r="P39" s="15">
        <f t="shared" si="10"/>
        <v>0.44290450520249997</v>
      </c>
      <c r="Q39" s="18">
        <f t="shared" si="11"/>
        <v>0</v>
      </c>
      <c r="R39" s="232"/>
      <c r="S39" s="232"/>
    </row>
    <row r="40" spans="1:19" s="233" customFormat="1" ht="13.5" thickBot="1">
      <c r="A40" s="1358"/>
      <c r="B40" s="221"/>
      <c r="C40" s="90" t="s">
        <v>616</v>
      </c>
      <c r="D40" s="235" t="s">
        <v>766</v>
      </c>
      <c r="E40" s="236">
        <v>2405.16</v>
      </c>
      <c r="F40" s="13">
        <f t="shared" si="0"/>
        <v>1322.838</v>
      </c>
      <c r="G40" s="16">
        <f t="shared" si="1"/>
        <v>0</v>
      </c>
      <c r="H40" s="14">
        <f t="shared" si="2"/>
        <v>41.497428060000004</v>
      </c>
      <c r="I40" s="15">
        <f t="shared" si="3"/>
        <v>0</v>
      </c>
      <c r="J40" s="15">
        <f t="shared" si="4"/>
        <v>36.245761199999997</v>
      </c>
      <c r="K40" s="15">
        <f t="shared" si="5"/>
        <v>0</v>
      </c>
      <c r="L40" s="15">
        <f t="shared" si="6"/>
        <v>30.160706399999999</v>
      </c>
      <c r="M40" s="15">
        <f t="shared" si="7"/>
        <v>0</v>
      </c>
      <c r="N40" s="15">
        <f t="shared" si="8"/>
        <v>26.985895200000002</v>
      </c>
      <c r="O40" s="15">
        <f t="shared" si="9"/>
        <v>0</v>
      </c>
      <c r="P40" s="15">
        <f t="shared" si="10"/>
        <v>0.76770241911000003</v>
      </c>
      <c r="Q40" s="18">
        <f t="shared" si="11"/>
        <v>0</v>
      </c>
      <c r="R40" s="232"/>
      <c r="S40" s="232"/>
    </row>
    <row r="41" spans="1:19" s="233" customFormat="1" ht="13.5" thickBot="1">
      <c r="A41" s="1358"/>
      <c r="B41" s="221"/>
      <c r="C41" s="90" t="s">
        <v>608</v>
      </c>
      <c r="D41" s="235" t="s">
        <v>569</v>
      </c>
      <c r="E41" s="236">
        <v>1387.59</v>
      </c>
      <c r="F41" s="13">
        <f t="shared" si="0"/>
        <v>763.17449999999997</v>
      </c>
      <c r="G41" s="16">
        <f t="shared" si="1"/>
        <v>0</v>
      </c>
      <c r="H41" s="14">
        <f t="shared" si="2"/>
        <v>23.940784064999999</v>
      </c>
      <c r="I41" s="15">
        <f t="shared" si="3"/>
        <v>0</v>
      </c>
      <c r="J41" s="15">
        <f t="shared" si="4"/>
        <v>20.9109813</v>
      </c>
      <c r="K41" s="15">
        <f t="shared" si="5"/>
        <v>0</v>
      </c>
      <c r="L41" s="15">
        <f t="shared" si="6"/>
        <v>17.4003786</v>
      </c>
      <c r="M41" s="15">
        <f t="shared" si="7"/>
        <v>0</v>
      </c>
      <c r="N41" s="15">
        <f t="shared" si="8"/>
        <v>15.5687598</v>
      </c>
      <c r="O41" s="15">
        <f t="shared" si="9"/>
        <v>0</v>
      </c>
      <c r="P41" s="15">
        <f t="shared" si="10"/>
        <v>0.44290450520249997</v>
      </c>
      <c r="Q41" s="18">
        <f t="shared" si="11"/>
        <v>0</v>
      </c>
      <c r="R41" s="232"/>
      <c r="S41" s="232"/>
    </row>
    <row r="42" spans="1:19" s="219" customFormat="1" ht="13.5" thickBot="1">
      <c r="A42" s="1358"/>
      <c r="B42" s="221"/>
      <c r="C42" s="90" t="s">
        <v>614</v>
      </c>
      <c r="D42" s="235" t="s">
        <v>767</v>
      </c>
      <c r="E42" s="236">
        <v>3237.72</v>
      </c>
      <c r="F42" s="13">
        <f t="shared" si="0"/>
        <v>1780.7460000000001</v>
      </c>
      <c r="G42" s="16">
        <f t="shared" si="1"/>
        <v>0</v>
      </c>
      <c r="H42" s="14">
        <f t="shared" si="2"/>
        <v>55.862002020000006</v>
      </c>
      <c r="I42" s="15">
        <f t="shared" si="3"/>
        <v>0</v>
      </c>
      <c r="J42" s="15">
        <f t="shared" si="4"/>
        <v>48.792440400000004</v>
      </c>
      <c r="K42" s="15">
        <f t="shared" si="5"/>
        <v>0</v>
      </c>
      <c r="L42" s="15">
        <f t="shared" si="6"/>
        <v>40.601008800000002</v>
      </c>
      <c r="M42" s="15">
        <f t="shared" si="7"/>
        <v>0</v>
      </c>
      <c r="N42" s="15">
        <f t="shared" si="8"/>
        <v>36.327218400000007</v>
      </c>
      <c r="O42" s="15">
        <f t="shared" si="9"/>
        <v>0</v>
      </c>
      <c r="P42" s="15">
        <f t="shared" si="10"/>
        <v>1.03344703737</v>
      </c>
      <c r="Q42" s="18">
        <f t="shared" si="11"/>
        <v>0</v>
      </c>
      <c r="R42" s="220"/>
      <c r="S42" s="220"/>
    </row>
    <row r="43" spans="1:19" s="219" customFormat="1" ht="13.5" thickBot="1">
      <c r="A43" s="1358"/>
      <c r="B43" s="221"/>
      <c r="C43" s="234" t="s">
        <v>604</v>
      </c>
      <c r="D43" s="223" t="s">
        <v>768</v>
      </c>
      <c r="E43" s="224">
        <v>1461.6</v>
      </c>
      <c r="F43" s="13">
        <f t="shared" si="0"/>
        <v>803.88</v>
      </c>
      <c r="G43" s="16">
        <f t="shared" si="1"/>
        <v>0</v>
      </c>
      <c r="H43" s="14">
        <f t="shared" si="2"/>
        <v>25.217715600000002</v>
      </c>
      <c r="I43" s="15">
        <f t="shared" si="3"/>
        <v>0</v>
      </c>
      <c r="J43" s="15">
        <f t="shared" si="4"/>
        <v>22.026312000000001</v>
      </c>
      <c r="K43" s="15">
        <f t="shared" si="5"/>
        <v>0</v>
      </c>
      <c r="L43" s="15">
        <f t="shared" si="6"/>
        <v>18.328464</v>
      </c>
      <c r="M43" s="15">
        <f t="shared" si="7"/>
        <v>0</v>
      </c>
      <c r="N43" s="15">
        <f t="shared" si="8"/>
        <v>16.399152000000001</v>
      </c>
      <c r="O43" s="18">
        <f t="shared" si="9"/>
        <v>0</v>
      </c>
      <c r="P43" s="15">
        <f t="shared" si="10"/>
        <v>0.46652773860000002</v>
      </c>
      <c r="Q43" s="18">
        <f t="shared" si="11"/>
        <v>0</v>
      </c>
      <c r="R43" s="220"/>
      <c r="S43" s="220"/>
    </row>
    <row r="44" spans="1:19" s="219" customFormat="1" ht="13.5" thickBot="1">
      <c r="A44" s="1358"/>
      <c r="B44" s="221"/>
      <c r="C44" s="90" t="s">
        <v>611</v>
      </c>
      <c r="D44" s="235" t="s">
        <v>769</v>
      </c>
      <c r="E44" s="236">
        <v>1276.5899999999999</v>
      </c>
      <c r="F44" s="13">
        <f t="shared" si="0"/>
        <v>702.12450000000001</v>
      </c>
      <c r="G44" s="17">
        <f t="shared" si="1"/>
        <v>0</v>
      </c>
      <c r="H44" s="15">
        <f t="shared" si="2"/>
        <v>22.025645565000001</v>
      </c>
      <c r="I44" s="15">
        <f t="shared" si="3"/>
        <v>0</v>
      </c>
      <c r="J44" s="15">
        <f t="shared" si="4"/>
        <v>19.2382113</v>
      </c>
      <c r="K44" s="15">
        <f t="shared" si="5"/>
        <v>0</v>
      </c>
      <c r="L44" s="15">
        <f t="shared" si="6"/>
        <v>16.008438600000002</v>
      </c>
      <c r="M44" s="15">
        <f t="shared" si="7"/>
        <v>0</v>
      </c>
      <c r="N44" s="15">
        <f t="shared" si="8"/>
        <v>14.323339800000001</v>
      </c>
      <c r="O44" s="15">
        <f t="shared" si="9"/>
        <v>0</v>
      </c>
      <c r="P44" s="15">
        <f t="shared" si="10"/>
        <v>0.40747444295250002</v>
      </c>
      <c r="Q44" s="18">
        <f t="shared" si="11"/>
        <v>0</v>
      </c>
      <c r="R44" s="220"/>
      <c r="S44" s="220"/>
    </row>
    <row r="45" spans="1:19" s="219" customFormat="1" ht="13.5" thickBot="1">
      <c r="A45" s="1358"/>
      <c r="B45" s="221"/>
      <c r="C45" s="234" t="s">
        <v>617</v>
      </c>
      <c r="D45" s="223" t="s">
        <v>770</v>
      </c>
      <c r="E45" s="224">
        <v>4625.3100000000004</v>
      </c>
      <c r="F45" s="13">
        <f t="shared" si="0"/>
        <v>2543.9205000000006</v>
      </c>
      <c r="G45" s="17">
        <f t="shared" si="1"/>
        <v>0</v>
      </c>
      <c r="H45" s="15">
        <f t="shared" si="2"/>
        <v>79.802786085000022</v>
      </c>
      <c r="I45" s="15">
        <f t="shared" si="3"/>
        <v>0</v>
      </c>
      <c r="J45" s="15">
        <f t="shared" si="4"/>
        <v>69.703421700000021</v>
      </c>
      <c r="K45" s="15">
        <f t="shared" si="5"/>
        <v>0</v>
      </c>
      <c r="L45" s="15">
        <f t="shared" si="6"/>
        <v>58.001387400000013</v>
      </c>
      <c r="M45" s="15">
        <f t="shared" si="7"/>
        <v>0</v>
      </c>
      <c r="N45" s="15">
        <f t="shared" si="8"/>
        <v>51.895978200000016</v>
      </c>
      <c r="O45" s="15">
        <f t="shared" si="9"/>
        <v>0</v>
      </c>
      <c r="P45" s="15">
        <f t="shared" si="10"/>
        <v>1.4763515425725002</v>
      </c>
      <c r="Q45" s="18">
        <f t="shared" si="11"/>
        <v>0</v>
      </c>
      <c r="R45" s="220"/>
      <c r="S45" s="220"/>
    </row>
    <row r="46" spans="1:19" s="219" customFormat="1" ht="13.5" thickBot="1">
      <c r="A46" s="1358"/>
      <c r="B46" s="221"/>
      <c r="C46" s="90" t="s">
        <v>797</v>
      </c>
      <c r="D46" s="235" t="s">
        <v>771</v>
      </c>
      <c r="E46" s="236">
        <v>1480.1</v>
      </c>
      <c r="F46" s="13">
        <f t="shared" si="0"/>
        <v>814.05500000000006</v>
      </c>
      <c r="G46" s="17">
        <f t="shared" si="1"/>
        <v>0</v>
      </c>
      <c r="H46" s="15">
        <f t="shared" si="2"/>
        <v>25.536905350000005</v>
      </c>
      <c r="I46" s="15">
        <f t="shared" si="3"/>
        <v>0</v>
      </c>
      <c r="J46" s="15">
        <f t="shared" si="4"/>
        <v>22.305107000000003</v>
      </c>
      <c r="K46" s="15">
        <f t="shared" si="5"/>
        <v>0</v>
      </c>
      <c r="L46" s="15">
        <f t="shared" si="6"/>
        <v>18.560454000000004</v>
      </c>
      <c r="M46" s="15">
        <f t="shared" si="7"/>
        <v>0</v>
      </c>
      <c r="N46" s="15">
        <f t="shared" si="8"/>
        <v>16.606722000000001</v>
      </c>
      <c r="O46" s="15">
        <f t="shared" si="9"/>
        <v>0</v>
      </c>
      <c r="P46" s="15">
        <f t="shared" si="10"/>
        <v>0.47243274897500009</v>
      </c>
      <c r="Q46" s="18">
        <f t="shared" si="11"/>
        <v>0</v>
      </c>
      <c r="R46" s="220"/>
      <c r="S46" s="220"/>
    </row>
    <row r="47" spans="1:19" s="219" customFormat="1" ht="13.5" thickBot="1">
      <c r="A47" s="1358"/>
      <c r="B47" s="221"/>
      <c r="C47" s="237" t="s">
        <v>798</v>
      </c>
      <c r="D47" s="235" t="s">
        <v>772</v>
      </c>
      <c r="E47" s="236">
        <v>1480.1</v>
      </c>
      <c r="F47" s="13">
        <f t="shared" si="0"/>
        <v>814.05500000000006</v>
      </c>
      <c r="G47" s="17">
        <f t="shared" si="1"/>
        <v>0</v>
      </c>
      <c r="H47" s="15">
        <f t="shared" si="2"/>
        <v>25.536905350000005</v>
      </c>
      <c r="I47" s="15">
        <f t="shared" si="3"/>
        <v>0</v>
      </c>
      <c r="J47" s="15">
        <f t="shared" si="4"/>
        <v>22.305107000000003</v>
      </c>
      <c r="K47" s="15">
        <f t="shared" si="5"/>
        <v>0</v>
      </c>
      <c r="L47" s="15">
        <f t="shared" si="6"/>
        <v>18.560454000000004</v>
      </c>
      <c r="M47" s="15">
        <f t="shared" si="7"/>
        <v>0</v>
      </c>
      <c r="N47" s="15">
        <f t="shared" si="8"/>
        <v>16.606722000000001</v>
      </c>
      <c r="O47" s="15">
        <f t="shared" si="9"/>
        <v>0</v>
      </c>
      <c r="P47" s="15">
        <f t="shared" si="10"/>
        <v>0.47243274897500009</v>
      </c>
      <c r="Q47" s="18">
        <f t="shared" si="11"/>
        <v>0</v>
      </c>
      <c r="R47" s="220"/>
      <c r="S47" s="220"/>
    </row>
    <row r="48" spans="1:19" s="219" customFormat="1" ht="13.5" thickBot="1">
      <c r="A48" s="1358"/>
      <c r="B48" s="221"/>
      <c r="C48" s="90" t="s">
        <v>610</v>
      </c>
      <c r="D48" s="235" t="s">
        <v>773</v>
      </c>
      <c r="E48" s="236">
        <v>1461.6</v>
      </c>
      <c r="F48" s="13">
        <f t="shared" si="0"/>
        <v>803.88</v>
      </c>
      <c r="G48" s="17">
        <f t="shared" si="1"/>
        <v>0</v>
      </c>
      <c r="H48" s="15">
        <f t="shared" si="2"/>
        <v>25.217715600000002</v>
      </c>
      <c r="I48" s="15">
        <f t="shared" si="3"/>
        <v>0</v>
      </c>
      <c r="J48" s="15">
        <f t="shared" si="4"/>
        <v>22.026312000000001</v>
      </c>
      <c r="K48" s="15">
        <f t="shared" si="5"/>
        <v>0</v>
      </c>
      <c r="L48" s="15">
        <f t="shared" si="6"/>
        <v>18.328464</v>
      </c>
      <c r="M48" s="15">
        <f t="shared" si="7"/>
        <v>0</v>
      </c>
      <c r="N48" s="15">
        <f t="shared" si="8"/>
        <v>16.399152000000001</v>
      </c>
      <c r="O48" s="15">
        <f t="shared" si="9"/>
        <v>0</v>
      </c>
      <c r="P48" s="15">
        <f t="shared" si="10"/>
        <v>0.46652773860000002</v>
      </c>
      <c r="Q48" s="18">
        <f t="shared" si="11"/>
        <v>0</v>
      </c>
      <c r="R48" s="220"/>
      <c r="S48" s="220"/>
    </row>
    <row r="49" spans="1:19" s="219" customFormat="1" ht="13.5" thickBot="1">
      <c r="A49" s="1358"/>
      <c r="B49" s="221"/>
      <c r="C49" s="90" t="s">
        <v>605</v>
      </c>
      <c r="D49" s="235" t="s">
        <v>774</v>
      </c>
      <c r="E49" s="236">
        <v>1461.6</v>
      </c>
      <c r="F49" s="13">
        <f t="shared" si="0"/>
        <v>803.88</v>
      </c>
      <c r="G49" s="17">
        <f t="shared" si="1"/>
        <v>0</v>
      </c>
      <c r="H49" s="15">
        <f t="shared" si="2"/>
        <v>25.217715600000002</v>
      </c>
      <c r="I49" s="15">
        <f t="shared" si="3"/>
        <v>0</v>
      </c>
      <c r="J49" s="15">
        <f t="shared" si="4"/>
        <v>22.026312000000001</v>
      </c>
      <c r="K49" s="15">
        <f t="shared" si="5"/>
        <v>0</v>
      </c>
      <c r="L49" s="15">
        <f t="shared" si="6"/>
        <v>18.328464</v>
      </c>
      <c r="M49" s="15">
        <f t="shared" si="7"/>
        <v>0</v>
      </c>
      <c r="N49" s="15">
        <f t="shared" si="8"/>
        <v>16.399152000000001</v>
      </c>
      <c r="O49" s="18">
        <f t="shared" si="9"/>
        <v>0</v>
      </c>
      <c r="P49" s="15">
        <f t="shared" si="10"/>
        <v>0.46652773860000002</v>
      </c>
      <c r="Q49" s="18">
        <f t="shared" si="11"/>
        <v>0</v>
      </c>
      <c r="R49" s="220"/>
      <c r="S49" s="220"/>
    </row>
    <row r="50" spans="1:19" s="219" customFormat="1" ht="13.5" thickBot="1">
      <c r="A50" s="1358"/>
      <c r="B50" s="221"/>
      <c r="C50" s="90" t="s">
        <v>612</v>
      </c>
      <c r="D50" s="235" t="s">
        <v>775</v>
      </c>
      <c r="E50" s="236">
        <v>1387.59</v>
      </c>
      <c r="F50" s="13">
        <f t="shared" si="0"/>
        <v>763.17449999999997</v>
      </c>
      <c r="G50" s="17">
        <f t="shared" si="1"/>
        <v>0</v>
      </c>
      <c r="H50" s="15">
        <f t="shared" si="2"/>
        <v>23.940784064999999</v>
      </c>
      <c r="I50" s="15">
        <f t="shared" si="3"/>
        <v>0</v>
      </c>
      <c r="J50" s="15">
        <f t="shared" si="4"/>
        <v>20.9109813</v>
      </c>
      <c r="K50" s="15">
        <f t="shared" si="5"/>
        <v>0</v>
      </c>
      <c r="L50" s="15">
        <f t="shared" si="6"/>
        <v>17.4003786</v>
      </c>
      <c r="M50" s="15">
        <f t="shared" si="7"/>
        <v>0</v>
      </c>
      <c r="N50" s="15">
        <f t="shared" si="8"/>
        <v>15.5687598</v>
      </c>
      <c r="O50" s="15">
        <f t="shared" si="9"/>
        <v>0</v>
      </c>
      <c r="P50" s="15">
        <f t="shared" si="10"/>
        <v>0.44290450520249997</v>
      </c>
      <c r="Q50" s="18">
        <f t="shared" si="11"/>
        <v>0</v>
      </c>
      <c r="R50" s="220"/>
      <c r="S50" s="220"/>
    </row>
    <row r="51" spans="1:19" s="219" customFormat="1" ht="13.5" thickBot="1">
      <c r="A51" s="1358"/>
      <c r="B51" s="221"/>
      <c r="C51" s="90" t="s">
        <v>606</v>
      </c>
      <c r="D51" s="235" t="s">
        <v>776</v>
      </c>
      <c r="E51" s="236">
        <v>1461.6</v>
      </c>
      <c r="F51" s="13">
        <f t="shared" si="0"/>
        <v>803.88</v>
      </c>
      <c r="G51" s="17">
        <f t="shared" si="1"/>
        <v>0</v>
      </c>
      <c r="H51" s="15">
        <f t="shared" si="2"/>
        <v>25.217715600000002</v>
      </c>
      <c r="I51" s="15">
        <f t="shared" si="3"/>
        <v>0</v>
      </c>
      <c r="J51" s="15">
        <f t="shared" si="4"/>
        <v>22.026312000000001</v>
      </c>
      <c r="K51" s="15">
        <f t="shared" si="5"/>
        <v>0</v>
      </c>
      <c r="L51" s="15">
        <f t="shared" si="6"/>
        <v>18.328464</v>
      </c>
      <c r="M51" s="15">
        <f t="shared" si="7"/>
        <v>0</v>
      </c>
      <c r="N51" s="15">
        <f t="shared" si="8"/>
        <v>16.399152000000001</v>
      </c>
      <c r="O51" s="18">
        <f t="shared" si="9"/>
        <v>0</v>
      </c>
      <c r="P51" s="15">
        <f t="shared" si="10"/>
        <v>0.46652773860000002</v>
      </c>
      <c r="Q51" s="18">
        <f t="shared" si="11"/>
        <v>0</v>
      </c>
      <c r="R51" s="220"/>
      <c r="S51" s="220"/>
    </row>
    <row r="52" spans="1:19" s="219" customFormat="1" ht="13.5" thickBot="1">
      <c r="A52" s="1358"/>
      <c r="B52" s="221"/>
      <c r="C52" s="90" t="s">
        <v>613</v>
      </c>
      <c r="D52" s="235" t="s">
        <v>777</v>
      </c>
      <c r="E52" s="236">
        <v>1387.59</v>
      </c>
      <c r="F52" s="13">
        <f t="shared" si="0"/>
        <v>763.17449999999997</v>
      </c>
      <c r="G52" s="17">
        <f t="shared" si="1"/>
        <v>0</v>
      </c>
      <c r="H52" s="15">
        <f t="shared" si="2"/>
        <v>23.940784064999999</v>
      </c>
      <c r="I52" s="15">
        <f t="shared" si="3"/>
        <v>0</v>
      </c>
      <c r="J52" s="15">
        <f t="shared" si="4"/>
        <v>20.9109813</v>
      </c>
      <c r="K52" s="15">
        <f t="shared" si="5"/>
        <v>0</v>
      </c>
      <c r="L52" s="15">
        <f t="shared" si="6"/>
        <v>17.4003786</v>
      </c>
      <c r="M52" s="15">
        <f t="shared" si="7"/>
        <v>0</v>
      </c>
      <c r="N52" s="15">
        <f t="shared" si="8"/>
        <v>15.5687598</v>
      </c>
      <c r="O52" s="15">
        <f t="shared" si="9"/>
        <v>0</v>
      </c>
      <c r="P52" s="15">
        <f t="shared" si="10"/>
        <v>0.44290450520249997</v>
      </c>
      <c r="Q52" s="18">
        <f t="shared" si="11"/>
        <v>0</v>
      </c>
      <c r="R52" s="220"/>
      <c r="S52" s="220"/>
    </row>
    <row r="53" spans="1:19" s="219" customFormat="1" ht="13.5" thickBot="1">
      <c r="A53" s="1358"/>
      <c r="B53" s="221"/>
      <c r="C53" s="90" t="s">
        <v>3748</v>
      </c>
      <c r="D53" s="235" t="s">
        <v>3682</v>
      </c>
      <c r="E53" s="236">
        <v>10500</v>
      </c>
      <c r="F53" s="13">
        <f t="shared" si="0"/>
        <v>5775.0000000000009</v>
      </c>
      <c r="G53" s="17">
        <f t="shared" si="1"/>
        <v>0</v>
      </c>
      <c r="H53" s="15">
        <f t="shared" si="2"/>
        <v>181.16175000000004</v>
      </c>
      <c r="I53" s="15">
        <f t="shared" si="3"/>
        <v>0</v>
      </c>
      <c r="J53" s="15">
        <f t="shared" si="4"/>
        <v>158.23500000000004</v>
      </c>
      <c r="K53" s="15">
        <f t="shared" si="5"/>
        <v>0</v>
      </c>
      <c r="L53" s="15">
        <f t="shared" si="6"/>
        <v>131.67000000000002</v>
      </c>
      <c r="M53" s="15">
        <f t="shared" si="7"/>
        <v>0</v>
      </c>
      <c r="N53" s="15">
        <f t="shared" si="8"/>
        <v>117.81000000000003</v>
      </c>
      <c r="O53" s="15">
        <f t="shared" si="9"/>
        <v>0</v>
      </c>
      <c r="P53" s="15">
        <f t="shared" si="10"/>
        <v>3.3514923750000007</v>
      </c>
      <c r="Q53" s="18">
        <f t="shared" si="11"/>
        <v>0</v>
      </c>
      <c r="R53" s="220"/>
      <c r="S53" s="220"/>
    </row>
    <row r="54" spans="1:19" s="219" customFormat="1" ht="13.5" thickBot="1">
      <c r="A54" s="1358"/>
      <c r="B54" s="221"/>
      <c r="C54" s="234">
        <v>45204557</v>
      </c>
      <c r="D54" s="223" t="s">
        <v>3700</v>
      </c>
      <c r="E54" s="224">
        <v>11990</v>
      </c>
      <c r="F54" s="13">
        <f t="shared" si="0"/>
        <v>6594.5000000000009</v>
      </c>
      <c r="G54" s="17">
        <f t="shared" si="1"/>
        <v>0</v>
      </c>
      <c r="H54" s="15">
        <f t="shared" si="2"/>
        <v>206.86946500000005</v>
      </c>
      <c r="I54" s="15">
        <f t="shared" si="3"/>
        <v>0</v>
      </c>
      <c r="J54" s="15">
        <f t="shared" si="4"/>
        <v>180.68930000000003</v>
      </c>
      <c r="K54" s="15">
        <f t="shared" si="5"/>
        <v>0</v>
      </c>
      <c r="L54" s="15">
        <f t="shared" si="6"/>
        <v>150.35460000000003</v>
      </c>
      <c r="M54" s="15">
        <f t="shared" si="7"/>
        <v>0</v>
      </c>
      <c r="N54" s="15">
        <f t="shared" si="8"/>
        <v>134.52780000000004</v>
      </c>
      <c r="O54" s="15">
        <f t="shared" si="9"/>
        <v>0</v>
      </c>
      <c r="P54" s="15">
        <f t="shared" si="10"/>
        <v>3.8270851025000008</v>
      </c>
      <c r="Q54" s="18">
        <f t="shared" si="11"/>
        <v>0</v>
      </c>
      <c r="R54" s="220"/>
      <c r="S54" s="220"/>
    </row>
    <row r="55" spans="1:19" s="219" customFormat="1" ht="13.5" thickBot="1">
      <c r="A55" s="1358"/>
      <c r="B55" s="221"/>
      <c r="C55" s="234">
        <v>45204332</v>
      </c>
      <c r="D55" s="223" t="s">
        <v>3699</v>
      </c>
      <c r="E55" s="224">
        <v>13500</v>
      </c>
      <c r="F55" s="13">
        <f t="shared" si="0"/>
        <v>7425.0000000000009</v>
      </c>
      <c r="G55" s="17">
        <f t="shared" si="1"/>
        <v>0</v>
      </c>
      <c r="H55" s="15">
        <f t="shared" si="2"/>
        <v>232.92225000000005</v>
      </c>
      <c r="I55" s="15">
        <f t="shared" si="3"/>
        <v>0</v>
      </c>
      <c r="J55" s="15">
        <f t="shared" si="4"/>
        <v>203.44500000000002</v>
      </c>
      <c r="K55" s="15">
        <f t="shared" si="5"/>
        <v>0</v>
      </c>
      <c r="L55" s="15">
        <f t="shared" si="6"/>
        <v>169.29000000000002</v>
      </c>
      <c r="M55" s="15">
        <f t="shared" si="7"/>
        <v>0</v>
      </c>
      <c r="N55" s="15">
        <f t="shared" si="8"/>
        <v>151.47000000000003</v>
      </c>
      <c r="O55" s="15">
        <f t="shared" si="9"/>
        <v>0</v>
      </c>
      <c r="P55" s="15">
        <f t="shared" si="10"/>
        <v>4.3090616250000009</v>
      </c>
      <c r="Q55" s="18">
        <f t="shared" si="11"/>
        <v>0</v>
      </c>
      <c r="R55" s="220"/>
      <c r="S55" s="220"/>
    </row>
    <row r="56" spans="1:19" s="219" customFormat="1" ht="13.5" thickBot="1">
      <c r="A56" s="1358"/>
      <c r="B56" s="221"/>
      <c r="C56" s="222" t="s">
        <v>3712</v>
      </c>
      <c r="D56" s="223" t="s">
        <v>3648</v>
      </c>
      <c r="E56" s="224">
        <v>1375</v>
      </c>
      <c r="F56" s="13">
        <f t="shared" si="0"/>
        <v>756.25000000000011</v>
      </c>
      <c r="G56" s="17">
        <f t="shared" si="1"/>
        <v>0</v>
      </c>
      <c r="H56" s="15">
        <f t="shared" si="2"/>
        <v>23.723562500000003</v>
      </c>
      <c r="I56" s="15">
        <f t="shared" si="3"/>
        <v>0</v>
      </c>
      <c r="J56" s="15">
        <f t="shared" si="4"/>
        <v>20.721250000000005</v>
      </c>
      <c r="K56" s="15">
        <f t="shared" si="5"/>
        <v>0</v>
      </c>
      <c r="L56" s="15">
        <f t="shared" si="6"/>
        <v>17.242500000000003</v>
      </c>
      <c r="M56" s="15">
        <f t="shared" si="7"/>
        <v>0</v>
      </c>
      <c r="N56" s="15">
        <f t="shared" si="8"/>
        <v>15.427500000000004</v>
      </c>
      <c r="O56" s="18">
        <f t="shared" si="9"/>
        <v>0</v>
      </c>
      <c r="P56" s="15">
        <f t="shared" si="10"/>
        <v>0.43888590625000007</v>
      </c>
      <c r="Q56" s="18">
        <f t="shared" si="11"/>
        <v>0</v>
      </c>
      <c r="R56" s="220"/>
      <c r="S56" s="220"/>
    </row>
    <row r="57" spans="1:19" s="219" customFormat="1" ht="13.5" thickBot="1">
      <c r="A57" s="1358"/>
      <c r="B57" s="221"/>
      <c r="C57" s="90" t="s">
        <v>3723</v>
      </c>
      <c r="D57" s="235" t="s">
        <v>3659</v>
      </c>
      <c r="E57" s="236">
        <v>148.88999999999999</v>
      </c>
      <c r="F57" s="13">
        <f t="shared" si="0"/>
        <v>81.889499999999998</v>
      </c>
      <c r="G57" s="17">
        <f t="shared" si="1"/>
        <v>0</v>
      </c>
      <c r="H57" s="15">
        <f t="shared" si="2"/>
        <v>2.5688736150000002</v>
      </c>
      <c r="I57" s="15">
        <f t="shared" si="3"/>
        <v>0</v>
      </c>
      <c r="J57" s="15">
        <f t="shared" si="4"/>
        <v>2.2437722999999998</v>
      </c>
      <c r="K57" s="15">
        <f t="shared" si="5"/>
        <v>0</v>
      </c>
      <c r="L57" s="15">
        <f t="shared" si="6"/>
        <v>1.8670806</v>
      </c>
      <c r="M57" s="15">
        <f t="shared" si="7"/>
        <v>0</v>
      </c>
      <c r="N57" s="15">
        <f t="shared" si="8"/>
        <v>1.6705458000000002</v>
      </c>
      <c r="O57" s="15">
        <f t="shared" si="9"/>
        <v>0</v>
      </c>
      <c r="P57" s="15">
        <f t="shared" si="10"/>
        <v>4.7524161877499999E-2</v>
      </c>
      <c r="Q57" s="18">
        <f t="shared" si="11"/>
        <v>0</v>
      </c>
      <c r="R57" s="220"/>
      <c r="S57" s="220"/>
    </row>
    <row r="58" spans="1:19" s="219" customFormat="1" ht="13.5" thickBot="1">
      <c r="A58" s="1358"/>
      <c r="B58" s="221"/>
      <c r="C58" s="90" t="s">
        <v>3718</v>
      </c>
      <c r="D58" s="235" t="s">
        <v>3654</v>
      </c>
      <c r="E58" s="236">
        <v>137.11000000000001</v>
      </c>
      <c r="F58" s="13">
        <f t="shared" si="0"/>
        <v>75.410500000000013</v>
      </c>
      <c r="G58" s="16">
        <f t="shared" si="1"/>
        <v>0</v>
      </c>
      <c r="H58" s="14">
        <f t="shared" si="2"/>
        <v>2.3656273850000007</v>
      </c>
      <c r="I58" s="15">
        <f t="shared" si="3"/>
        <v>0</v>
      </c>
      <c r="J58" s="15">
        <f t="shared" si="4"/>
        <v>2.0662477000000004</v>
      </c>
      <c r="K58" s="15">
        <f t="shared" si="5"/>
        <v>0</v>
      </c>
      <c r="L58" s="15">
        <f t="shared" si="6"/>
        <v>1.7193594000000003</v>
      </c>
      <c r="M58" s="15">
        <f t="shared" si="7"/>
        <v>0</v>
      </c>
      <c r="N58" s="15">
        <f t="shared" si="8"/>
        <v>1.5383742000000005</v>
      </c>
      <c r="O58" s="15">
        <f t="shared" si="9"/>
        <v>0</v>
      </c>
      <c r="P58" s="15">
        <f t="shared" si="10"/>
        <v>4.3764106622500014E-2</v>
      </c>
      <c r="Q58" s="18">
        <f t="shared" si="11"/>
        <v>0</v>
      </c>
      <c r="R58" s="220"/>
      <c r="S58" s="220"/>
    </row>
    <row r="59" spans="1:19" s="219" customFormat="1" ht="13.5" thickBot="1">
      <c r="A59" s="1358"/>
      <c r="B59" s="221"/>
      <c r="C59" s="90" t="s">
        <v>3713</v>
      </c>
      <c r="D59" s="235" t="s">
        <v>3649</v>
      </c>
      <c r="E59" s="236">
        <v>135.78</v>
      </c>
      <c r="F59" s="13">
        <f t="shared" si="0"/>
        <v>74.679000000000002</v>
      </c>
      <c r="G59" s="17">
        <f t="shared" si="1"/>
        <v>0</v>
      </c>
      <c r="H59" s="15">
        <f t="shared" si="2"/>
        <v>2.34268023</v>
      </c>
      <c r="I59" s="15">
        <f t="shared" si="3"/>
        <v>0</v>
      </c>
      <c r="J59" s="15">
        <f t="shared" si="4"/>
        <v>2.0462046000000003</v>
      </c>
      <c r="K59" s="15">
        <f t="shared" si="5"/>
        <v>0</v>
      </c>
      <c r="L59" s="15">
        <f t="shared" si="6"/>
        <v>1.7026812</v>
      </c>
      <c r="M59" s="15">
        <f t="shared" si="7"/>
        <v>0</v>
      </c>
      <c r="N59" s="15">
        <f t="shared" si="8"/>
        <v>1.5234516000000002</v>
      </c>
      <c r="O59" s="18">
        <f t="shared" si="9"/>
        <v>0</v>
      </c>
      <c r="P59" s="15">
        <f t="shared" si="10"/>
        <v>4.3339584255000001E-2</v>
      </c>
      <c r="Q59" s="18">
        <f t="shared" si="11"/>
        <v>0</v>
      </c>
      <c r="R59" s="220"/>
      <c r="S59" s="220"/>
    </row>
    <row r="60" spans="1:19" s="219" customFormat="1" ht="13.5" thickBot="1">
      <c r="A60" s="1358"/>
      <c r="B60" s="221"/>
      <c r="C60" s="90" t="s">
        <v>3714</v>
      </c>
      <c r="D60" s="235" t="s">
        <v>3650</v>
      </c>
      <c r="E60" s="236">
        <v>118.16</v>
      </c>
      <c r="F60" s="13">
        <f t="shared" si="0"/>
        <v>64.988</v>
      </c>
      <c r="G60" s="17">
        <f t="shared" si="1"/>
        <v>0</v>
      </c>
      <c r="H60" s="15">
        <f t="shared" si="2"/>
        <v>2.0386735600000003</v>
      </c>
      <c r="I60" s="15">
        <f t="shared" si="3"/>
        <v>0</v>
      </c>
      <c r="J60" s="15">
        <f t="shared" si="4"/>
        <v>1.7806712</v>
      </c>
      <c r="K60" s="15">
        <f t="shared" si="5"/>
        <v>0</v>
      </c>
      <c r="L60" s="15">
        <f t="shared" si="6"/>
        <v>1.4817264000000001</v>
      </c>
      <c r="M60" s="15">
        <f t="shared" si="7"/>
        <v>0</v>
      </c>
      <c r="N60" s="15">
        <f t="shared" si="8"/>
        <v>1.3257552000000001</v>
      </c>
      <c r="O60" s="18">
        <f t="shared" si="9"/>
        <v>0</v>
      </c>
      <c r="P60" s="15">
        <f t="shared" si="10"/>
        <v>3.7715460860000001E-2</v>
      </c>
      <c r="Q60" s="18">
        <f t="shared" si="11"/>
        <v>0</v>
      </c>
      <c r="R60" s="220"/>
      <c r="S60" s="220"/>
    </row>
    <row r="61" spans="1:19" s="219" customFormat="1" ht="13.5" thickBot="1">
      <c r="A61" s="1358"/>
      <c r="B61" s="221"/>
      <c r="C61" s="237" t="s">
        <v>3724</v>
      </c>
      <c r="D61" s="235" t="s">
        <v>3660</v>
      </c>
      <c r="E61" s="236">
        <v>129.36000000000001</v>
      </c>
      <c r="F61" s="13">
        <f t="shared" si="0"/>
        <v>71.14800000000001</v>
      </c>
      <c r="G61" s="17">
        <f t="shared" si="1"/>
        <v>0</v>
      </c>
      <c r="H61" s="15">
        <f t="shared" si="2"/>
        <v>2.2319127600000006</v>
      </c>
      <c r="I61" s="15">
        <f t="shared" si="3"/>
        <v>0</v>
      </c>
      <c r="J61" s="15">
        <f t="shared" si="4"/>
        <v>1.9494552000000003</v>
      </c>
      <c r="K61" s="15">
        <f t="shared" si="5"/>
        <v>0</v>
      </c>
      <c r="L61" s="15">
        <f t="shared" si="6"/>
        <v>1.6221744000000002</v>
      </c>
      <c r="M61" s="15">
        <f t="shared" si="7"/>
        <v>0</v>
      </c>
      <c r="N61" s="15">
        <f t="shared" si="8"/>
        <v>1.4514192000000004</v>
      </c>
      <c r="O61" s="15">
        <f t="shared" si="9"/>
        <v>0</v>
      </c>
      <c r="P61" s="15">
        <f t="shared" si="10"/>
        <v>4.129038606000001E-2</v>
      </c>
      <c r="Q61" s="18">
        <f t="shared" si="11"/>
        <v>0</v>
      </c>
      <c r="R61" s="220"/>
      <c r="S61" s="220"/>
    </row>
    <row r="62" spans="1:19" s="219" customFormat="1" ht="13.5" thickBot="1">
      <c r="A62" s="1358"/>
      <c r="B62" s="221"/>
      <c r="C62" s="90" t="s">
        <v>3719</v>
      </c>
      <c r="D62" s="235" t="s">
        <v>3655</v>
      </c>
      <c r="E62" s="236">
        <v>119.31</v>
      </c>
      <c r="F62" s="13">
        <f t="shared" ref="F62:F93" si="12">E62*(1-45%)</f>
        <v>65.620500000000007</v>
      </c>
      <c r="G62" s="17">
        <f t="shared" ref="G62:G93" si="13">F62*B62</f>
        <v>0</v>
      </c>
      <c r="H62" s="15">
        <f t="shared" ref="H62:H93" si="14">F62*0.03137</f>
        <v>2.0585150850000002</v>
      </c>
      <c r="I62" s="15">
        <f t="shared" ref="I62:I93" si="15">H62*B62</f>
        <v>0</v>
      </c>
      <c r="J62" s="15">
        <f t="shared" ref="J62:J93" si="16">F62*0.0274</f>
        <v>1.7980017000000001</v>
      </c>
      <c r="K62" s="15">
        <f t="shared" ref="K62:K93" si="17">J62*B62</f>
        <v>0</v>
      </c>
      <c r="L62" s="15">
        <f t="shared" ref="L62:L93" si="18">F62*0.0228</f>
        <v>1.4961474000000001</v>
      </c>
      <c r="M62" s="15">
        <f t="shared" ref="M62:M93" si="19">L62*B62</f>
        <v>0</v>
      </c>
      <c r="N62" s="15">
        <f t="shared" ref="N62:N93" si="20">F62*0.0204</f>
        <v>1.3386582000000002</v>
      </c>
      <c r="O62" s="15">
        <f t="shared" ref="O62:O93" si="21">N62*B62</f>
        <v>0</v>
      </c>
      <c r="P62" s="15">
        <f t="shared" ref="P62:P93" si="22">H62*0.0185</f>
        <v>3.8082529072500003E-2</v>
      </c>
      <c r="Q62" s="18">
        <f t="shared" ref="Q62:Q93" si="23">P62*B62</f>
        <v>0</v>
      </c>
      <c r="R62" s="220"/>
      <c r="S62" s="220"/>
    </row>
    <row r="63" spans="1:19" s="219" customFormat="1" ht="13.5" thickBot="1">
      <c r="A63" s="1358"/>
      <c r="B63" s="221"/>
      <c r="C63" s="90" t="s">
        <v>3715</v>
      </c>
      <c r="D63" s="235" t="s">
        <v>3651</v>
      </c>
      <c r="E63" s="236">
        <v>109.37</v>
      </c>
      <c r="F63" s="13">
        <f t="shared" si="12"/>
        <v>60.153500000000008</v>
      </c>
      <c r="G63" s="17">
        <f t="shared" si="13"/>
        <v>0</v>
      </c>
      <c r="H63" s="15">
        <f t="shared" si="14"/>
        <v>1.8870152950000003</v>
      </c>
      <c r="I63" s="15">
        <f t="shared" si="15"/>
        <v>0</v>
      </c>
      <c r="J63" s="15">
        <f t="shared" si="16"/>
        <v>1.6482059000000002</v>
      </c>
      <c r="K63" s="15">
        <f t="shared" si="17"/>
        <v>0</v>
      </c>
      <c r="L63" s="15">
        <f t="shared" si="18"/>
        <v>1.3714998000000003</v>
      </c>
      <c r="M63" s="15">
        <f t="shared" si="19"/>
        <v>0</v>
      </c>
      <c r="N63" s="15">
        <f t="shared" si="20"/>
        <v>1.2271314000000002</v>
      </c>
      <c r="O63" s="18">
        <f t="shared" si="21"/>
        <v>0</v>
      </c>
      <c r="P63" s="15">
        <f t="shared" si="22"/>
        <v>3.4909782957500003E-2</v>
      </c>
      <c r="Q63" s="18">
        <f t="shared" si="23"/>
        <v>0</v>
      </c>
      <c r="R63" s="220"/>
      <c r="S63" s="220"/>
    </row>
    <row r="64" spans="1:19" s="219" customFormat="1" ht="13.5" thickBot="1">
      <c r="A64" s="1358"/>
      <c r="B64" s="221"/>
      <c r="C64" s="90" t="s">
        <v>3725</v>
      </c>
      <c r="D64" s="235" t="s">
        <v>3661</v>
      </c>
      <c r="E64" s="236">
        <v>119.54</v>
      </c>
      <c r="F64" s="13">
        <f t="shared" si="12"/>
        <v>65.747000000000014</v>
      </c>
      <c r="G64" s="17">
        <f t="shared" si="13"/>
        <v>0</v>
      </c>
      <c r="H64" s="15">
        <f t="shared" si="14"/>
        <v>2.0624833900000006</v>
      </c>
      <c r="I64" s="15">
        <f t="shared" si="15"/>
        <v>0</v>
      </c>
      <c r="J64" s="15">
        <f t="shared" si="16"/>
        <v>1.8014678000000004</v>
      </c>
      <c r="K64" s="15">
        <f t="shared" si="17"/>
        <v>0</v>
      </c>
      <c r="L64" s="15">
        <f t="shared" si="18"/>
        <v>1.4990316000000004</v>
      </c>
      <c r="M64" s="15">
        <f t="shared" si="19"/>
        <v>0</v>
      </c>
      <c r="N64" s="15">
        <f t="shared" si="20"/>
        <v>1.3412388000000004</v>
      </c>
      <c r="O64" s="15">
        <f t="shared" si="21"/>
        <v>0</v>
      </c>
      <c r="P64" s="15">
        <f t="shared" si="22"/>
        <v>3.8155942715000009E-2</v>
      </c>
      <c r="Q64" s="18">
        <f t="shared" si="23"/>
        <v>0</v>
      </c>
      <c r="R64" s="220"/>
      <c r="S64" s="220"/>
    </row>
    <row r="65" spans="1:19" s="219" customFormat="1" ht="13.5" thickBot="1">
      <c r="A65" s="1358"/>
      <c r="B65" s="221"/>
      <c r="C65" s="90" t="s">
        <v>3720</v>
      </c>
      <c r="D65" s="235" t="s">
        <v>3656</v>
      </c>
      <c r="E65" s="236">
        <v>110.47</v>
      </c>
      <c r="F65" s="13">
        <f t="shared" si="12"/>
        <v>60.758500000000005</v>
      </c>
      <c r="G65" s="17">
        <f t="shared" si="13"/>
        <v>0</v>
      </c>
      <c r="H65" s="15">
        <f t="shared" si="14"/>
        <v>1.9059941450000002</v>
      </c>
      <c r="I65" s="15">
        <f t="shared" si="15"/>
        <v>0</v>
      </c>
      <c r="J65" s="15">
        <f t="shared" si="16"/>
        <v>1.6647829000000003</v>
      </c>
      <c r="K65" s="15">
        <f t="shared" si="17"/>
        <v>0</v>
      </c>
      <c r="L65" s="15">
        <f t="shared" si="18"/>
        <v>1.3852938000000001</v>
      </c>
      <c r="M65" s="15">
        <f t="shared" si="19"/>
        <v>0</v>
      </c>
      <c r="N65" s="15">
        <f t="shared" si="20"/>
        <v>1.2394734000000003</v>
      </c>
      <c r="O65" s="15">
        <f t="shared" si="21"/>
        <v>0</v>
      </c>
      <c r="P65" s="15">
        <f t="shared" si="22"/>
        <v>3.5260891682500003E-2</v>
      </c>
      <c r="Q65" s="18">
        <f t="shared" si="23"/>
        <v>0</v>
      </c>
      <c r="R65" s="220"/>
      <c r="S65" s="220"/>
    </row>
    <row r="66" spans="1:19" s="219" customFormat="1" ht="13.5" thickBot="1">
      <c r="A66" s="1358"/>
      <c r="B66" s="221"/>
      <c r="C66" s="90" t="s">
        <v>3716</v>
      </c>
      <c r="D66" s="235" t="s">
        <v>3652</v>
      </c>
      <c r="E66" s="236">
        <v>107.18</v>
      </c>
      <c r="F66" s="13">
        <f t="shared" si="12"/>
        <v>58.949000000000005</v>
      </c>
      <c r="G66" s="17">
        <f t="shared" si="13"/>
        <v>0</v>
      </c>
      <c r="H66" s="15">
        <f t="shared" si="14"/>
        <v>1.8492301300000002</v>
      </c>
      <c r="I66" s="15">
        <f t="shared" si="15"/>
        <v>0</v>
      </c>
      <c r="J66" s="15">
        <f t="shared" si="16"/>
        <v>1.6152026000000002</v>
      </c>
      <c r="K66" s="15">
        <f t="shared" si="17"/>
        <v>0</v>
      </c>
      <c r="L66" s="15">
        <f t="shared" si="18"/>
        <v>1.3440372000000003</v>
      </c>
      <c r="M66" s="15">
        <f t="shared" si="19"/>
        <v>0</v>
      </c>
      <c r="N66" s="15">
        <f t="shared" si="20"/>
        <v>1.2025596000000003</v>
      </c>
      <c r="O66" s="15">
        <f t="shared" si="21"/>
        <v>0</v>
      </c>
      <c r="P66" s="15">
        <f t="shared" si="22"/>
        <v>3.4210757405E-2</v>
      </c>
      <c r="Q66" s="18">
        <f t="shared" si="23"/>
        <v>0</v>
      </c>
      <c r="R66" s="220"/>
      <c r="S66" s="220"/>
    </row>
    <row r="67" spans="1:19" s="219" customFormat="1" ht="13.5" thickBot="1">
      <c r="A67" s="1358"/>
      <c r="B67" s="221"/>
      <c r="C67" s="90" t="s">
        <v>3726</v>
      </c>
      <c r="D67" s="235" t="s">
        <v>3662</v>
      </c>
      <c r="E67" s="236">
        <v>117.23</v>
      </c>
      <c r="F67" s="13">
        <f t="shared" si="12"/>
        <v>64.476500000000001</v>
      </c>
      <c r="G67" s="17">
        <f t="shared" si="13"/>
        <v>0</v>
      </c>
      <c r="H67" s="15">
        <f t="shared" si="14"/>
        <v>2.0226278050000004</v>
      </c>
      <c r="I67" s="15">
        <f t="shared" si="15"/>
        <v>0</v>
      </c>
      <c r="J67" s="15">
        <f t="shared" si="16"/>
        <v>1.7666561000000001</v>
      </c>
      <c r="K67" s="15">
        <f t="shared" si="17"/>
        <v>0</v>
      </c>
      <c r="L67" s="15">
        <f t="shared" si="18"/>
        <v>1.4700642000000002</v>
      </c>
      <c r="M67" s="15">
        <f t="shared" si="19"/>
        <v>0</v>
      </c>
      <c r="N67" s="15">
        <f t="shared" si="20"/>
        <v>1.3153206000000002</v>
      </c>
      <c r="O67" s="15">
        <f t="shared" si="21"/>
        <v>0</v>
      </c>
      <c r="P67" s="15">
        <f t="shared" si="22"/>
        <v>3.7418614392500008E-2</v>
      </c>
      <c r="Q67" s="18">
        <f t="shared" si="23"/>
        <v>0</v>
      </c>
      <c r="R67" s="220"/>
      <c r="S67" s="220"/>
    </row>
    <row r="68" spans="1:19" s="219" customFormat="1" ht="13.5" thickBot="1">
      <c r="A68" s="1358"/>
      <c r="B68" s="221"/>
      <c r="C68" s="90" t="s">
        <v>3721</v>
      </c>
      <c r="D68" s="235" t="s">
        <v>3657</v>
      </c>
      <c r="E68" s="236">
        <v>108.22</v>
      </c>
      <c r="F68" s="13">
        <f t="shared" si="12"/>
        <v>59.521000000000001</v>
      </c>
      <c r="G68" s="17">
        <f t="shared" si="13"/>
        <v>0</v>
      </c>
      <c r="H68" s="15">
        <f t="shared" si="14"/>
        <v>1.8671737700000002</v>
      </c>
      <c r="I68" s="15">
        <f t="shared" si="15"/>
        <v>0</v>
      </c>
      <c r="J68" s="15">
        <f t="shared" si="16"/>
        <v>1.6308754000000001</v>
      </c>
      <c r="K68" s="15">
        <f t="shared" si="17"/>
        <v>0</v>
      </c>
      <c r="L68" s="15">
        <f t="shared" si="18"/>
        <v>1.3570788</v>
      </c>
      <c r="M68" s="15">
        <f t="shared" si="19"/>
        <v>0</v>
      </c>
      <c r="N68" s="15">
        <f t="shared" si="20"/>
        <v>1.2142284000000001</v>
      </c>
      <c r="O68" s="15">
        <f t="shared" si="21"/>
        <v>0</v>
      </c>
      <c r="P68" s="15">
        <f t="shared" si="22"/>
        <v>3.4542714745000001E-2</v>
      </c>
      <c r="Q68" s="18">
        <f t="shared" si="23"/>
        <v>0</v>
      </c>
      <c r="R68" s="220"/>
      <c r="S68" s="220"/>
    </row>
    <row r="69" spans="1:19" s="219" customFormat="1" ht="13.5" thickBot="1">
      <c r="A69" s="1358"/>
      <c r="B69" s="221"/>
      <c r="C69" s="90" t="s">
        <v>3717</v>
      </c>
      <c r="D69" s="235" t="s">
        <v>3653</v>
      </c>
      <c r="E69" s="236">
        <v>98.34</v>
      </c>
      <c r="F69" s="13">
        <f t="shared" si="12"/>
        <v>54.087000000000003</v>
      </c>
      <c r="G69" s="17">
        <f t="shared" si="13"/>
        <v>0</v>
      </c>
      <c r="H69" s="15">
        <f t="shared" si="14"/>
        <v>1.6967091900000002</v>
      </c>
      <c r="I69" s="15">
        <f t="shared" si="15"/>
        <v>0</v>
      </c>
      <c r="J69" s="15">
        <f t="shared" si="16"/>
        <v>1.4819838000000001</v>
      </c>
      <c r="K69" s="15">
        <f t="shared" si="17"/>
        <v>0</v>
      </c>
      <c r="L69" s="15">
        <f t="shared" si="18"/>
        <v>1.2331836</v>
      </c>
      <c r="M69" s="15">
        <f t="shared" si="19"/>
        <v>0</v>
      </c>
      <c r="N69" s="15">
        <f t="shared" si="20"/>
        <v>1.1033748000000001</v>
      </c>
      <c r="O69" s="15">
        <f t="shared" si="21"/>
        <v>0</v>
      </c>
      <c r="P69" s="15">
        <f t="shared" si="22"/>
        <v>3.1389120015000001E-2</v>
      </c>
      <c r="Q69" s="18">
        <f t="shared" si="23"/>
        <v>0</v>
      </c>
      <c r="R69" s="220"/>
      <c r="S69" s="220"/>
    </row>
    <row r="70" spans="1:19" s="219" customFormat="1" ht="13.5" thickBot="1">
      <c r="A70" s="1358"/>
      <c r="B70" s="221"/>
      <c r="C70" s="234" t="s">
        <v>3727</v>
      </c>
      <c r="D70" s="223" t="s">
        <v>3663</v>
      </c>
      <c r="E70" s="224">
        <v>107.47</v>
      </c>
      <c r="F70" s="13">
        <f t="shared" si="12"/>
        <v>59.108500000000006</v>
      </c>
      <c r="G70" s="17">
        <f t="shared" si="13"/>
        <v>0</v>
      </c>
      <c r="H70" s="15">
        <f t="shared" si="14"/>
        <v>1.8542336450000003</v>
      </c>
      <c r="I70" s="15">
        <f t="shared" si="15"/>
        <v>0</v>
      </c>
      <c r="J70" s="15">
        <f t="shared" si="16"/>
        <v>1.6195729000000003</v>
      </c>
      <c r="K70" s="15">
        <f t="shared" si="17"/>
        <v>0</v>
      </c>
      <c r="L70" s="15">
        <f t="shared" si="18"/>
        <v>1.3476738000000001</v>
      </c>
      <c r="M70" s="15">
        <f t="shared" si="19"/>
        <v>0</v>
      </c>
      <c r="N70" s="15">
        <f t="shared" si="20"/>
        <v>1.2058134000000003</v>
      </c>
      <c r="O70" s="15">
        <f t="shared" si="21"/>
        <v>0</v>
      </c>
      <c r="P70" s="15">
        <f t="shared" si="22"/>
        <v>3.4303322432500005E-2</v>
      </c>
      <c r="Q70" s="18">
        <f t="shared" si="23"/>
        <v>0</v>
      </c>
      <c r="R70" s="220"/>
      <c r="S70" s="220"/>
    </row>
    <row r="71" spans="1:19" s="219" customFormat="1" ht="13.5" thickBot="1">
      <c r="A71" s="1358"/>
      <c r="B71" s="221"/>
      <c r="C71" s="90" t="s">
        <v>3722</v>
      </c>
      <c r="D71" s="235" t="s">
        <v>3658</v>
      </c>
      <c r="E71" s="236">
        <v>99.15</v>
      </c>
      <c r="F71" s="13">
        <f t="shared" si="12"/>
        <v>54.532500000000006</v>
      </c>
      <c r="G71" s="17">
        <f t="shared" si="13"/>
        <v>0</v>
      </c>
      <c r="H71" s="15">
        <f t="shared" si="14"/>
        <v>1.7106845250000002</v>
      </c>
      <c r="I71" s="15">
        <f t="shared" si="15"/>
        <v>0</v>
      </c>
      <c r="J71" s="15">
        <f t="shared" si="16"/>
        <v>1.4941905000000002</v>
      </c>
      <c r="K71" s="15">
        <f t="shared" si="17"/>
        <v>0</v>
      </c>
      <c r="L71" s="15">
        <f t="shared" si="18"/>
        <v>1.2433410000000003</v>
      </c>
      <c r="M71" s="15">
        <f t="shared" si="19"/>
        <v>0</v>
      </c>
      <c r="N71" s="15">
        <f t="shared" si="20"/>
        <v>1.1124630000000002</v>
      </c>
      <c r="O71" s="15">
        <f t="shared" si="21"/>
        <v>0</v>
      </c>
      <c r="P71" s="15">
        <f t="shared" si="22"/>
        <v>3.1647663712500003E-2</v>
      </c>
      <c r="Q71" s="18">
        <f t="shared" si="23"/>
        <v>0</v>
      </c>
      <c r="R71" s="220"/>
      <c r="S71" s="220"/>
    </row>
    <row r="72" spans="1:19" s="219" customFormat="1" ht="13.5" thickBot="1">
      <c r="A72" s="1358"/>
      <c r="B72" s="221"/>
      <c r="C72" s="234" t="s">
        <v>3753</v>
      </c>
      <c r="D72" s="223" t="s">
        <v>3688</v>
      </c>
      <c r="E72" s="224">
        <v>1315.86</v>
      </c>
      <c r="F72" s="13">
        <f t="shared" si="12"/>
        <v>723.72299999999996</v>
      </c>
      <c r="G72" s="17">
        <f t="shared" si="13"/>
        <v>0</v>
      </c>
      <c r="H72" s="15">
        <f t="shared" si="14"/>
        <v>22.703190509999999</v>
      </c>
      <c r="I72" s="15">
        <f t="shared" si="15"/>
        <v>0</v>
      </c>
      <c r="J72" s="15">
        <f t="shared" si="16"/>
        <v>19.8300102</v>
      </c>
      <c r="K72" s="15">
        <f t="shared" si="17"/>
        <v>0</v>
      </c>
      <c r="L72" s="15">
        <f t="shared" si="18"/>
        <v>16.5008844</v>
      </c>
      <c r="M72" s="15">
        <f t="shared" si="19"/>
        <v>0</v>
      </c>
      <c r="N72" s="15">
        <f t="shared" si="20"/>
        <v>14.763949200000001</v>
      </c>
      <c r="O72" s="15">
        <f t="shared" si="21"/>
        <v>0</v>
      </c>
      <c r="P72" s="15">
        <f t="shared" si="22"/>
        <v>0.42000902443499993</v>
      </c>
      <c r="Q72" s="18">
        <f t="shared" si="23"/>
        <v>0</v>
      </c>
      <c r="R72" s="220"/>
      <c r="S72" s="220"/>
    </row>
    <row r="73" spans="1:19" s="219" customFormat="1" ht="13.5" thickBot="1">
      <c r="A73" s="1358"/>
      <c r="B73" s="221"/>
      <c r="C73" s="234" t="s">
        <v>277</v>
      </c>
      <c r="D73" s="223" t="s">
        <v>3704</v>
      </c>
      <c r="E73" s="224">
        <v>5200</v>
      </c>
      <c r="F73" s="13">
        <f t="shared" si="12"/>
        <v>2860.0000000000005</v>
      </c>
      <c r="G73" s="16">
        <f t="shared" si="13"/>
        <v>0</v>
      </c>
      <c r="H73" s="14">
        <f t="shared" si="14"/>
        <v>89.718200000000024</v>
      </c>
      <c r="I73" s="15">
        <f t="shared" si="15"/>
        <v>0</v>
      </c>
      <c r="J73" s="15">
        <f t="shared" si="16"/>
        <v>78.364000000000019</v>
      </c>
      <c r="K73" s="15">
        <f t="shared" si="17"/>
        <v>0</v>
      </c>
      <c r="L73" s="15">
        <f t="shared" si="18"/>
        <v>65.208000000000013</v>
      </c>
      <c r="M73" s="15">
        <f t="shared" si="19"/>
        <v>0</v>
      </c>
      <c r="N73" s="15">
        <f t="shared" si="20"/>
        <v>58.344000000000015</v>
      </c>
      <c r="O73" s="15">
        <f t="shared" si="21"/>
        <v>0</v>
      </c>
      <c r="P73" s="15">
        <f t="shared" si="22"/>
        <v>1.6597867000000004</v>
      </c>
      <c r="Q73" s="18">
        <f t="shared" si="23"/>
        <v>0</v>
      </c>
      <c r="R73" s="220"/>
      <c r="S73" s="220"/>
    </row>
    <row r="74" spans="1:19" s="219" customFormat="1" ht="13.5" thickBot="1">
      <c r="A74" s="1358"/>
      <c r="B74" s="221"/>
      <c r="C74" s="234" t="s">
        <v>3728</v>
      </c>
      <c r="D74" s="223" t="s">
        <v>65</v>
      </c>
      <c r="E74" s="224">
        <v>18921</v>
      </c>
      <c r="F74" s="13">
        <f t="shared" si="12"/>
        <v>10406.550000000001</v>
      </c>
      <c r="G74" s="16">
        <f t="shared" si="13"/>
        <v>0</v>
      </c>
      <c r="H74" s="14">
        <f t="shared" si="14"/>
        <v>326.45347350000003</v>
      </c>
      <c r="I74" s="15">
        <f t="shared" si="15"/>
        <v>0</v>
      </c>
      <c r="J74" s="15">
        <f t="shared" si="16"/>
        <v>285.13947000000002</v>
      </c>
      <c r="K74" s="15">
        <f t="shared" si="17"/>
        <v>0</v>
      </c>
      <c r="L74" s="15">
        <f t="shared" si="18"/>
        <v>237.26934000000003</v>
      </c>
      <c r="M74" s="15">
        <f t="shared" si="19"/>
        <v>0</v>
      </c>
      <c r="N74" s="15">
        <f t="shared" si="20"/>
        <v>212.29362000000003</v>
      </c>
      <c r="O74" s="15">
        <f t="shared" si="21"/>
        <v>0</v>
      </c>
      <c r="P74" s="15">
        <f t="shared" si="22"/>
        <v>6.0393892597500001</v>
      </c>
      <c r="Q74" s="18">
        <f t="shared" si="23"/>
        <v>0</v>
      </c>
      <c r="R74" s="220"/>
      <c r="S74" s="220"/>
    </row>
    <row r="75" spans="1:19" s="219" customFormat="1" ht="13.5" thickBot="1">
      <c r="A75" s="1358"/>
      <c r="B75" s="221"/>
      <c r="C75" s="222" t="s">
        <v>3734</v>
      </c>
      <c r="D75" s="225" t="s">
        <v>3665</v>
      </c>
      <c r="E75" s="224">
        <v>11700</v>
      </c>
      <c r="F75" s="13">
        <f t="shared" si="12"/>
        <v>6435.0000000000009</v>
      </c>
      <c r="G75" s="16">
        <f t="shared" si="13"/>
        <v>0</v>
      </c>
      <c r="H75" s="14">
        <f t="shared" si="14"/>
        <v>201.86595000000005</v>
      </c>
      <c r="I75" s="15">
        <f t="shared" si="15"/>
        <v>0</v>
      </c>
      <c r="J75" s="15">
        <f t="shared" si="16"/>
        <v>176.31900000000002</v>
      </c>
      <c r="K75" s="15">
        <f t="shared" si="17"/>
        <v>0</v>
      </c>
      <c r="L75" s="15">
        <f t="shared" si="18"/>
        <v>146.71800000000002</v>
      </c>
      <c r="M75" s="15">
        <f t="shared" si="19"/>
        <v>0</v>
      </c>
      <c r="N75" s="15">
        <f t="shared" si="20"/>
        <v>131.27400000000003</v>
      </c>
      <c r="O75" s="18">
        <f t="shared" si="21"/>
        <v>0</v>
      </c>
      <c r="P75" s="15">
        <f t="shared" si="22"/>
        <v>3.7345200750000007</v>
      </c>
      <c r="Q75" s="18">
        <f t="shared" si="23"/>
        <v>0</v>
      </c>
      <c r="R75" s="220"/>
      <c r="S75" s="220"/>
    </row>
    <row r="76" spans="1:19" s="219" customFormat="1" ht="13.5" thickBot="1">
      <c r="A76" s="1358"/>
      <c r="B76" s="221"/>
      <c r="C76" s="90" t="s">
        <v>3759</v>
      </c>
      <c r="D76" s="235" t="s">
        <v>3694</v>
      </c>
      <c r="E76" s="236">
        <v>1820</v>
      </c>
      <c r="F76" s="13">
        <f t="shared" si="12"/>
        <v>1001.0000000000001</v>
      </c>
      <c r="G76" s="16">
        <f t="shared" si="13"/>
        <v>0</v>
      </c>
      <c r="H76" s="14">
        <f t="shared" si="14"/>
        <v>31.401370000000007</v>
      </c>
      <c r="I76" s="15">
        <f t="shared" si="15"/>
        <v>0</v>
      </c>
      <c r="J76" s="15">
        <f t="shared" si="16"/>
        <v>27.427400000000002</v>
      </c>
      <c r="K76" s="15">
        <f t="shared" si="17"/>
        <v>0</v>
      </c>
      <c r="L76" s="15">
        <f t="shared" si="18"/>
        <v>22.822800000000004</v>
      </c>
      <c r="M76" s="15">
        <f t="shared" si="19"/>
        <v>0</v>
      </c>
      <c r="N76" s="15">
        <f t="shared" si="20"/>
        <v>20.420400000000004</v>
      </c>
      <c r="O76" s="15">
        <f t="shared" si="21"/>
        <v>0</v>
      </c>
      <c r="P76" s="15">
        <f t="shared" si="22"/>
        <v>0.58092534500000015</v>
      </c>
      <c r="Q76" s="18">
        <f t="shared" si="23"/>
        <v>0</v>
      </c>
      <c r="R76" s="220"/>
      <c r="S76" s="220"/>
    </row>
    <row r="77" spans="1:19" s="219" customFormat="1" ht="13.5" thickBot="1">
      <c r="A77" s="1358"/>
      <c r="B77" s="221"/>
      <c r="C77" s="90" t="s">
        <v>3760</v>
      </c>
      <c r="D77" s="235" t="s">
        <v>3695</v>
      </c>
      <c r="E77" s="236">
        <v>3450</v>
      </c>
      <c r="F77" s="13">
        <f t="shared" si="12"/>
        <v>1897.5000000000002</v>
      </c>
      <c r="G77" s="16">
        <f t="shared" si="13"/>
        <v>0</v>
      </c>
      <c r="H77" s="14">
        <f t="shared" si="14"/>
        <v>59.524575000000013</v>
      </c>
      <c r="I77" s="15">
        <f t="shared" si="15"/>
        <v>0</v>
      </c>
      <c r="J77" s="15">
        <f t="shared" si="16"/>
        <v>51.991500000000009</v>
      </c>
      <c r="K77" s="15">
        <f t="shared" si="17"/>
        <v>0</v>
      </c>
      <c r="L77" s="15">
        <f t="shared" si="18"/>
        <v>43.263000000000005</v>
      </c>
      <c r="M77" s="15">
        <f t="shared" si="19"/>
        <v>0</v>
      </c>
      <c r="N77" s="15">
        <f t="shared" si="20"/>
        <v>38.70900000000001</v>
      </c>
      <c r="O77" s="15">
        <f t="shared" si="21"/>
        <v>0</v>
      </c>
      <c r="P77" s="15">
        <f t="shared" si="22"/>
        <v>1.1012046375000002</v>
      </c>
      <c r="Q77" s="18">
        <f t="shared" si="23"/>
        <v>0</v>
      </c>
      <c r="R77" s="220"/>
      <c r="S77" s="220"/>
    </row>
    <row r="78" spans="1:19" s="219" customFormat="1" ht="13.5" thickBot="1">
      <c r="A78" s="1358"/>
      <c r="B78" s="221"/>
      <c r="C78" s="237" t="s">
        <v>3761</v>
      </c>
      <c r="D78" s="235" t="s">
        <v>3696</v>
      </c>
      <c r="E78" s="236">
        <v>4900</v>
      </c>
      <c r="F78" s="13">
        <f t="shared" si="12"/>
        <v>2695</v>
      </c>
      <c r="G78" s="16">
        <f t="shared" si="13"/>
        <v>0</v>
      </c>
      <c r="H78" s="14">
        <f t="shared" si="14"/>
        <v>84.542150000000007</v>
      </c>
      <c r="I78" s="15">
        <f t="shared" si="15"/>
        <v>0</v>
      </c>
      <c r="J78" s="15">
        <f t="shared" si="16"/>
        <v>73.843000000000004</v>
      </c>
      <c r="K78" s="15">
        <f t="shared" si="17"/>
        <v>0</v>
      </c>
      <c r="L78" s="15">
        <f t="shared" si="18"/>
        <v>61.446000000000005</v>
      </c>
      <c r="M78" s="15">
        <f t="shared" si="19"/>
        <v>0</v>
      </c>
      <c r="N78" s="15">
        <f t="shared" si="20"/>
        <v>54.978000000000002</v>
      </c>
      <c r="O78" s="15">
        <f t="shared" si="21"/>
        <v>0</v>
      </c>
      <c r="P78" s="15">
        <f t="shared" si="22"/>
        <v>1.5640297750000001</v>
      </c>
      <c r="Q78" s="18">
        <f t="shared" si="23"/>
        <v>0</v>
      </c>
      <c r="R78" s="220"/>
      <c r="S78" s="220"/>
    </row>
    <row r="79" spans="1:19" s="219" customFormat="1" ht="13.5" thickBot="1">
      <c r="A79" s="1358"/>
      <c r="B79" s="221"/>
      <c r="C79" s="90" t="s">
        <v>3762</v>
      </c>
      <c r="D79" s="235" t="s">
        <v>3697</v>
      </c>
      <c r="E79" s="236">
        <v>5800</v>
      </c>
      <c r="F79" s="13">
        <f t="shared" si="12"/>
        <v>3190.0000000000005</v>
      </c>
      <c r="G79" s="16">
        <f t="shared" si="13"/>
        <v>0</v>
      </c>
      <c r="H79" s="14">
        <f t="shared" si="14"/>
        <v>100.07030000000002</v>
      </c>
      <c r="I79" s="15">
        <f t="shared" si="15"/>
        <v>0</v>
      </c>
      <c r="J79" s="15">
        <f t="shared" si="16"/>
        <v>87.40600000000002</v>
      </c>
      <c r="K79" s="15">
        <f t="shared" si="17"/>
        <v>0</v>
      </c>
      <c r="L79" s="15">
        <f t="shared" si="18"/>
        <v>72.732000000000014</v>
      </c>
      <c r="M79" s="15">
        <f t="shared" si="19"/>
        <v>0</v>
      </c>
      <c r="N79" s="15">
        <f t="shared" si="20"/>
        <v>65.076000000000008</v>
      </c>
      <c r="O79" s="15">
        <f t="shared" si="21"/>
        <v>0</v>
      </c>
      <c r="P79" s="15">
        <f t="shared" si="22"/>
        <v>1.8513005500000002</v>
      </c>
      <c r="Q79" s="18">
        <f t="shared" si="23"/>
        <v>0</v>
      </c>
      <c r="R79" s="220"/>
      <c r="S79" s="220"/>
    </row>
    <row r="80" spans="1:19" s="219" customFormat="1" ht="13.5" thickBot="1">
      <c r="A80" s="1358"/>
      <c r="B80" s="221"/>
      <c r="C80" s="90" t="s">
        <v>3763</v>
      </c>
      <c r="D80" s="235" t="s">
        <v>3698</v>
      </c>
      <c r="E80" s="236">
        <v>6800</v>
      </c>
      <c r="F80" s="13">
        <f t="shared" si="12"/>
        <v>3740.0000000000005</v>
      </c>
      <c r="G80" s="16">
        <f t="shared" si="13"/>
        <v>0</v>
      </c>
      <c r="H80" s="14">
        <f t="shared" si="14"/>
        <v>117.32380000000002</v>
      </c>
      <c r="I80" s="15">
        <f t="shared" si="15"/>
        <v>0</v>
      </c>
      <c r="J80" s="15">
        <f t="shared" si="16"/>
        <v>102.47600000000001</v>
      </c>
      <c r="K80" s="15">
        <f t="shared" si="17"/>
        <v>0</v>
      </c>
      <c r="L80" s="15">
        <f t="shared" si="18"/>
        <v>85.27200000000002</v>
      </c>
      <c r="M80" s="15">
        <f t="shared" si="19"/>
        <v>0</v>
      </c>
      <c r="N80" s="15">
        <f t="shared" si="20"/>
        <v>76.296000000000021</v>
      </c>
      <c r="O80" s="15">
        <f t="shared" si="21"/>
        <v>0</v>
      </c>
      <c r="P80" s="15">
        <f t="shared" si="22"/>
        <v>2.1704903000000004</v>
      </c>
      <c r="Q80" s="18">
        <f t="shared" si="23"/>
        <v>0</v>
      </c>
      <c r="R80" s="220"/>
      <c r="S80" s="220"/>
    </row>
    <row r="81" spans="1:19" s="219" customFormat="1" ht="13.5" thickBot="1">
      <c r="A81" s="1358"/>
      <c r="B81" s="221"/>
      <c r="C81" s="234">
        <v>45206712</v>
      </c>
      <c r="D81" s="223" t="s">
        <v>3612</v>
      </c>
      <c r="E81" s="224">
        <v>2500</v>
      </c>
      <c r="F81" s="13">
        <f t="shared" si="12"/>
        <v>1375</v>
      </c>
      <c r="G81" s="16">
        <f t="shared" si="13"/>
        <v>0</v>
      </c>
      <c r="H81" s="14">
        <f t="shared" si="14"/>
        <v>43.133750000000006</v>
      </c>
      <c r="I81" s="15">
        <f t="shared" si="15"/>
        <v>0</v>
      </c>
      <c r="J81" s="15">
        <f t="shared" si="16"/>
        <v>37.675000000000004</v>
      </c>
      <c r="K81" s="15">
        <f t="shared" si="17"/>
        <v>0</v>
      </c>
      <c r="L81" s="15">
        <f t="shared" si="18"/>
        <v>31.35</v>
      </c>
      <c r="M81" s="15">
        <f t="shared" si="19"/>
        <v>0</v>
      </c>
      <c r="N81" s="15">
        <f t="shared" si="20"/>
        <v>28.05</v>
      </c>
      <c r="O81" s="15">
        <f t="shared" si="21"/>
        <v>0</v>
      </c>
      <c r="P81" s="15">
        <f t="shared" si="22"/>
        <v>0.79797437500000012</v>
      </c>
      <c r="Q81" s="18">
        <f t="shared" si="23"/>
        <v>0</v>
      </c>
      <c r="R81" s="220"/>
      <c r="S81" s="220"/>
    </row>
    <row r="82" spans="1:19" s="219" customFormat="1" ht="13.5" thickBot="1">
      <c r="A82" s="1358"/>
      <c r="B82" s="221"/>
      <c r="C82" s="234">
        <v>45206719</v>
      </c>
      <c r="D82" s="223" t="s">
        <v>3613</v>
      </c>
      <c r="E82" s="224">
        <v>3000</v>
      </c>
      <c r="F82" s="13">
        <f t="shared" si="12"/>
        <v>1650.0000000000002</v>
      </c>
      <c r="G82" s="16">
        <f t="shared" si="13"/>
        <v>0</v>
      </c>
      <c r="H82" s="14">
        <f t="shared" si="14"/>
        <v>51.760500000000008</v>
      </c>
      <c r="I82" s="15">
        <f t="shared" si="15"/>
        <v>0</v>
      </c>
      <c r="J82" s="15">
        <f t="shared" si="16"/>
        <v>45.210000000000008</v>
      </c>
      <c r="K82" s="15">
        <f t="shared" si="17"/>
        <v>0</v>
      </c>
      <c r="L82" s="15">
        <f t="shared" si="18"/>
        <v>37.620000000000005</v>
      </c>
      <c r="M82" s="15">
        <f t="shared" si="19"/>
        <v>0</v>
      </c>
      <c r="N82" s="15">
        <f t="shared" si="20"/>
        <v>33.660000000000004</v>
      </c>
      <c r="O82" s="15">
        <f t="shared" si="21"/>
        <v>0</v>
      </c>
      <c r="P82" s="15">
        <f t="shared" si="22"/>
        <v>0.95756925000000004</v>
      </c>
      <c r="Q82" s="18">
        <f t="shared" si="23"/>
        <v>0</v>
      </c>
      <c r="R82" s="220"/>
      <c r="S82" s="220"/>
    </row>
    <row r="83" spans="1:19" s="219" customFormat="1" ht="13.5" thickBot="1">
      <c r="A83" s="1358"/>
      <c r="B83" s="221"/>
      <c r="C83" s="90">
        <v>45112781</v>
      </c>
      <c r="D83" s="235" t="s">
        <v>3693</v>
      </c>
      <c r="E83" s="236">
        <v>5394</v>
      </c>
      <c r="F83" s="13">
        <f t="shared" si="12"/>
        <v>2966.7000000000003</v>
      </c>
      <c r="G83" s="16">
        <f t="shared" si="13"/>
        <v>0</v>
      </c>
      <c r="H83" s="14">
        <f t="shared" si="14"/>
        <v>93.065379000000021</v>
      </c>
      <c r="I83" s="15">
        <f t="shared" si="15"/>
        <v>0</v>
      </c>
      <c r="J83" s="15">
        <f t="shared" si="16"/>
        <v>81.287580000000005</v>
      </c>
      <c r="K83" s="15">
        <f t="shared" si="17"/>
        <v>0</v>
      </c>
      <c r="L83" s="15">
        <f t="shared" si="18"/>
        <v>67.640760000000014</v>
      </c>
      <c r="M83" s="15">
        <f t="shared" si="19"/>
        <v>0</v>
      </c>
      <c r="N83" s="15">
        <f t="shared" si="20"/>
        <v>60.520680000000013</v>
      </c>
      <c r="O83" s="15">
        <f t="shared" si="21"/>
        <v>0</v>
      </c>
      <c r="P83" s="15">
        <f t="shared" si="22"/>
        <v>1.7217095115000003</v>
      </c>
      <c r="Q83" s="18">
        <f t="shared" si="23"/>
        <v>0</v>
      </c>
      <c r="R83" s="220"/>
      <c r="S83" s="220"/>
    </row>
    <row r="84" spans="1:19" s="219" customFormat="1" ht="13.5" thickBot="1">
      <c r="A84" s="1358"/>
      <c r="B84" s="221"/>
      <c r="C84" s="90" t="s">
        <v>3757</v>
      </c>
      <c r="D84" s="235" t="s">
        <v>3692</v>
      </c>
      <c r="E84" s="236">
        <v>899</v>
      </c>
      <c r="F84" s="13">
        <f t="shared" si="12"/>
        <v>494.45000000000005</v>
      </c>
      <c r="G84" s="16">
        <f t="shared" si="13"/>
        <v>0</v>
      </c>
      <c r="H84" s="14">
        <f t="shared" si="14"/>
        <v>15.510896500000003</v>
      </c>
      <c r="I84" s="15">
        <f t="shared" si="15"/>
        <v>0</v>
      </c>
      <c r="J84" s="15">
        <f t="shared" si="16"/>
        <v>13.547930000000001</v>
      </c>
      <c r="K84" s="15">
        <f t="shared" si="17"/>
        <v>0</v>
      </c>
      <c r="L84" s="15">
        <f t="shared" si="18"/>
        <v>11.273460000000002</v>
      </c>
      <c r="M84" s="15">
        <f t="shared" si="19"/>
        <v>0</v>
      </c>
      <c r="N84" s="15">
        <f t="shared" si="20"/>
        <v>10.086780000000001</v>
      </c>
      <c r="O84" s="18">
        <f t="shared" si="21"/>
        <v>0</v>
      </c>
      <c r="P84" s="15">
        <f t="shared" si="22"/>
        <v>0.28695158525000003</v>
      </c>
      <c r="Q84" s="18">
        <f t="shared" si="23"/>
        <v>0</v>
      </c>
      <c r="R84" s="220"/>
      <c r="S84" s="220"/>
    </row>
    <row r="85" spans="1:19" s="219" customFormat="1" ht="26.25" thickBot="1">
      <c r="A85" s="1358"/>
      <c r="B85" s="221"/>
      <c r="C85" s="90" t="s">
        <v>276</v>
      </c>
      <c r="D85" s="235" t="s">
        <v>778</v>
      </c>
      <c r="E85" s="236">
        <v>700</v>
      </c>
      <c r="F85" s="13">
        <f t="shared" si="12"/>
        <v>385.00000000000006</v>
      </c>
      <c r="G85" s="16">
        <f t="shared" si="13"/>
        <v>0</v>
      </c>
      <c r="H85" s="14">
        <f t="shared" si="14"/>
        <v>12.077450000000002</v>
      </c>
      <c r="I85" s="15">
        <f t="shared" si="15"/>
        <v>0</v>
      </c>
      <c r="J85" s="15">
        <f t="shared" si="16"/>
        <v>10.549000000000001</v>
      </c>
      <c r="K85" s="15">
        <f t="shared" si="17"/>
        <v>0</v>
      </c>
      <c r="L85" s="15">
        <f t="shared" si="18"/>
        <v>8.7780000000000022</v>
      </c>
      <c r="M85" s="15">
        <f t="shared" si="19"/>
        <v>0</v>
      </c>
      <c r="N85" s="15">
        <f t="shared" si="20"/>
        <v>7.8540000000000019</v>
      </c>
      <c r="O85" s="18">
        <f t="shared" si="21"/>
        <v>0</v>
      </c>
      <c r="P85" s="15">
        <f t="shared" si="22"/>
        <v>0.22343282500000003</v>
      </c>
      <c r="Q85" s="18">
        <f t="shared" si="23"/>
        <v>0</v>
      </c>
      <c r="R85" s="220"/>
      <c r="S85" s="220"/>
    </row>
    <row r="86" spans="1:19" s="219" customFormat="1" ht="13.5" thickBot="1">
      <c r="A86" s="1358"/>
      <c r="B86" s="221"/>
      <c r="C86" s="234">
        <v>45206722</v>
      </c>
      <c r="D86" s="223" t="s">
        <v>3702</v>
      </c>
      <c r="E86" s="224">
        <v>4200</v>
      </c>
      <c r="F86" s="13">
        <f t="shared" si="12"/>
        <v>2310</v>
      </c>
      <c r="G86" s="17">
        <f t="shared" si="13"/>
        <v>0</v>
      </c>
      <c r="H86" s="15">
        <f t="shared" si="14"/>
        <v>72.464700000000008</v>
      </c>
      <c r="I86" s="15">
        <f t="shared" si="15"/>
        <v>0</v>
      </c>
      <c r="J86" s="15">
        <f t="shared" si="16"/>
        <v>63.294000000000004</v>
      </c>
      <c r="K86" s="15">
        <f t="shared" si="17"/>
        <v>0</v>
      </c>
      <c r="L86" s="15">
        <f t="shared" si="18"/>
        <v>52.667999999999999</v>
      </c>
      <c r="M86" s="15">
        <f t="shared" si="19"/>
        <v>0</v>
      </c>
      <c r="N86" s="15">
        <f t="shared" si="20"/>
        <v>47.124000000000002</v>
      </c>
      <c r="O86" s="15">
        <f t="shared" si="21"/>
        <v>0</v>
      </c>
      <c r="P86" s="15">
        <f t="shared" si="22"/>
        <v>1.3405969500000001</v>
      </c>
      <c r="Q86" s="18">
        <f t="shared" si="23"/>
        <v>0</v>
      </c>
      <c r="R86" s="220"/>
      <c r="S86" s="220"/>
    </row>
    <row r="87" spans="1:19" s="219" customFormat="1" ht="26.25" thickBot="1">
      <c r="A87" s="1358"/>
      <c r="B87" s="221"/>
      <c r="C87" s="90" t="s">
        <v>588</v>
      </c>
      <c r="D87" s="235" t="s">
        <v>779</v>
      </c>
      <c r="E87" s="236">
        <v>1000</v>
      </c>
      <c r="F87" s="13">
        <f t="shared" si="12"/>
        <v>550</v>
      </c>
      <c r="G87" s="16">
        <f t="shared" si="13"/>
        <v>0</v>
      </c>
      <c r="H87" s="14">
        <f t="shared" si="14"/>
        <v>17.253500000000003</v>
      </c>
      <c r="I87" s="15">
        <f t="shared" si="15"/>
        <v>0</v>
      </c>
      <c r="J87" s="15">
        <f t="shared" si="16"/>
        <v>15.07</v>
      </c>
      <c r="K87" s="15">
        <f t="shared" si="17"/>
        <v>0</v>
      </c>
      <c r="L87" s="15">
        <f t="shared" si="18"/>
        <v>12.540000000000001</v>
      </c>
      <c r="M87" s="15">
        <f t="shared" si="19"/>
        <v>0</v>
      </c>
      <c r="N87" s="15">
        <f t="shared" si="20"/>
        <v>11.22</v>
      </c>
      <c r="O87" s="15">
        <f t="shared" si="21"/>
        <v>0</v>
      </c>
      <c r="P87" s="15">
        <f t="shared" si="22"/>
        <v>0.31918975000000005</v>
      </c>
      <c r="Q87" s="18">
        <f t="shared" si="23"/>
        <v>0</v>
      </c>
      <c r="R87" s="220"/>
      <c r="S87" s="220"/>
    </row>
    <row r="88" spans="1:19" s="233" customFormat="1" ht="13.5" thickBot="1">
      <c r="A88" s="1358"/>
      <c r="B88" s="221"/>
      <c r="C88" s="234">
        <v>45206725</v>
      </c>
      <c r="D88" s="223" t="s">
        <v>3703</v>
      </c>
      <c r="E88" s="224">
        <v>6000</v>
      </c>
      <c r="F88" s="13">
        <f t="shared" si="12"/>
        <v>3300.0000000000005</v>
      </c>
      <c r="G88" s="16">
        <f t="shared" si="13"/>
        <v>0</v>
      </c>
      <c r="H88" s="14">
        <f t="shared" si="14"/>
        <v>103.52100000000002</v>
      </c>
      <c r="I88" s="15">
        <f t="shared" si="15"/>
        <v>0</v>
      </c>
      <c r="J88" s="15">
        <f t="shared" si="16"/>
        <v>90.420000000000016</v>
      </c>
      <c r="K88" s="15">
        <f t="shared" si="17"/>
        <v>0</v>
      </c>
      <c r="L88" s="15">
        <f t="shared" si="18"/>
        <v>75.240000000000009</v>
      </c>
      <c r="M88" s="15">
        <f t="shared" si="19"/>
        <v>0</v>
      </c>
      <c r="N88" s="15">
        <f t="shared" si="20"/>
        <v>67.320000000000007</v>
      </c>
      <c r="O88" s="15">
        <f t="shared" si="21"/>
        <v>0</v>
      </c>
      <c r="P88" s="15">
        <f t="shared" si="22"/>
        <v>1.9151385000000001</v>
      </c>
      <c r="Q88" s="18">
        <f t="shared" si="23"/>
        <v>0</v>
      </c>
      <c r="R88" s="232"/>
      <c r="S88" s="232"/>
    </row>
    <row r="89" spans="1:19" s="233" customFormat="1" ht="13.5" thickBot="1">
      <c r="A89" s="1358"/>
      <c r="B89" s="221"/>
      <c r="C89" s="90" t="s">
        <v>3738</v>
      </c>
      <c r="D89" s="235" t="s">
        <v>3670</v>
      </c>
      <c r="E89" s="236">
        <v>5905.8</v>
      </c>
      <c r="F89" s="13">
        <f t="shared" si="12"/>
        <v>3248.1900000000005</v>
      </c>
      <c r="G89" s="16">
        <f t="shared" si="13"/>
        <v>0</v>
      </c>
      <c r="H89" s="14">
        <f t="shared" si="14"/>
        <v>101.89572030000002</v>
      </c>
      <c r="I89" s="15">
        <f t="shared" si="15"/>
        <v>0</v>
      </c>
      <c r="J89" s="15">
        <f t="shared" si="16"/>
        <v>89.000406000000012</v>
      </c>
      <c r="K89" s="15">
        <f t="shared" si="17"/>
        <v>0</v>
      </c>
      <c r="L89" s="15">
        <f t="shared" si="18"/>
        <v>74.05873200000002</v>
      </c>
      <c r="M89" s="15">
        <f t="shared" si="19"/>
        <v>0</v>
      </c>
      <c r="N89" s="15">
        <f t="shared" si="20"/>
        <v>66.263076000000012</v>
      </c>
      <c r="O89" s="18">
        <f t="shared" si="21"/>
        <v>0</v>
      </c>
      <c r="P89" s="15">
        <f t="shared" si="22"/>
        <v>1.8850708255500004</v>
      </c>
      <c r="Q89" s="18">
        <f t="shared" si="23"/>
        <v>0</v>
      </c>
      <c r="R89" s="232"/>
      <c r="S89" s="232"/>
    </row>
    <row r="90" spans="1:19" s="233" customFormat="1" ht="13.5" thickBot="1">
      <c r="A90" s="1358"/>
      <c r="B90" s="221"/>
      <c r="C90" s="90" t="s">
        <v>3758</v>
      </c>
      <c r="D90" s="235" t="s">
        <v>780</v>
      </c>
      <c r="E90" s="236">
        <v>6370</v>
      </c>
      <c r="F90" s="13">
        <f t="shared" si="12"/>
        <v>3503.5000000000005</v>
      </c>
      <c r="G90" s="16">
        <f t="shared" si="13"/>
        <v>0</v>
      </c>
      <c r="H90" s="14">
        <f t="shared" si="14"/>
        <v>109.90479500000002</v>
      </c>
      <c r="I90" s="15">
        <f t="shared" si="15"/>
        <v>0</v>
      </c>
      <c r="J90" s="15">
        <f t="shared" si="16"/>
        <v>95.99590000000002</v>
      </c>
      <c r="K90" s="15">
        <f t="shared" si="17"/>
        <v>0</v>
      </c>
      <c r="L90" s="15">
        <f t="shared" si="18"/>
        <v>79.879800000000017</v>
      </c>
      <c r="M90" s="15">
        <f t="shared" si="19"/>
        <v>0</v>
      </c>
      <c r="N90" s="15">
        <f t="shared" si="20"/>
        <v>71.471400000000017</v>
      </c>
      <c r="O90" s="15">
        <f t="shared" si="21"/>
        <v>0</v>
      </c>
      <c r="P90" s="15">
        <f t="shared" si="22"/>
        <v>2.0332387075000002</v>
      </c>
      <c r="Q90" s="18">
        <f t="shared" si="23"/>
        <v>0</v>
      </c>
      <c r="R90" s="232"/>
      <c r="S90" s="232"/>
    </row>
    <row r="91" spans="1:19" s="219" customFormat="1" ht="26.25" thickBot="1">
      <c r="A91" s="1358"/>
      <c r="B91" s="221"/>
      <c r="C91" s="234">
        <v>7718800</v>
      </c>
      <c r="D91" s="223" t="s">
        <v>781</v>
      </c>
      <c r="E91" s="224">
        <v>19981.349999999999</v>
      </c>
      <c r="F91" s="13">
        <f t="shared" si="12"/>
        <v>10989.7425</v>
      </c>
      <c r="G91" s="16">
        <f t="shared" si="13"/>
        <v>0</v>
      </c>
      <c r="H91" s="14">
        <f t="shared" si="14"/>
        <v>344.74822222500001</v>
      </c>
      <c r="I91" s="15">
        <f t="shared" si="15"/>
        <v>0</v>
      </c>
      <c r="J91" s="15">
        <f t="shared" si="16"/>
        <v>301.1189445</v>
      </c>
      <c r="K91" s="15">
        <f t="shared" si="17"/>
        <v>0</v>
      </c>
      <c r="L91" s="15">
        <f t="shared" si="18"/>
        <v>250.56612900000002</v>
      </c>
      <c r="M91" s="15">
        <f t="shared" si="19"/>
        <v>0</v>
      </c>
      <c r="N91" s="15">
        <f t="shared" si="20"/>
        <v>224.19074700000002</v>
      </c>
      <c r="O91" s="15">
        <f t="shared" si="21"/>
        <v>0</v>
      </c>
      <c r="P91" s="15">
        <f t="shared" si="22"/>
        <v>6.3778421111624999</v>
      </c>
      <c r="Q91" s="18">
        <f t="shared" si="23"/>
        <v>0</v>
      </c>
      <c r="R91" s="220"/>
      <c r="S91" s="220"/>
    </row>
    <row r="92" spans="1:19" s="219" customFormat="1" ht="13.5" thickBot="1">
      <c r="A92" s="1358"/>
      <c r="B92" s="221"/>
      <c r="C92" s="234">
        <v>7723000</v>
      </c>
      <c r="D92" s="223" t="s">
        <v>782</v>
      </c>
      <c r="E92" s="224">
        <v>45615.56</v>
      </c>
      <c r="F92" s="13">
        <f t="shared" si="12"/>
        <v>25088.558000000001</v>
      </c>
      <c r="G92" s="16">
        <f t="shared" si="13"/>
        <v>0</v>
      </c>
      <c r="H92" s="14">
        <f t="shared" si="14"/>
        <v>787.02806446000011</v>
      </c>
      <c r="I92" s="15">
        <f t="shared" si="15"/>
        <v>0</v>
      </c>
      <c r="J92" s="15">
        <f t="shared" si="16"/>
        <v>687.42648919999999</v>
      </c>
      <c r="K92" s="15">
        <f t="shared" si="17"/>
        <v>0</v>
      </c>
      <c r="L92" s="15">
        <f t="shared" si="18"/>
        <v>572.01912240000001</v>
      </c>
      <c r="M92" s="15">
        <f t="shared" si="19"/>
        <v>0</v>
      </c>
      <c r="N92" s="15">
        <f t="shared" si="20"/>
        <v>511.80658320000003</v>
      </c>
      <c r="O92" s="15">
        <f t="shared" si="21"/>
        <v>0</v>
      </c>
      <c r="P92" s="15">
        <f t="shared" si="22"/>
        <v>14.560019192510001</v>
      </c>
      <c r="Q92" s="18">
        <f t="shared" si="23"/>
        <v>0</v>
      </c>
      <c r="R92" s="220"/>
      <c r="S92" s="220"/>
    </row>
    <row r="93" spans="1:19" s="219" customFormat="1" ht="13.5" thickBot="1">
      <c r="A93" s="1358"/>
      <c r="B93" s="221"/>
      <c r="C93" s="234" t="s">
        <v>575</v>
      </c>
      <c r="D93" s="223" t="s">
        <v>3463</v>
      </c>
      <c r="E93" s="224">
        <v>10600</v>
      </c>
      <c r="F93" s="13">
        <f t="shared" si="12"/>
        <v>5830.0000000000009</v>
      </c>
      <c r="G93" s="17">
        <f t="shared" si="13"/>
        <v>0</v>
      </c>
      <c r="H93" s="15">
        <f t="shared" si="14"/>
        <v>182.88710000000003</v>
      </c>
      <c r="I93" s="15">
        <f t="shared" si="15"/>
        <v>0</v>
      </c>
      <c r="J93" s="15">
        <f t="shared" si="16"/>
        <v>159.74200000000002</v>
      </c>
      <c r="K93" s="15">
        <f t="shared" si="17"/>
        <v>0</v>
      </c>
      <c r="L93" s="15">
        <f t="shared" si="18"/>
        <v>132.92400000000004</v>
      </c>
      <c r="M93" s="15">
        <f t="shared" si="19"/>
        <v>0</v>
      </c>
      <c r="N93" s="15">
        <f t="shared" si="20"/>
        <v>118.93200000000003</v>
      </c>
      <c r="O93" s="18">
        <f t="shared" si="21"/>
        <v>0</v>
      </c>
      <c r="P93" s="15">
        <f t="shared" si="22"/>
        <v>3.3834113500000003</v>
      </c>
      <c r="Q93" s="18">
        <f t="shared" si="23"/>
        <v>0</v>
      </c>
      <c r="R93" s="220"/>
      <c r="S93" s="220"/>
    </row>
    <row r="94" spans="1:19" s="219" customFormat="1" ht="13.5" thickBot="1">
      <c r="A94" s="1358"/>
      <c r="B94" s="221"/>
      <c r="C94" s="234" t="s">
        <v>576</v>
      </c>
      <c r="D94" s="223" t="s">
        <v>3684</v>
      </c>
      <c r="E94" s="224">
        <v>2332</v>
      </c>
      <c r="F94" s="13">
        <f t="shared" ref="F94:F125" si="24">E94*(1-45%)</f>
        <v>1282.6000000000001</v>
      </c>
      <c r="G94" s="17">
        <f t="shared" ref="G94:G125" si="25">F94*B94</f>
        <v>0</v>
      </c>
      <c r="H94" s="15">
        <f t="shared" ref="H94:H125" si="26">F94*0.03137</f>
        <v>40.23516200000001</v>
      </c>
      <c r="I94" s="15">
        <f t="shared" ref="I94:I125" si="27">H94*B94</f>
        <v>0</v>
      </c>
      <c r="J94" s="15">
        <f t="shared" ref="J94:J118" si="28">F94*0.0274</f>
        <v>35.143240000000006</v>
      </c>
      <c r="K94" s="15">
        <f t="shared" ref="K94:K125" si="29">J94*B94</f>
        <v>0</v>
      </c>
      <c r="L94" s="15">
        <f t="shared" ref="L94:L118" si="30">F94*0.0228</f>
        <v>29.243280000000006</v>
      </c>
      <c r="M94" s="15">
        <f t="shared" ref="M94:M125" si="31">L94*B94</f>
        <v>0</v>
      </c>
      <c r="N94" s="15">
        <f t="shared" ref="N94:N125" si="32">F94*0.0204</f>
        <v>26.165040000000005</v>
      </c>
      <c r="O94" s="15">
        <f t="shared" ref="O94:O125" si="33">N94*B94</f>
        <v>0</v>
      </c>
      <c r="P94" s="15">
        <f t="shared" ref="P94:P105" si="34">H94*0.0185</f>
        <v>0.74435049700000011</v>
      </c>
      <c r="Q94" s="18">
        <f t="shared" ref="Q94:Q125" si="35">P94*B94</f>
        <v>0</v>
      </c>
      <c r="R94" s="220"/>
      <c r="S94" s="220"/>
    </row>
    <row r="95" spans="1:19" s="219" customFormat="1" ht="13.5" thickBot="1">
      <c r="A95" s="1358"/>
      <c r="B95" s="221"/>
      <c r="C95" s="222" t="s">
        <v>3766</v>
      </c>
      <c r="D95" s="223" t="s">
        <v>3708</v>
      </c>
      <c r="E95" s="224">
        <v>35280</v>
      </c>
      <c r="F95" s="13">
        <f t="shared" si="24"/>
        <v>19404</v>
      </c>
      <c r="G95" s="17">
        <f t="shared" si="25"/>
        <v>0</v>
      </c>
      <c r="H95" s="15">
        <f t="shared" si="26"/>
        <v>608.70348000000001</v>
      </c>
      <c r="I95" s="15">
        <f t="shared" si="27"/>
        <v>0</v>
      </c>
      <c r="J95" s="15">
        <f t="shared" si="28"/>
        <v>531.66960000000006</v>
      </c>
      <c r="K95" s="15">
        <f t="shared" si="29"/>
        <v>0</v>
      </c>
      <c r="L95" s="15">
        <f t="shared" si="30"/>
        <v>442.41120000000001</v>
      </c>
      <c r="M95" s="15">
        <f t="shared" si="31"/>
        <v>0</v>
      </c>
      <c r="N95" s="15">
        <f t="shared" si="32"/>
        <v>395.84160000000003</v>
      </c>
      <c r="O95" s="15">
        <f t="shared" si="33"/>
        <v>0</v>
      </c>
      <c r="P95" s="15">
        <f t="shared" si="34"/>
        <v>11.261014379999999</v>
      </c>
      <c r="Q95" s="18">
        <f t="shared" si="35"/>
        <v>0</v>
      </c>
      <c r="R95" s="220"/>
      <c r="S95" s="220"/>
    </row>
    <row r="96" spans="1:19" s="219" customFormat="1" ht="13.5" thickBot="1">
      <c r="A96" s="1358"/>
      <c r="B96" s="221"/>
      <c r="C96" s="234" t="s">
        <v>3764</v>
      </c>
      <c r="D96" s="223" t="s">
        <v>3706</v>
      </c>
      <c r="E96" s="224">
        <v>48232</v>
      </c>
      <c r="F96" s="13">
        <f t="shared" si="24"/>
        <v>26527.600000000002</v>
      </c>
      <c r="G96" s="17">
        <f t="shared" si="25"/>
        <v>0</v>
      </c>
      <c r="H96" s="15">
        <f t="shared" si="26"/>
        <v>832.17081200000007</v>
      </c>
      <c r="I96" s="15">
        <f t="shared" si="27"/>
        <v>0</v>
      </c>
      <c r="J96" s="15">
        <f t="shared" si="28"/>
        <v>726.85624000000007</v>
      </c>
      <c r="K96" s="15">
        <f t="shared" si="29"/>
        <v>0</v>
      </c>
      <c r="L96" s="15">
        <f t="shared" si="30"/>
        <v>604.82928000000004</v>
      </c>
      <c r="M96" s="15">
        <f t="shared" si="31"/>
        <v>0</v>
      </c>
      <c r="N96" s="15">
        <f t="shared" si="32"/>
        <v>541.16304000000014</v>
      </c>
      <c r="O96" s="15">
        <f t="shared" si="33"/>
        <v>0</v>
      </c>
      <c r="P96" s="15">
        <f t="shared" si="34"/>
        <v>15.395160022000001</v>
      </c>
      <c r="Q96" s="18">
        <f t="shared" si="35"/>
        <v>0</v>
      </c>
      <c r="R96" s="220"/>
      <c r="S96" s="220"/>
    </row>
    <row r="97" spans="1:19" s="219" customFormat="1" ht="13.5" thickBot="1">
      <c r="A97" s="1358"/>
      <c r="B97" s="221"/>
      <c r="C97" s="234" t="s">
        <v>3767</v>
      </c>
      <c r="D97" s="223" t="s">
        <v>3709</v>
      </c>
      <c r="E97" s="224">
        <v>83058</v>
      </c>
      <c r="F97" s="13">
        <f t="shared" si="24"/>
        <v>45681.9</v>
      </c>
      <c r="G97" s="17">
        <f t="shared" si="25"/>
        <v>0</v>
      </c>
      <c r="H97" s="15">
        <f t="shared" si="26"/>
        <v>1433.0412030000002</v>
      </c>
      <c r="I97" s="15">
        <f t="shared" si="27"/>
        <v>0</v>
      </c>
      <c r="J97" s="15">
        <f t="shared" si="28"/>
        <v>1251.68406</v>
      </c>
      <c r="K97" s="15">
        <f t="shared" si="29"/>
        <v>0</v>
      </c>
      <c r="L97" s="15">
        <f t="shared" si="30"/>
        <v>1041.5473200000001</v>
      </c>
      <c r="M97" s="15">
        <f t="shared" si="31"/>
        <v>0</v>
      </c>
      <c r="N97" s="15">
        <f t="shared" si="32"/>
        <v>931.9107600000001</v>
      </c>
      <c r="O97" s="15">
        <f t="shared" si="33"/>
        <v>0</v>
      </c>
      <c r="P97" s="15">
        <f t="shared" si="34"/>
        <v>26.511262255500004</v>
      </c>
      <c r="Q97" s="18">
        <f t="shared" si="35"/>
        <v>0</v>
      </c>
      <c r="R97" s="220"/>
      <c r="S97" s="220"/>
    </row>
    <row r="98" spans="1:19" s="219" customFormat="1" ht="13.5" thickBot="1">
      <c r="A98" s="1358"/>
      <c r="B98" s="229"/>
      <c r="C98" s="230" t="s">
        <v>577</v>
      </c>
      <c r="D98" s="225" t="s">
        <v>571</v>
      </c>
      <c r="E98" s="231">
        <v>18000</v>
      </c>
      <c r="F98" s="79">
        <f t="shared" si="24"/>
        <v>9900</v>
      </c>
      <c r="G98" s="81">
        <f t="shared" si="25"/>
        <v>0</v>
      </c>
      <c r="H98" s="18">
        <f t="shared" si="26"/>
        <v>310.56300000000005</v>
      </c>
      <c r="I98" s="18">
        <f t="shared" si="27"/>
        <v>0</v>
      </c>
      <c r="J98" s="18">
        <f t="shared" si="28"/>
        <v>271.26</v>
      </c>
      <c r="K98" s="18">
        <f t="shared" si="29"/>
        <v>0</v>
      </c>
      <c r="L98" s="18">
        <f t="shared" si="30"/>
        <v>225.72</v>
      </c>
      <c r="M98" s="18">
        <f t="shared" si="31"/>
        <v>0</v>
      </c>
      <c r="N98" s="18">
        <f t="shared" si="32"/>
        <v>201.96</v>
      </c>
      <c r="O98" s="18">
        <f t="shared" si="33"/>
        <v>0</v>
      </c>
      <c r="P98" s="18">
        <f t="shared" si="34"/>
        <v>5.7454155000000009</v>
      </c>
      <c r="Q98" s="18">
        <f t="shared" si="35"/>
        <v>0</v>
      </c>
      <c r="R98" s="220"/>
      <c r="S98" s="220"/>
    </row>
    <row r="99" spans="1:19" s="219" customFormat="1" ht="13.5" thickBot="1">
      <c r="A99" s="1358"/>
      <c r="B99" s="221"/>
      <c r="C99" s="237" t="s">
        <v>3746</v>
      </c>
      <c r="D99" s="235" t="s">
        <v>3680</v>
      </c>
      <c r="E99" s="236">
        <v>1120</v>
      </c>
      <c r="F99" s="13">
        <f t="shared" si="24"/>
        <v>616</v>
      </c>
      <c r="G99" s="17">
        <f t="shared" si="25"/>
        <v>0</v>
      </c>
      <c r="H99" s="15">
        <f t="shared" si="26"/>
        <v>19.323920000000001</v>
      </c>
      <c r="I99" s="15">
        <f t="shared" si="27"/>
        <v>0</v>
      </c>
      <c r="J99" s="15">
        <f t="shared" si="28"/>
        <v>16.878399999999999</v>
      </c>
      <c r="K99" s="15">
        <f t="shared" si="29"/>
        <v>0</v>
      </c>
      <c r="L99" s="15">
        <f t="shared" si="30"/>
        <v>14.0448</v>
      </c>
      <c r="M99" s="15">
        <f t="shared" si="31"/>
        <v>0</v>
      </c>
      <c r="N99" s="15">
        <f t="shared" si="32"/>
        <v>12.566400000000002</v>
      </c>
      <c r="O99" s="15">
        <f t="shared" si="33"/>
        <v>0</v>
      </c>
      <c r="P99" s="15">
        <f t="shared" si="34"/>
        <v>0.35749251999999998</v>
      </c>
      <c r="Q99" s="18">
        <f t="shared" si="35"/>
        <v>0</v>
      </c>
      <c r="R99" s="220"/>
      <c r="S99" s="220"/>
    </row>
    <row r="100" spans="1:19" s="219" customFormat="1" ht="13.5" thickBot="1">
      <c r="A100" s="1358"/>
      <c r="B100" s="221"/>
      <c r="C100" s="90" t="s">
        <v>3742</v>
      </c>
      <c r="D100" s="235" t="s">
        <v>3676</v>
      </c>
      <c r="E100" s="236">
        <v>890.4</v>
      </c>
      <c r="F100" s="13">
        <f t="shared" si="24"/>
        <v>489.72</v>
      </c>
      <c r="G100" s="17">
        <f t="shared" si="25"/>
        <v>0</v>
      </c>
      <c r="H100" s="15">
        <f t="shared" si="26"/>
        <v>15.362516400000002</v>
      </c>
      <c r="I100" s="15">
        <f t="shared" si="27"/>
        <v>0</v>
      </c>
      <c r="J100" s="15">
        <f t="shared" si="28"/>
        <v>13.418328000000001</v>
      </c>
      <c r="K100" s="15">
        <f t="shared" si="29"/>
        <v>0</v>
      </c>
      <c r="L100" s="15">
        <f t="shared" si="30"/>
        <v>11.165616000000002</v>
      </c>
      <c r="M100" s="15">
        <f t="shared" si="31"/>
        <v>0</v>
      </c>
      <c r="N100" s="15">
        <f t="shared" si="32"/>
        <v>9.9902880000000014</v>
      </c>
      <c r="O100" s="15">
        <f t="shared" si="33"/>
        <v>0</v>
      </c>
      <c r="P100" s="15">
        <f t="shared" si="34"/>
        <v>0.28420655340000001</v>
      </c>
      <c r="Q100" s="18">
        <f t="shared" si="35"/>
        <v>0</v>
      </c>
      <c r="R100" s="220"/>
      <c r="S100" s="220"/>
    </row>
    <row r="101" spans="1:19" s="219" customFormat="1" ht="13.5" thickBot="1">
      <c r="A101" s="1358"/>
      <c r="B101" s="221"/>
      <c r="C101" s="222" t="s">
        <v>799</v>
      </c>
      <c r="D101" s="223" t="s">
        <v>783</v>
      </c>
      <c r="E101" s="224">
        <v>384.77</v>
      </c>
      <c r="F101" s="13">
        <f t="shared" si="24"/>
        <v>211.62350000000001</v>
      </c>
      <c r="G101" s="17">
        <f t="shared" si="25"/>
        <v>0</v>
      </c>
      <c r="H101" s="15">
        <f t="shared" si="26"/>
        <v>6.6386291950000009</v>
      </c>
      <c r="I101" s="15">
        <f t="shared" si="27"/>
        <v>0</v>
      </c>
      <c r="J101" s="15">
        <f t="shared" si="28"/>
        <v>5.7984838999999999</v>
      </c>
      <c r="K101" s="15">
        <f t="shared" si="29"/>
        <v>0</v>
      </c>
      <c r="L101" s="15">
        <f t="shared" si="30"/>
        <v>4.8250158000000001</v>
      </c>
      <c r="M101" s="15">
        <f t="shared" si="31"/>
        <v>0</v>
      </c>
      <c r="N101" s="15">
        <f t="shared" si="32"/>
        <v>4.3171194000000002</v>
      </c>
      <c r="O101" s="18">
        <f t="shared" si="33"/>
        <v>0</v>
      </c>
      <c r="P101" s="15">
        <f t="shared" si="34"/>
        <v>0.12281464010750001</v>
      </c>
      <c r="Q101" s="18">
        <f t="shared" si="35"/>
        <v>0</v>
      </c>
      <c r="R101" s="220"/>
      <c r="S101" s="220"/>
    </row>
    <row r="102" spans="1:19" s="219" customFormat="1" ht="13.5" thickBot="1">
      <c r="A102" s="1358"/>
      <c r="B102" s="221"/>
      <c r="C102" s="234" t="s">
        <v>3737</v>
      </c>
      <c r="D102" s="223" t="s">
        <v>3669</v>
      </c>
      <c r="E102" s="224">
        <v>20951</v>
      </c>
      <c r="F102" s="13">
        <f t="shared" si="24"/>
        <v>11523.050000000001</v>
      </c>
      <c r="G102" s="17">
        <f t="shared" si="25"/>
        <v>0</v>
      </c>
      <c r="H102" s="15">
        <f t="shared" si="26"/>
        <v>361.47807850000004</v>
      </c>
      <c r="I102" s="15">
        <f t="shared" si="27"/>
        <v>0</v>
      </c>
      <c r="J102" s="15">
        <f t="shared" si="28"/>
        <v>315.73157000000003</v>
      </c>
      <c r="K102" s="15">
        <f t="shared" si="29"/>
        <v>0</v>
      </c>
      <c r="L102" s="15">
        <f t="shared" si="30"/>
        <v>262.72554000000002</v>
      </c>
      <c r="M102" s="15">
        <f t="shared" si="31"/>
        <v>0</v>
      </c>
      <c r="N102" s="15">
        <f t="shared" si="32"/>
        <v>235.07022000000003</v>
      </c>
      <c r="O102" s="18">
        <f t="shared" si="33"/>
        <v>0</v>
      </c>
      <c r="P102" s="15">
        <f t="shared" si="34"/>
        <v>6.6873444522500005</v>
      </c>
      <c r="Q102" s="18">
        <f t="shared" si="35"/>
        <v>0</v>
      </c>
      <c r="R102" s="220"/>
      <c r="S102" s="220"/>
    </row>
    <row r="103" spans="1:19" s="219" customFormat="1" ht="13.5" thickBot="1">
      <c r="A103" s="1358"/>
      <c r="B103" s="221"/>
      <c r="C103" s="234" t="s">
        <v>545</v>
      </c>
      <c r="D103" s="223" t="s">
        <v>784</v>
      </c>
      <c r="E103" s="224">
        <v>5200</v>
      </c>
      <c r="F103" s="13">
        <f t="shared" si="24"/>
        <v>2860.0000000000005</v>
      </c>
      <c r="G103" s="17">
        <f t="shared" si="25"/>
        <v>0</v>
      </c>
      <c r="H103" s="15">
        <f t="shared" si="26"/>
        <v>89.718200000000024</v>
      </c>
      <c r="I103" s="15">
        <f t="shared" si="27"/>
        <v>0</v>
      </c>
      <c r="J103" s="15">
        <f t="shared" si="28"/>
        <v>78.364000000000019</v>
      </c>
      <c r="K103" s="15">
        <f t="shared" si="29"/>
        <v>0</v>
      </c>
      <c r="L103" s="15">
        <f t="shared" si="30"/>
        <v>65.208000000000013</v>
      </c>
      <c r="M103" s="15">
        <f t="shared" si="31"/>
        <v>0</v>
      </c>
      <c r="N103" s="15">
        <f t="shared" si="32"/>
        <v>58.344000000000015</v>
      </c>
      <c r="O103" s="15">
        <f t="shared" si="33"/>
        <v>0</v>
      </c>
      <c r="P103" s="15">
        <f t="shared" si="34"/>
        <v>1.6597867000000004</v>
      </c>
      <c r="Q103" s="18">
        <f t="shared" si="35"/>
        <v>0</v>
      </c>
      <c r="R103" s="220"/>
      <c r="S103" s="220"/>
    </row>
    <row r="104" spans="1:19" s="219" customFormat="1" ht="13.5" thickBot="1">
      <c r="A104" s="1358"/>
      <c r="B104" s="221"/>
      <c r="C104" s="234" t="s">
        <v>3752</v>
      </c>
      <c r="D104" s="223" t="s">
        <v>3687</v>
      </c>
      <c r="E104" s="224">
        <v>4258.93</v>
      </c>
      <c r="F104" s="13">
        <f t="shared" si="24"/>
        <v>2342.4115000000002</v>
      </c>
      <c r="G104" s="17">
        <f t="shared" si="25"/>
        <v>0</v>
      </c>
      <c r="H104" s="15">
        <f t="shared" si="26"/>
        <v>73.481448755000017</v>
      </c>
      <c r="I104" s="15">
        <f t="shared" si="27"/>
        <v>0</v>
      </c>
      <c r="J104" s="15">
        <f t="shared" si="28"/>
        <v>64.182075100000006</v>
      </c>
      <c r="K104" s="15">
        <f t="shared" si="29"/>
        <v>0</v>
      </c>
      <c r="L104" s="15">
        <f t="shared" si="30"/>
        <v>53.406982200000009</v>
      </c>
      <c r="M104" s="15">
        <f t="shared" si="31"/>
        <v>0</v>
      </c>
      <c r="N104" s="15">
        <f t="shared" si="32"/>
        <v>47.785194600000004</v>
      </c>
      <c r="O104" s="15">
        <f t="shared" si="33"/>
        <v>0</v>
      </c>
      <c r="P104" s="15">
        <f t="shared" si="34"/>
        <v>1.3594068019675003</v>
      </c>
      <c r="Q104" s="18">
        <f t="shared" si="35"/>
        <v>0</v>
      </c>
      <c r="R104" s="220"/>
      <c r="S104" s="220"/>
    </row>
    <row r="105" spans="1:19" s="219" customFormat="1" ht="13.5" thickBot="1">
      <c r="A105" s="1358"/>
      <c r="B105" s="221"/>
      <c r="C105" s="222" t="s">
        <v>56</v>
      </c>
      <c r="D105" s="223" t="s">
        <v>125</v>
      </c>
      <c r="E105" s="224">
        <v>445</v>
      </c>
      <c r="F105" s="13">
        <f t="shared" si="24"/>
        <v>244.75000000000003</v>
      </c>
      <c r="G105" s="17">
        <f t="shared" si="25"/>
        <v>0</v>
      </c>
      <c r="H105" s="15">
        <f t="shared" si="26"/>
        <v>7.677807500000001</v>
      </c>
      <c r="I105" s="15">
        <f t="shared" si="27"/>
        <v>0</v>
      </c>
      <c r="J105" s="15">
        <f t="shared" si="28"/>
        <v>6.7061500000000009</v>
      </c>
      <c r="K105" s="15">
        <f t="shared" si="29"/>
        <v>0</v>
      </c>
      <c r="L105" s="15">
        <f t="shared" si="30"/>
        <v>5.5803000000000011</v>
      </c>
      <c r="M105" s="15">
        <f t="shared" si="31"/>
        <v>0</v>
      </c>
      <c r="N105" s="15">
        <f t="shared" si="32"/>
        <v>4.9929000000000006</v>
      </c>
      <c r="O105" s="18">
        <f t="shared" si="33"/>
        <v>0</v>
      </c>
      <c r="P105" s="15">
        <f t="shared" si="34"/>
        <v>0.14203943875000002</v>
      </c>
      <c r="Q105" s="18">
        <f t="shared" si="35"/>
        <v>0</v>
      </c>
      <c r="R105" s="220"/>
      <c r="S105" s="220"/>
    </row>
    <row r="106" spans="1:19" s="219" customFormat="1" ht="13.5" thickBot="1">
      <c r="A106" s="1358"/>
      <c r="B106" s="221"/>
      <c r="C106" s="222" t="s">
        <v>578</v>
      </c>
      <c r="D106" s="223" t="s">
        <v>537</v>
      </c>
      <c r="E106" s="224">
        <v>1425</v>
      </c>
      <c r="F106" s="13">
        <f t="shared" si="24"/>
        <v>783.75000000000011</v>
      </c>
      <c r="G106" s="16">
        <f t="shared" si="25"/>
        <v>0</v>
      </c>
      <c r="H106" s="14">
        <f t="shared" si="26"/>
        <v>24.586237500000006</v>
      </c>
      <c r="I106" s="15">
        <f t="shared" si="27"/>
        <v>0</v>
      </c>
      <c r="J106" s="15">
        <f t="shared" si="28"/>
        <v>21.474750000000004</v>
      </c>
      <c r="K106" s="15">
        <f t="shared" si="29"/>
        <v>0</v>
      </c>
      <c r="L106" s="15">
        <f t="shared" si="30"/>
        <v>17.869500000000002</v>
      </c>
      <c r="M106" s="15">
        <f t="shared" si="31"/>
        <v>0</v>
      </c>
      <c r="N106" s="15">
        <f t="shared" si="32"/>
        <v>15.988500000000004</v>
      </c>
      <c r="O106" s="18">
        <f t="shared" si="33"/>
        <v>0</v>
      </c>
      <c r="P106" s="15">
        <f>F106*0.0185</f>
        <v>14.499375000000001</v>
      </c>
      <c r="Q106" s="18">
        <f t="shared" si="35"/>
        <v>0</v>
      </c>
      <c r="R106" s="220"/>
      <c r="S106" s="220"/>
    </row>
    <row r="107" spans="1:19" s="219" customFormat="1" ht="13.5" thickBot="1">
      <c r="A107" s="1358"/>
      <c r="B107" s="221"/>
      <c r="C107" s="234" t="s">
        <v>3755</v>
      </c>
      <c r="D107" s="223" t="s">
        <v>3690</v>
      </c>
      <c r="E107" s="224">
        <v>490</v>
      </c>
      <c r="F107" s="13">
        <f t="shared" si="24"/>
        <v>269.5</v>
      </c>
      <c r="G107" s="16">
        <f t="shared" si="25"/>
        <v>0</v>
      </c>
      <c r="H107" s="14">
        <f t="shared" si="26"/>
        <v>8.4542150000000014</v>
      </c>
      <c r="I107" s="15">
        <f t="shared" si="27"/>
        <v>0</v>
      </c>
      <c r="J107" s="15">
        <f t="shared" si="28"/>
        <v>7.3843000000000005</v>
      </c>
      <c r="K107" s="15">
        <f t="shared" si="29"/>
        <v>0</v>
      </c>
      <c r="L107" s="15">
        <f t="shared" si="30"/>
        <v>6.1446000000000005</v>
      </c>
      <c r="M107" s="15">
        <f t="shared" si="31"/>
        <v>0</v>
      </c>
      <c r="N107" s="15">
        <f t="shared" si="32"/>
        <v>5.4978000000000007</v>
      </c>
      <c r="O107" s="15">
        <f t="shared" si="33"/>
        <v>0</v>
      </c>
      <c r="P107" s="15">
        <f t="shared" ref="P107:P143" si="36">H107*0.0185</f>
        <v>0.15640297750000001</v>
      </c>
      <c r="Q107" s="18">
        <f t="shared" si="35"/>
        <v>0</v>
      </c>
      <c r="R107" s="220"/>
      <c r="S107" s="220"/>
    </row>
    <row r="108" spans="1:19" s="219" customFormat="1" ht="13.5" thickBot="1">
      <c r="A108" s="1358"/>
      <c r="B108" s="221"/>
      <c r="C108" s="234" t="s">
        <v>3756</v>
      </c>
      <c r="D108" s="223" t="s">
        <v>3691</v>
      </c>
      <c r="E108" s="224">
        <v>770</v>
      </c>
      <c r="F108" s="13">
        <f t="shared" si="24"/>
        <v>423.50000000000006</v>
      </c>
      <c r="G108" s="16">
        <f t="shared" si="25"/>
        <v>0</v>
      </c>
      <c r="H108" s="14">
        <f t="shared" si="26"/>
        <v>13.285195000000003</v>
      </c>
      <c r="I108" s="15">
        <f t="shared" si="27"/>
        <v>0</v>
      </c>
      <c r="J108" s="15">
        <f t="shared" si="28"/>
        <v>11.603900000000001</v>
      </c>
      <c r="K108" s="15">
        <f t="shared" si="29"/>
        <v>0</v>
      </c>
      <c r="L108" s="15">
        <f t="shared" si="30"/>
        <v>9.655800000000001</v>
      </c>
      <c r="M108" s="15">
        <f t="shared" si="31"/>
        <v>0</v>
      </c>
      <c r="N108" s="15">
        <f t="shared" si="32"/>
        <v>8.639400000000002</v>
      </c>
      <c r="O108" s="15">
        <f t="shared" si="33"/>
        <v>0</v>
      </c>
      <c r="P108" s="15">
        <f t="shared" si="36"/>
        <v>0.24577610750000006</v>
      </c>
      <c r="Q108" s="18">
        <f t="shared" si="35"/>
        <v>0</v>
      </c>
      <c r="R108" s="220"/>
      <c r="S108" s="220"/>
    </row>
    <row r="109" spans="1:19" s="219" customFormat="1" ht="13.5" thickBot="1">
      <c r="A109" s="1358"/>
      <c r="B109" s="221"/>
      <c r="C109" s="90" t="s">
        <v>3745</v>
      </c>
      <c r="D109" s="235" t="s">
        <v>3679</v>
      </c>
      <c r="E109" s="236">
        <v>4193</v>
      </c>
      <c r="F109" s="13">
        <f t="shared" si="24"/>
        <v>2306.15</v>
      </c>
      <c r="G109" s="16">
        <f t="shared" si="25"/>
        <v>0</v>
      </c>
      <c r="H109" s="14">
        <f t="shared" si="26"/>
        <v>72.343925500000012</v>
      </c>
      <c r="I109" s="15">
        <f t="shared" si="27"/>
        <v>0</v>
      </c>
      <c r="J109" s="15">
        <f t="shared" si="28"/>
        <v>63.188510000000001</v>
      </c>
      <c r="K109" s="15">
        <f t="shared" si="29"/>
        <v>0</v>
      </c>
      <c r="L109" s="15">
        <f t="shared" si="30"/>
        <v>52.580220000000004</v>
      </c>
      <c r="M109" s="15">
        <f t="shared" si="31"/>
        <v>0</v>
      </c>
      <c r="N109" s="15">
        <f t="shared" si="32"/>
        <v>47.045460000000006</v>
      </c>
      <c r="O109" s="15">
        <f t="shared" si="33"/>
        <v>0</v>
      </c>
      <c r="P109" s="15">
        <f t="shared" si="36"/>
        <v>1.3383626217500002</v>
      </c>
      <c r="Q109" s="18">
        <f t="shared" si="35"/>
        <v>0</v>
      </c>
      <c r="R109" s="220"/>
      <c r="S109" s="220"/>
    </row>
    <row r="110" spans="1:19" s="219" customFormat="1" ht="13.5" thickBot="1">
      <c r="A110" s="1358"/>
      <c r="B110" s="221"/>
      <c r="C110" s="90" t="s">
        <v>801</v>
      </c>
      <c r="D110" s="235" t="s">
        <v>785</v>
      </c>
      <c r="E110" s="236">
        <v>5586</v>
      </c>
      <c r="F110" s="13">
        <f t="shared" si="24"/>
        <v>3072.3</v>
      </c>
      <c r="G110" s="16">
        <f t="shared" si="25"/>
        <v>0</v>
      </c>
      <c r="H110" s="14">
        <f t="shared" si="26"/>
        <v>96.378051000000013</v>
      </c>
      <c r="I110" s="15">
        <f t="shared" si="27"/>
        <v>0</v>
      </c>
      <c r="J110" s="15">
        <f t="shared" si="28"/>
        <v>84.181020000000004</v>
      </c>
      <c r="K110" s="15">
        <f t="shared" si="29"/>
        <v>0</v>
      </c>
      <c r="L110" s="15">
        <f t="shared" si="30"/>
        <v>70.048440000000014</v>
      </c>
      <c r="M110" s="15">
        <f t="shared" si="31"/>
        <v>0</v>
      </c>
      <c r="N110" s="15">
        <f t="shared" si="32"/>
        <v>62.674920000000007</v>
      </c>
      <c r="O110" s="15">
        <f t="shared" si="33"/>
        <v>0</v>
      </c>
      <c r="P110" s="15">
        <f t="shared" si="36"/>
        <v>1.7829939435000002</v>
      </c>
      <c r="Q110" s="18">
        <f t="shared" si="35"/>
        <v>0</v>
      </c>
      <c r="R110" s="220"/>
      <c r="S110" s="220"/>
    </row>
    <row r="111" spans="1:19" s="219" customFormat="1" ht="13.5" thickBot="1">
      <c r="A111" s="1358"/>
      <c r="B111" s="221"/>
      <c r="C111" s="90" t="s">
        <v>802</v>
      </c>
      <c r="D111" s="235" t="s">
        <v>786</v>
      </c>
      <c r="E111" s="236">
        <v>5362</v>
      </c>
      <c r="F111" s="13">
        <f t="shared" si="24"/>
        <v>2949.1000000000004</v>
      </c>
      <c r="G111" s="16">
        <f t="shared" si="25"/>
        <v>0</v>
      </c>
      <c r="H111" s="14">
        <f t="shared" si="26"/>
        <v>92.513267000000013</v>
      </c>
      <c r="I111" s="15">
        <f t="shared" si="27"/>
        <v>0</v>
      </c>
      <c r="J111" s="15">
        <f t="shared" si="28"/>
        <v>80.805340000000015</v>
      </c>
      <c r="K111" s="15">
        <f t="shared" si="29"/>
        <v>0</v>
      </c>
      <c r="L111" s="15">
        <f t="shared" si="30"/>
        <v>67.239480000000015</v>
      </c>
      <c r="M111" s="15">
        <f t="shared" si="31"/>
        <v>0</v>
      </c>
      <c r="N111" s="15">
        <f t="shared" si="32"/>
        <v>60.161640000000013</v>
      </c>
      <c r="O111" s="15">
        <f t="shared" si="33"/>
        <v>0</v>
      </c>
      <c r="P111" s="15">
        <f t="shared" si="36"/>
        <v>1.7114954395000002</v>
      </c>
      <c r="Q111" s="18">
        <f t="shared" si="35"/>
        <v>0</v>
      </c>
      <c r="R111" s="220"/>
      <c r="S111" s="220"/>
    </row>
    <row r="112" spans="1:19" s="219" customFormat="1" ht="13.5" thickBot="1">
      <c r="A112" s="1358"/>
      <c r="B112" s="221"/>
      <c r="C112" s="90" t="s">
        <v>3741</v>
      </c>
      <c r="D112" s="235" t="s">
        <v>3675</v>
      </c>
      <c r="E112" s="236">
        <v>3798</v>
      </c>
      <c r="F112" s="13">
        <f t="shared" si="24"/>
        <v>2088.9</v>
      </c>
      <c r="G112" s="16">
        <f t="shared" si="25"/>
        <v>0</v>
      </c>
      <c r="H112" s="14">
        <f t="shared" si="26"/>
        <v>65.528793000000007</v>
      </c>
      <c r="I112" s="15">
        <f t="shared" si="27"/>
        <v>0</v>
      </c>
      <c r="J112" s="15">
        <f t="shared" si="28"/>
        <v>57.235860000000002</v>
      </c>
      <c r="K112" s="15">
        <f t="shared" si="29"/>
        <v>0</v>
      </c>
      <c r="L112" s="15">
        <f t="shared" si="30"/>
        <v>47.626920000000005</v>
      </c>
      <c r="M112" s="15">
        <f t="shared" si="31"/>
        <v>0</v>
      </c>
      <c r="N112" s="15">
        <f t="shared" si="32"/>
        <v>42.613560000000007</v>
      </c>
      <c r="O112" s="15">
        <f t="shared" si="33"/>
        <v>0</v>
      </c>
      <c r="P112" s="15">
        <f t="shared" si="36"/>
        <v>1.2122826705</v>
      </c>
      <c r="Q112" s="18">
        <f t="shared" si="35"/>
        <v>0</v>
      </c>
      <c r="R112" s="220"/>
      <c r="S112" s="220"/>
    </row>
    <row r="113" spans="1:19" s="219" customFormat="1" ht="13.5" thickBot="1">
      <c r="A113" s="1358"/>
      <c r="B113" s="221"/>
      <c r="C113" s="234" t="s">
        <v>3730</v>
      </c>
      <c r="D113" s="223" t="s">
        <v>208</v>
      </c>
      <c r="E113" s="224">
        <v>44838</v>
      </c>
      <c r="F113" s="13">
        <f t="shared" si="24"/>
        <v>24660.9</v>
      </c>
      <c r="G113" s="16">
        <f t="shared" si="25"/>
        <v>0</v>
      </c>
      <c r="H113" s="14">
        <f t="shared" si="26"/>
        <v>773.61243300000012</v>
      </c>
      <c r="I113" s="15">
        <f t="shared" si="27"/>
        <v>0</v>
      </c>
      <c r="J113" s="15">
        <f t="shared" si="28"/>
        <v>675.70866000000001</v>
      </c>
      <c r="K113" s="15">
        <f t="shared" si="29"/>
        <v>0</v>
      </c>
      <c r="L113" s="15">
        <f t="shared" si="30"/>
        <v>562.26852000000008</v>
      </c>
      <c r="M113" s="15">
        <f t="shared" si="31"/>
        <v>0</v>
      </c>
      <c r="N113" s="15">
        <f t="shared" si="32"/>
        <v>503.08236000000005</v>
      </c>
      <c r="O113" s="15">
        <f t="shared" si="33"/>
        <v>0</v>
      </c>
      <c r="P113" s="15">
        <f t="shared" si="36"/>
        <v>14.311830010500001</v>
      </c>
      <c r="Q113" s="18">
        <f t="shared" si="35"/>
        <v>0</v>
      </c>
      <c r="R113" s="220"/>
      <c r="S113" s="220"/>
    </row>
    <row r="114" spans="1:19" s="219" customFormat="1" ht="13.5" thickBot="1">
      <c r="A114" s="1358"/>
      <c r="B114" s="221"/>
      <c r="C114" s="234" t="s">
        <v>3750</v>
      </c>
      <c r="D114" s="223" t="s">
        <v>3685</v>
      </c>
      <c r="E114" s="224">
        <v>11614.55</v>
      </c>
      <c r="F114" s="13">
        <f t="shared" si="24"/>
        <v>6388.0025000000005</v>
      </c>
      <c r="G114" s="16">
        <f t="shared" si="25"/>
        <v>0</v>
      </c>
      <c r="H114" s="14">
        <f t="shared" si="26"/>
        <v>200.39163842500002</v>
      </c>
      <c r="I114" s="15">
        <f t="shared" si="27"/>
        <v>0</v>
      </c>
      <c r="J114" s="15">
        <f t="shared" si="28"/>
        <v>175.03126850000001</v>
      </c>
      <c r="K114" s="15">
        <f t="shared" si="29"/>
        <v>0</v>
      </c>
      <c r="L114" s="15">
        <f t="shared" si="30"/>
        <v>145.64645700000003</v>
      </c>
      <c r="M114" s="15">
        <f t="shared" si="31"/>
        <v>0</v>
      </c>
      <c r="N114" s="15">
        <f t="shared" si="32"/>
        <v>130.31525100000002</v>
      </c>
      <c r="O114" s="15">
        <f t="shared" si="33"/>
        <v>0</v>
      </c>
      <c r="P114" s="15">
        <f t="shared" si="36"/>
        <v>3.7072453108625001</v>
      </c>
      <c r="Q114" s="18">
        <f t="shared" si="35"/>
        <v>0</v>
      </c>
      <c r="R114" s="220"/>
      <c r="S114" s="220"/>
    </row>
    <row r="115" spans="1:19" s="219" customFormat="1" ht="13.5" thickBot="1">
      <c r="A115" s="1358"/>
      <c r="B115" s="221"/>
      <c r="C115" s="234" t="s">
        <v>3751</v>
      </c>
      <c r="D115" s="223" t="s">
        <v>3686</v>
      </c>
      <c r="E115" s="224">
        <v>20959.38</v>
      </c>
      <c r="F115" s="13">
        <f t="shared" si="24"/>
        <v>11527.659000000001</v>
      </c>
      <c r="G115" s="17">
        <f t="shared" si="25"/>
        <v>0</v>
      </c>
      <c r="H115" s="15">
        <f t="shared" si="26"/>
        <v>361.62266283000008</v>
      </c>
      <c r="I115" s="15">
        <f t="shared" si="27"/>
        <v>0</v>
      </c>
      <c r="J115" s="15">
        <f t="shared" si="28"/>
        <v>315.85785660000005</v>
      </c>
      <c r="K115" s="15">
        <f t="shared" si="29"/>
        <v>0</v>
      </c>
      <c r="L115" s="15">
        <f t="shared" si="30"/>
        <v>262.83062520000004</v>
      </c>
      <c r="M115" s="15">
        <f t="shared" si="31"/>
        <v>0</v>
      </c>
      <c r="N115" s="15">
        <f t="shared" si="32"/>
        <v>235.16424360000005</v>
      </c>
      <c r="O115" s="15">
        <f t="shared" si="33"/>
        <v>0</v>
      </c>
      <c r="P115" s="15">
        <f t="shared" si="36"/>
        <v>6.6900192623550012</v>
      </c>
      <c r="Q115" s="18">
        <f t="shared" si="35"/>
        <v>0</v>
      </c>
      <c r="R115" s="220"/>
      <c r="S115" s="220"/>
    </row>
    <row r="116" spans="1:19" s="219" customFormat="1" ht="13.5" thickBot="1">
      <c r="A116" s="1358"/>
      <c r="B116" s="221"/>
      <c r="C116" s="234" t="s">
        <v>158</v>
      </c>
      <c r="D116" s="223" t="s">
        <v>1</v>
      </c>
      <c r="E116" s="224">
        <v>1113</v>
      </c>
      <c r="F116" s="13">
        <f t="shared" si="24"/>
        <v>612.15000000000009</v>
      </c>
      <c r="G116" s="17">
        <f t="shared" si="25"/>
        <v>0</v>
      </c>
      <c r="H116" s="15">
        <f t="shared" si="26"/>
        <v>19.203145500000005</v>
      </c>
      <c r="I116" s="15">
        <f t="shared" si="27"/>
        <v>0</v>
      </c>
      <c r="J116" s="15">
        <f t="shared" si="28"/>
        <v>16.772910000000003</v>
      </c>
      <c r="K116" s="15">
        <f t="shared" si="29"/>
        <v>0</v>
      </c>
      <c r="L116" s="15">
        <f t="shared" si="30"/>
        <v>13.957020000000002</v>
      </c>
      <c r="M116" s="15">
        <f t="shared" si="31"/>
        <v>0</v>
      </c>
      <c r="N116" s="15">
        <f t="shared" si="32"/>
        <v>12.487860000000003</v>
      </c>
      <c r="O116" s="15">
        <f t="shared" si="33"/>
        <v>0</v>
      </c>
      <c r="P116" s="15">
        <f t="shared" si="36"/>
        <v>0.35525819175000006</v>
      </c>
      <c r="Q116" s="18">
        <f t="shared" si="35"/>
        <v>0</v>
      </c>
      <c r="R116" s="220"/>
      <c r="S116" s="220"/>
    </row>
    <row r="117" spans="1:19" s="219" customFormat="1" ht="13.5" thickBot="1">
      <c r="A117" s="1358"/>
      <c r="B117" s="221"/>
      <c r="C117" s="90" t="s">
        <v>3740</v>
      </c>
      <c r="D117" s="235" t="s">
        <v>3674</v>
      </c>
      <c r="E117" s="236">
        <v>835.28</v>
      </c>
      <c r="F117" s="13">
        <f t="shared" si="24"/>
        <v>459.404</v>
      </c>
      <c r="G117" s="17">
        <f t="shared" si="25"/>
        <v>0</v>
      </c>
      <c r="H117" s="15">
        <f t="shared" si="26"/>
        <v>14.41150348</v>
      </c>
      <c r="I117" s="15">
        <f t="shared" si="27"/>
        <v>0</v>
      </c>
      <c r="J117" s="15">
        <f t="shared" si="28"/>
        <v>12.5876696</v>
      </c>
      <c r="K117" s="15">
        <f t="shared" si="29"/>
        <v>0</v>
      </c>
      <c r="L117" s="15">
        <f t="shared" si="30"/>
        <v>10.4744112</v>
      </c>
      <c r="M117" s="15">
        <f t="shared" si="31"/>
        <v>0</v>
      </c>
      <c r="N117" s="15">
        <f t="shared" si="32"/>
        <v>9.3718415999999998</v>
      </c>
      <c r="O117" s="15">
        <f t="shared" si="33"/>
        <v>0</v>
      </c>
      <c r="P117" s="15">
        <f t="shared" si="36"/>
        <v>0.26661281438000001</v>
      </c>
      <c r="Q117" s="18">
        <f t="shared" si="35"/>
        <v>0</v>
      </c>
      <c r="R117" s="220"/>
      <c r="S117" s="220"/>
    </row>
    <row r="118" spans="1:19" s="219" customFormat="1" ht="13.5" thickBot="1">
      <c r="A118" s="1358"/>
      <c r="B118" s="221"/>
      <c r="C118" s="222">
        <v>10200011</v>
      </c>
      <c r="D118" s="225" t="s">
        <v>787</v>
      </c>
      <c r="E118" s="224">
        <v>16800</v>
      </c>
      <c r="F118" s="13">
        <f t="shared" si="24"/>
        <v>9240</v>
      </c>
      <c r="G118" s="17">
        <f t="shared" si="25"/>
        <v>0</v>
      </c>
      <c r="H118" s="15">
        <f t="shared" si="26"/>
        <v>289.85880000000003</v>
      </c>
      <c r="I118" s="15">
        <f t="shared" si="27"/>
        <v>0</v>
      </c>
      <c r="J118" s="15">
        <f t="shared" si="28"/>
        <v>253.17600000000002</v>
      </c>
      <c r="K118" s="15">
        <f t="shared" si="29"/>
        <v>0</v>
      </c>
      <c r="L118" s="15">
        <f t="shared" si="30"/>
        <v>210.672</v>
      </c>
      <c r="M118" s="15">
        <f t="shared" si="31"/>
        <v>0</v>
      </c>
      <c r="N118" s="15">
        <f t="shared" si="32"/>
        <v>188.49600000000001</v>
      </c>
      <c r="O118" s="18">
        <f t="shared" si="33"/>
        <v>0</v>
      </c>
      <c r="P118" s="15">
        <f t="shared" si="36"/>
        <v>5.3623878000000005</v>
      </c>
      <c r="Q118" s="18">
        <f t="shared" si="35"/>
        <v>0</v>
      </c>
      <c r="R118" s="220"/>
      <c r="S118" s="220"/>
    </row>
    <row r="119" spans="1:19" s="219" customFormat="1" ht="13.5" thickBot="1">
      <c r="A119" s="1358"/>
      <c r="B119" s="229"/>
      <c r="C119" s="230" t="s">
        <v>548</v>
      </c>
      <c r="D119" s="225" t="s">
        <v>788</v>
      </c>
      <c r="E119" s="231">
        <v>13000</v>
      </c>
      <c r="F119" s="79">
        <f t="shared" si="24"/>
        <v>7150.0000000000009</v>
      </c>
      <c r="G119" s="81">
        <f t="shared" si="25"/>
        <v>0</v>
      </c>
      <c r="H119" s="18">
        <f t="shared" si="26"/>
        <v>224.29550000000003</v>
      </c>
      <c r="I119" s="18">
        <f t="shared" si="27"/>
        <v>0</v>
      </c>
      <c r="J119" s="18">
        <f>F119*0.02564</f>
        <v>183.32600000000002</v>
      </c>
      <c r="K119" s="18">
        <f t="shared" si="29"/>
        <v>0</v>
      </c>
      <c r="L119" s="18">
        <f>F119*0.0256</f>
        <v>183.04000000000002</v>
      </c>
      <c r="M119" s="18">
        <f t="shared" si="31"/>
        <v>0</v>
      </c>
      <c r="N119" s="18">
        <f t="shared" si="32"/>
        <v>145.86000000000004</v>
      </c>
      <c r="O119" s="18">
        <f t="shared" si="33"/>
        <v>0</v>
      </c>
      <c r="P119" s="18">
        <f t="shared" si="36"/>
        <v>4.1494667500000002</v>
      </c>
      <c r="Q119" s="18">
        <f t="shared" si="35"/>
        <v>0</v>
      </c>
      <c r="R119" s="220"/>
      <c r="S119" s="220"/>
    </row>
    <row r="120" spans="1:19" s="219" customFormat="1" ht="13.5" thickBot="1">
      <c r="A120" s="1358"/>
      <c r="B120" s="221"/>
      <c r="C120" s="222" t="s">
        <v>549</v>
      </c>
      <c r="D120" s="223" t="s">
        <v>789</v>
      </c>
      <c r="E120" s="224">
        <v>5550</v>
      </c>
      <c r="F120" s="13">
        <f t="shared" si="24"/>
        <v>3052.5000000000005</v>
      </c>
      <c r="G120" s="17">
        <f t="shared" si="25"/>
        <v>0</v>
      </c>
      <c r="H120" s="15">
        <f t="shared" si="26"/>
        <v>95.756925000000024</v>
      </c>
      <c r="I120" s="15">
        <f t="shared" si="27"/>
        <v>0</v>
      </c>
      <c r="J120" s="15">
        <f>F120*0.0274</f>
        <v>83.638500000000022</v>
      </c>
      <c r="K120" s="15">
        <f t="shared" si="29"/>
        <v>0</v>
      </c>
      <c r="L120" s="15">
        <f t="shared" ref="L120:L143" si="37">F120*0.0228</f>
        <v>69.597000000000008</v>
      </c>
      <c r="M120" s="15">
        <f t="shared" si="31"/>
        <v>0</v>
      </c>
      <c r="N120" s="15">
        <f t="shared" si="32"/>
        <v>62.271000000000015</v>
      </c>
      <c r="O120" s="18">
        <f t="shared" si="33"/>
        <v>0</v>
      </c>
      <c r="P120" s="15">
        <f t="shared" si="36"/>
        <v>1.7715031125000003</v>
      </c>
      <c r="Q120" s="18">
        <f t="shared" si="35"/>
        <v>0</v>
      </c>
      <c r="R120" s="220"/>
      <c r="S120" s="220"/>
    </row>
    <row r="121" spans="1:19" s="219" customFormat="1" ht="13.5" thickBot="1">
      <c r="A121" s="1358"/>
      <c r="B121" s="221"/>
      <c r="C121" s="226" t="s">
        <v>550</v>
      </c>
      <c r="D121" s="227" t="s">
        <v>790</v>
      </c>
      <c r="E121" s="228">
        <v>13600</v>
      </c>
      <c r="F121" s="13">
        <f t="shared" si="24"/>
        <v>7480.0000000000009</v>
      </c>
      <c r="G121" s="17">
        <f t="shared" si="25"/>
        <v>0</v>
      </c>
      <c r="H121" s="15">
        <f t="shared" si="26"/>
        <v>234.64760000000004</v>
      </c>
      <c r="I121" s="15">
        <f t="shared" si="27"/>
        <v>0</v>
      </c>
      <c r="J121" s="15">
        <f>F121*0.0274</f>
        <v>204.95200000000003</v>
      </c>
      <c r="K121" s="15">
        <f t="shared" si="29"/>
        <v>0</v>
      </c>
      <c r="L121" s="15">
        <f t="shared" si="37"/>
        <v>170.54400000000004</v>
      </c>
      <c r="M121" s="15">
        <f t="shared" si="31"/>
        <v>0</v>
      </c>
      <c r="N121" s="15">
        <f t="shared" si="32"/>
        <v>152.59200000000004</v>
      </c>
      <c r="O121" s="18">
        <f t="shared" si="33"/>
        <v>0</v>
      </c>
      <c r="P121" s="15">
        <f t="shared" si="36"/>
        <v>4.3409806000000009</v>
      </c>
      <c r="Q121" s="18">
        <f t="shared" si="35"/>
        <v>0</v>
      </c>
      <c r="R121" s="220"/>
      <c r="S121" s="220"/>
    </row>
    <row r="122" spans="1:19" s="219" customFormat="1" ht="13.5" thickBot="1">
      <c r="A122" s="1358"/>
      <c r="B122" s="221"/>
      <c r="C122" s="234" t="s">
        <v>551</v>
      </c>
      <c r="D122" s="223" t="s">
        <v>791</v>
      </c>
      <c r="E122" s="224">
        <v>6400</v>
      </c>
      <c r="F122" s="13">
        <f t="shared" si="24"/>
        <v>3520.0000000000005</v>
      </c>
      <c r="G122" s="17">
        <f t="shared" si="25"/>
        <v>0</v>
      </c>
      <c r="H122" s="15">
        <f t="shared" si="26"/>
        <v>110.42240000000002</v>
      </c>
      <c r="I122" s="15">
        <f t="shared" si="27"/>
        <v>0</v>
      </c>
      <c r="J122" s="15">
        <f>F122*0.0274</f>
        <v>96.448000000000022</v>
      </c>
      <c r="K122" s="15">
        <f t="shared" si="29"/>
        <v>0</v>
      </c>
      <c r="L122" s="15">
        <f t="shared" si="37"/>
        <v>80.256000000000014</v>
      </c>
      <c r="M122" s="15">
        <f t="shared" si="31"/>
        <v>0</v>
      </c>
      <c r="N122" s="15">
        <f t="shared" si="32"/>
        <v>71.808000000000021</v>
      </c>
      <c r="O122" s="18">
        <f t="shared" si="33"/>
        <v>0</v>
      </c>
      <c r="P122" s="15">
        <f t="shared" si="36"/>
        <v>2.0428144000000001</v>
      </c>
      <c r="Q122" s="18">
        <f t="shared" si="35"/>
        <v>0</v>
      </c>
      <c r="R122" s="220"/>
      <c r="S122" s="220"/>
    </row>
    <row r="123" spans="1:19" s="219" customFormat="1" ht="13.5" thickBot="1">
      <c r="A123" s="1358"/>
      <c r="B123" s="229"/>
      <c r="C123" s="230" t="s">
        <v>552</v>
      </c>
      <c r="D123" s="225" t="s">
        <v>792</v>
      </c>
      <c r="E123" s="231">
        <v>43000</v>
      </c>
      <c r="F123" s="79">
        <f t="shared" si="24"/>
        <v>23650.000000000004</v>
      </c>
      <c r="G123" s="81">
        <f t="shared" si="25"/>
        <v>0</v>
      </c>
      <c r="H123" s="18">
        <f t="shared" si="26"/>
        <v>741.90050000000019</v>
      </c>
      <c r="I123" s="18">
        <f t="shared" si="27"/>
        <v>0</v>
      </c>
      <c r="J123" s="18">
        <f>F123*0.0274</f>
        <v>648.0100000000001</v>
      </c>
      <c r="K123" s="18">
        <f t="shared" si="29"/>
        <v>0</v>
      </c>
      <c r="L123" s="18">
        <f t="shared" si="37"/>
        <v>539.22000000000014</v>
      </c>
      <c r="M123" s="18">
        <f t="shared" si="31"/>
        <v>0</v>
      </c>
      <c r="N123" s="18">
        <f t="shared" si="32"/>
        <v>482.46000000000009</v>
      </c>
      <c r="O123" s="18">
        <f t="shared" si="33"/>
        <v>0</v>
      </c>
      <c r="P123" s="18">
        <f t="shared" si="36"/>
        <v>13.725159250000003</v>
      </c>
      <c r="Q123" s="18">
        <f t="shared" si="35"/>
        <v>0</v>
      </c>
      <c r="R123" s="220"/>
      <c r="S123" s="220"/>
    </row>
    <row r="124" spans="1:19" s="219" customFormat="1" ht="13.5" thickBot="1">
      <c r="A124" s="1358"/>
      <c r="B124" s="221"/>
      <c r="C124" s="222" t="s">
        <v>553</v>
      </c>
      <c r="D124" s="225" t="s">
        <v>793</v>
      </c>
      <c r="E124" s="224">
        <v>21500</v>
      </c>
      <c r="F124" s="13">
        <f t="shared" si="24"/>
        <v>11825.000000000002</v>
      </c>
      <c r="G124" s="17">
        <f t="shared" si="25"/>
        <v>0</v>
      </c>
      <c r="H124" s="15">
        <f t="shared" si="26"/>
        <v>370.9502500000001</v>
      </c>
      <c r="I124" s="15">
        <f t="shared" si="27"/>
        <v>0</v>
      </c>
      <c r="J124" s="15">
        <f>F124*0.0274</f>
        <v>324.00500000000005</v>
      </c>
      <c r="K124" s="15">
        <f t="shared" si="29"/>
        <v>0</v>
      </c>
      <c r="L124" s="15">
        <f t="shared" si="37"/>
        <v>269.61000000000007</v>
      </c>
      <c r="M124" s="15">
        <f t="shared" si="31"/>
        <v>0</v>
      </c>
      <c r="N124" s="15">
        <f t="shared" si="32"/>
        <v>241.23000000000005</v>
      </c>
      <c r="O124" s="18">
        <f t="shared" si="33"/>
        <v>0</v>
      </c>
      <c r="P124" s="15">
        <f t="shared" si="36"/>
        <v>6.8625796250000013</v>
      </c>
      <c r="Q124" s="18">
        <f t="shared" si="35"/>
        <v>0</v>
      </c>
      <c r="R124" s="220"/>
      <c r="S124" s="220"/>
    </row>
    <row r="125" spans="1:19" s="219" customFormat="1" ht="13.5" thickBot="1">
      <c r="A125" s="1358"/>
      <c r="B125" s="229"/>
      <c r="C125" s="230" t="s">
        <v>554</v>
      </c>
      <c r="D125" s="225" t="s">
        <v>794</v>
      </c>
      <c r="E125" s="231">
        <v>5600</v>
      </c>
      <c r="F125" s="79">
        <f t="shared" si="24"/>
        <v>3080.0000000000005</v>
      </c>
      <c r="G125" s="81">
        <f t="shared" si="25"/>
        <v>0</v>
      </c>
      <c r="H125" s="18">
        <f t="shared" si="26"/>
        <v>96.61960000000002</v>
      </c>
      <c r="I125" s="18">
        <f t="shared" si="27"/>
        <v>0</v>
      </c>
      <c r="J125" s="18">
        <f>F125*0.02564</f>
        <v>78.97120000000001</v>
      </c>
      <c r="K125" s="18">
        <f t="shared" si="29"/>
        <v>0</v>
      </c>
      <c r="L125" s="18">
        <f t="shared" si="37"/>
        <v>70.224000000000018</v>
      </c>
      <c r="M125" s="18">
        <f t="shared" si="31"/>
        <v>0</v>
      </c>
      <c r="N125" s="18">
        <f t="shared" si="32"/>
        <v>62.832000000000015</v>
      </c>
      <c r="O125" s="18">
        <f t="shared" si="33"/>
        <v>0</v>
      </c>
      <c r="P125" s="18">
        <f t="shared" si="36"/>
        <v>1.7874626000000002</v>
      </c>
      <c r="Q125" s="18">
        <f t="shared" si="35"/>
        <v>0</v>
      </c>
      <c r="R125" s="220"/>
      <c r="S125" s="220"/>
    </row>
    <row r="126" spans="1:19" s="219" customFormat="1" ht="13.5" thickBot="1">
      <c r="A126" s="1358"/>
      <c r="B126" s="221"/>
      <c r="C126" s="222" t="s">
        <v>3731</v>
      </c>
      <c r="D126" s="223" t="s">
        <v>126</v>
      </c>
      <c r="E126" s="224">
        <v>3725</v>
      </c>
      <c r="F126" s="13">
        <f t="shared" ref="F126:F143" si="38">E126*(1-45%)</f>
        <v>2048.75</v>
      </c>
      <c r="G126" s="17">
        <f t="shared" ref="G126:G143" si="39">F126*B126</f>
        <v>0</v>
      </c>
      <c r="H126" s="15">
        <f t="shared" ref="H126:H143" si="40">F126*0.03137</f>
        <v>64.269287500000004</v>
      </c>
      <c r="I126" s="15">
        <f t="shared" ref="I126:I143" si="41">H126*B126</f>
        <v>0</v>
      </c>
      <c r="J126" s="15">
        <f t="shared" ref="J126:J143" si="42">F126*0.0274</f>
        <v>56.135750000000002</v>
      </c>
      <c r="K126" s="15">
        <f t="shared" ref="K126:K143" si="43">J126*B126</f>
        <v>0</v>
      </c>
      <c r="L126" s="15">
        <f t="shared" si="37"/>
        <v>46.711500000000001</v>
      </c>
      <c r="M126" s="15">
        <f t="shared" ref="M126:M143" si="44">L126*B126</f>
        <v>0</v>
      </c>
      <c r="N126" s="15">
        <f t="shared" ref="N126:N143" si="45">F126*0.0204</f>
        <v>41.794500000000006</v>
      </c>
      <c r="O126" s="18">
        <f t="shared" ref="O126:O143" si="46">N126*B126</f>
        <v>0</v>
      </c>
      <c r="P126" s="15">
        <f t="shared" si="36"/>
        <v>1.1889818187500001</v>
      </c>
      <c r="Q126" s="18">
        <f t="shared" ref="Q126:Q143" si="47">P126*B126</f>
        <v>0</v>
      </c>
      <c r="R126" s="220"/>
      <c r="S126" s="220"/>
    </row>
    <row r="127" spans="1:19" s="219" customFormat="1" ht="13.5" thickBot="1">
      <c r="A127" s="1358"/>
      <c r="B127" s="229"/>
      <c r="C127" s="230" t="s">
        <v>3736</v>
      </c>
      <c r="D127" s="225" t="s">
        <v>3668</v>
      </c>
      <c r="E127" s="231">
        <v>8800</v>
      </c>
      <c r="F127" s="79">
        <f t="shared" si="38"/>
        <v>4840</v>
      </c>
      <c r="G127" s="81">
        <f t="shared" si="39"/>
        <v>0</v>
      </c>
      <c r="H127" s="18">
        <f t="shared" si="40"/>
        <v>151.83080000000001</v>
      </c>
      <c r="I127" s="18">
        <f t="shared" si="41"/>
        <v>0</v>
      </c>
      <c r="J127" s="18">
        <f t="shared" si="42"/>
        <v>132.61600000000001</v>
      </c>
      <c r="K127" s="18">
        <f t="shared" si="43"/>
        <v>0</v>
      </c>
      <c r="L127" s="18">
        <f t="shared" si="37"/>
        <v>110.352</v>
      </c>
      <c r="M127" s="18">
        <f t="shared" si="44"/>
        <v>0</v>
      </c>
      <c r="N127" s="18">
        <f t="shared" si="45"/>
        <v>98.736000000000004</v>
      </c>
      <c r="O127" s="18">
        <f t="shared" si="46"/>
        <v>0</v>
      </c>
      <c r="P127" s="18">
        <f t="shared" si="36"/>
        <v>2.8088698000000001</v>
      </c>
      <c r="Q127" s="18">
        <f t="shared" si="47"/>
        <v>0</v>
      </c>
      <c r="R127" s="220"/>
      <c r="S127" s="220"/>
    </row>
    <row r="128" spans="1:19" s="219" customFormat="1" ht="13.5" thickBot="1">
      <c r="A128" s="1358"/>
      <c r="B128" s="221"/>
      <c r="C128" s="90" t="s">
        <v>803</v>
      </c>
      <c r="D128" s="235" t="s">
        <v>3673</v>
      </c>
      <c r="E128" s="236">
        <v>5045</v>
      </c>
      <c r="F128" s="13">
        <f t="shared" si="38"/>
        <v>2774.75</v>
      </c>
      <c r="G128" s="16">
        <f t="shared" si="39"/>
        <v>0</v>
      </c>
      <c r="H128" s="14">
        <f t="shared" si="40"/>
        <v>87.043907500000003</v>
      </c>
      <c r="I128" s="15">
        <f t="shared" si="41"/>
        <v>0</v>
      </c>
      <c r="J128" s="15">
        <f t="shared" si="42"/>
        <v>76.028149999999997</v>
      </c>
      <c r="K128" s="15">
        <f t="shared" si="43"/>
        <v>0</v>
      </c>
      <c r="L128" s="15">
        <f t="shared" si="37"/>
        <v>63.264300000000006</v>
      </c>
      <c r="M128" s="15">
        <f t="shared" si="44"/>
        <v>0</v>
      </c>
      <c r="N128" s="15">
        <f t="shared" si="45"/>
        <v>56.604900000000001</v>
      </c>
      <c r="O128" s="15">
        <f t="shared" si="46"/>
        <v>0</v>
      </c>
      <c r="P128" s="15">
        <f t="shared" si="36"/>
        <v>1.6103122887499999</v>
      </c>
      <c r="Q128" s="18">
        <f t="shared" si="47"/>
        <v>0</v>
      </c>
      <c r="R128" s="220"/>
      <c r="S128" s="220"/>
    </row>
    <row r="129" spans="1:19" s="219" customFormat="1" ht="13.5" thickBot="1">
      <c r="A129" s="1358"/>
      <c r="B129" s="221"/>
      <c r="C129" s="234" t="s">
        <v>3729</v>
      </c>
      <c r="D129" s="223" t="s">
        <v>538</v>
      </c>
      <c r="E129" s="224">
        <v>27825</v>
      </c>
      <c r="F129" s="13">
        <f t="shared" si="38"/>
        <v>15303.750000000002</v>
      </c>
      <c r="G129" s="16">
        <f t="shared" si="39"/>
        <v>0</v>
      </c>
      <c r="H129" s="14">
        <f t="shared" si="40"/>
        <v>480.07863750000007</v>
      </c>
      <c r="I129" s="15">
        <f t="shared" si="41"/>
        <v>0</v>
      </c>
      <c r="J129" s="15">
        <f t="shared" si="42"/>
        <v>419.32275000000004</v>
      </c>
      <c r="K129" s="15">
        <f t="shared" si="43"/>
        <v>0</v>
      </c>
      <c r="L129" s="15">
        <f t="shared" si="37"/>
        <v>348.92550000000006</v>
      </c>
      <c r="M129" s="15">
        <f t="shared" si="44"/>
        <v>0</v>
      </c>
      <c r="N129" s="15">
        <f t="shared" si="45"/>
        <v>312.19650000000007</v>
      </c>
      <c r="O129" s="15">
        <f t="shared" si="46"/>
        <v>0</v>
      </c>
      <c r="P129" s="15">
        <f t="shared" si="36"/>
        <v>8.8814547937500006</v>
      </c>
      <c r="Q129" s="18">
        <f t="shared" si="47"/>
        <v>0</v>
      </c>
      <c r="R129" s="220"/>
      <c r="S129" s="220"/>
    </row>
    <row r="130" spans="1:19" s="219" customFormat="1" ht="13.5" thickBot="1">
      <c r="A130" s="1358"/>
      <c r="B130" s="221"/>
      <c r="C130" s="222" t="s">
        <v>55</v>
      </c>
      <c r="D130" s="223" t="s">
        <v>124</v>
      </c>
      <c r="E130" s="224">
        <v>1977.43</v>
      </c>
      <c r="F130" s="13">
        <f t="shared" si="38"/>
        <v>1087.5865000000001</v>
      </c>
      <c r="G130" s="16">
        <f t="shared" si="39"/>
        <v>0</v>
      </c>
      <c r="H130" s="14">
        <f t="shared" si="40"/>
        <v>34.117588505000008</v>
      </c>
      <c r="I130" s="15">
        <f t="shared" si="41"/>
        <v>0</v>
      </c>
      <c r="J130" s="15">
        <f t="shared" si="42"/>
        <v>29.799870100000003</v>
      </c>
      <c r="K130" s="15">
        <f t="shared" si="43"/>
        <v>0</v>
      </c>
      <c r="L130" s="15">
        <f t="shared" si="37"/>
        <v>24.796972200000003</v>
      </c>
      <c r="M130" s="15">
        <f t="shared" si="44"/>
        <v>0</v>
      </c>
      <c r="N130" s="15">
        <f t="shared" si="45"/>
        <v>22.186764600000004</v>
      </c>
      <c r="O130" s="18">
        <f t="shared" si="46"/>
        <v>0</v>
      </c>
      <c r="P130" s="15">
        <f t="shared" si="36"/>
        <v>0.63117538734250012</v>
      </c>
      <c r="Q130" s="18">
        <f t="shared" si="47"/>
        <v>0</v>
      </c>
      <c r="R130" s="220"/>
      <c r="S130" s="220"/>
    </row>
    <row r="131" spans="1:19" s="219" customFormat="1" ht="13.5" thickBot="1">
      <c r="A131" s="1358"/>
      <c r="B131" s="221"/>
      <c r="C131" s="222" t="s">
        <v>3733</v>
      </c>
      <c r="D131" s="225" t="s">
        <v>539</v>
      </c>
      <c r="E131" s="224">
        <v>16215</v>
      </c>
      <c r="F131" s="13">
        <f t="shared" si="38"/>
        <v>8918.25</v>
      </c>
      <c r="G131" s="16">
        <f t="shared" si="39"/>
        <v>0</v>
      </c>
      <c r="H131" s="14">
        <f t="shared" si="40"/>
        <v>279.76550250000003</v>
      </c>
      <c r="I131" s="15">
        <f t="shared" si="41"/>
        <v>0</v>
      </c>
      <c r="J131" s="15">
        <f t="shared" si="42"/>
        <v>244.36005</v>
      </c>
      <c r="K131" s="15">
        <f t="shared" si="43"/>
        <v>0</v>
      </c>
      <c r="L131" s="15">
        <f t="shared" si="37"/>
        <v>203.33610000000002</v>
      </c>
      <c r="M131" s="15">
        <f t="shared" si="44"/>
        <v>0</v>
      </c>
      <c r="N131" s="15">
        <f t="shared" si="45"/>
        <v>181.93230000000003</v>
      </c>
      <c r="O131" s="18">
        <f t="shared" si="46"/>
        <v>0</v>
      </c>
      <c r="P131" s="15">
        <f t="shared" si="36"/>
        <v>5.17566179625</v>
      </c>
      <c r="Q131" s="18">
        <f t="shared" si="47"/>
        <v>0</v>
      </c>
      <c r="R131" s="220"/>
      <c r="S131" s="220"/>
    </row>
    <row r="132" spans="1:19" s="219" customFormat="1" ht="13.5" thickBot="1">
      <c r="A132" s="1358"/>
      <c r="B132" s="229"/>
      <c r="C132" s="230" t="s">
        <v>3735</v>
      </c>
      <c r="D132" s="225" t="s">
        <v>540</v>
      </c>
      <c r="E132" s="231">
        <v>16192.13</v>
      </c>
      <c r="F132" s="79">
        <f t="shared" si="38"/>
        <v>8905.6715000000004</v>
      </c>
      <c r="G132" s="80">
        <f t="shared" si="39"/>
        <v>0</v>
      </c>
      <c r="H132" s="79">
        <f t="shared" si="40"/>
        <v>279.37091495500005</v>
      </c>
      <c r="I132" s="18">
        <f t="shared" si="41"/>
        <v>0</v>
      </c>
      <c r="J132" s="18">
        <f t="shared" si="42"/>
        <v>244.01539910000002</v>
      </c>
      <c r="K132" s="18">
        <f t="shared" si="43"/>
        <v>0</v>
      </c>
      <c r="L132" s="18">
        <f t="shared" si="37"/>
        <v>203.04931020000001</v>
      </c>
      <c r="M132" s="18">
        <f t="shared" si="44"/>
        <v>0</v>
      </c>
      <c r="N132" s="18">
        <f t="shared" si="45"/>
        <v>181.67569860000003</v>
      </c>
      <c r="O132" s="18">
        <f t="shared" si="46"/>
        <v>0</v>
      </c>
      <c r="P132" s="18">
        <f t="shared" si="36"/>
        <v>5.1683619266675009</v>
      </c>
      <c r="Q132" s="18">
        <f t="shared" si="47"/>
        <v>0</v>
      </c>
      <c r="R132" s="220"/>
      <c r="S132" s="220"/>
    </row>
    <row r="133" spans="1:19" s="219" customFormat="1" ht="26.25" thickBot="1">
      <c r="A133" s="1358"/>
      <c r="B133" s="221"/>
      <c r="C133" s="222" t="s">
        <v>3711</v>
      </c>
      <c r="D133" s="223" t="s">
        <v>3647</v>
      </c>
      <c r="E133" s="224">
        <v>773</v>
      </c>
      <c r="F133" s="13">
        <f t="shared" si="38"/>
        <v>425.15000000000003</v>
      </c>
      <c r="G133" s="16">
        <f t="shared" si="39"/>
        <v>0</v>
      </c>
      <c r="H133" s="14">
        <f t="shared" si="40"/>
        <v>13.336955500000002</v>
      </c>
      <c r="I133" s="15">
        <f t="shared" si="41"/>
        <v>0</v>
      </c>
      <c r="J133" s="15">
        <f t="shared" si="42"/>
        <v>11.649110000000002</v>
      </c>
      <c r="K133" s="15">
        <f t="shared" si="43"/>
        <v>0</v>
      </c>
      <c r="L133" s="15">
        <f t="shared" si="37"/>
        <v>9.6934200000000015</v>
      </c>
      <c r="M133" s="15">
        <f t="shared" si="44"/>
        <v>0</v>
      </c>
      <c r="N133" s="15">
        <f t="shared" si="45"/>
        <v>8.6730600000000013</v>
      </c>
      <c r="O133" s="18">
        <f t="shared" si="46"/>
        <v>0</v>
      </c>
      <c r="P133" s="15">
        <f t="shared" si="36"/>
        <v>0.24673367675000002</v>
      </c>
      <c r="Q133" s="18">
        <f t="shared" si="47"/>
        <v>0</v>
      </c>
      <c r="R133" s="220"/>
      <c r="S133" s="220"/>
    </row>
    <row r="134" spans="1:19" s="219" customFormat="1" ht="13.5" thickBot="1">
      <c r="A134" s="1358"/>
      <c r="B134" s="221"/>
      <c r="C134" s="234" t="s">
        <v>804</v>
      </c>
      <c r="D134" s="223" t="s">
        <v>795</v>
      </c>
      <c r="E134" s="224">
        <v>16595</v>
      </c>
      <c r="F134" s="13">
        <f t="shared" si="38"/>
        <v>9127.25</v>
      </c>
      <c r="G134" s="16">
        <f t="shared" si="39"/>
        <v>0</v>
      </c>
      <c r="H134" s="14">
        <f t="shared" si="40"/>
        <v>286.32183250000003</v>
      </c>
      <c r="I134" s="15">
        <f t="shared" si="41"/>
        <v>0</v>
      </c>
      <c r="J134" s="15">
        <f t="shared" si="42"/>
        <v>250.08665000000002</v>
      </c>
      <c r="K134" s="15">
        <f t="shared" si="43"/>
        <v>0</v>
      </c>
      <c r="L134" s="15">
        <f t="shared" si="37"/>
        <v>208.10130000000001</v>
      </c>
      <c r="M134" s="15">
        <f t="shared" si="44"/>
        <v>0</v>
      </c>
      <c r="N134" s="15">
        <f t="shared" si="45"/>
        <v>186.19590000000002</v>
      </c>
      <c r="O134" s="15">
        <f t="shared" si="46"/>
        <v>0</v>
      </c>
      <c r="P134" s="15">
        <f t="shared" si="36"/>
        <v>5.2969539012500002</v>
      </c>
      <c r="Q134" s="18">
        <f t="shared" si="47"/>
        <v>0</v>
      </c>
      <c r="R134" s="220"/>
      <c r="S134" s="220"/>
    </row>
    <row r="135" spans="1:19" s="219" customFormat="1" ht="13.5" thickBot="1">
      <c r="A135" s="1358"/>
      <c r="B135" s="221"/>
      <c r="C135" s="226" t="s">
        <v>556</v>
      </c>
      <c r="D135" s="227" t="s">
        <v>3666</v>
      </c>
      <c r="E135" s="228">
        <v>15840</v>
      </c>
      <c r="F135" s="13">
        <f t="shared" si="38"/>
        <v>8712</v>
      </c>
      <c r="G135" s="16">
        <f t="shared" si="39"/>
        <v>0</v>
      </c>
      <c r="H135" s="14">
        <f t="shared" si="40"/>
        <v>273.29544000000004</v>
      </c>
      <c r="I135" s="15">
        <f t="shared" si="41"/>
        <v>0</v>
      </c>
      <c r="J135" s="15">
        <f t="shared" si="42"/>
        <v>238.7088</v>
      </c>
      <c r="K135" s="15">
        <f t="shared" si="43"/>
        <v>0</v>
      </c>
      <c r="L135" s="15">
        <f t="shared" si="37"/>
        <v>198.6336</v>
      </c>
      <c r="M135" s="15">
        <f t="shared" si="44"/>
        <v>0</v>
      </c>
      <c r="N135" s="15">
        <f t="shared" si="45"/>
        <v>177.72480000000002</v>
      </c>
      <c r="O135" s="18">
        <f t="shared" si="46"/>
        <v>0</v>
      </c>
      <c r="P135" s="15">
        <f t="shared" si="36"/>
        <v>5.0559656400000001</v>
      </c>
      <c r="Q135" s="18">
        <f t="shared" si="47"/>
        <v>0</v>
      </c>
      <c r="R135" s="220"/>
      <c r="S135" s="220"/>
    </row>
    <row r="136" spans="1:19" s="219" customFormat="1" ht="13.5" thickBot="1">
      <c r="A136" s="1358"/>
      <c r="B136" s="221"/>
      <c r="C136" s="90" t="s">
        <v>3744</v>
      </c>
      <c r="D136" s="235" t="s">
        <v>3678</v>
      </c>
      <c r="E136" s="236">
        <v>4945</v>
      </c>
      <c r="F136" s="13">
        <f t="shared" si="38"/>
        <v>2719.75</v>
      </c>
      <c r="G136" s="16">
        <f t="shared" si="39"/>
        <v>0</v>
      </c>
      <c r="H136" s="14">
        <f t="shared" si="40"/>
        <v>85.318557500000011</v>
      </c>
      <c r="I136" s="15">
        <f t="shared" si="41"/>
        <v>0</v>
      </c>
      <c r="J136" s="15">
        <f t="shared" si="42"/>
        <v>74.521150000000006</v>
      </c>
      <c r="K136" s="15">
        <f t="shared" si="43"/>
        <v>0</v>
      </c>
      <c r="L136" s="15">
        <f t="shared" si="37"/>
        <v>62.010300000000001</v>
      </c>
      <c r="M136" s="15">
        <f t="shared" si="44"/>
        <v>0</v>
      </c>
      <c r="N136" s="15">
        <f t="shared" si="45"/>
        <v>55.482900000000001</v>
      </c>
      <c r="O136" s="15">
        <f t="shared" si="46"/>
        <v>0</v>
      </c>
      <c r="P136" s="15">
        <f t="shared" si="36"/>
        <v>1.5783933137500001</v>
      </c>
      <c r="Q136" s="18">
        <f t="shared" si="47"/>
        <v>0</v>
      </c>
      <c r="R136" s="220"/>
      <c r="S136" s="220"/>
    </row>
    <row r="137" spans="1:19" s="219" customFormat="1" ht="13.5" thickBot="1">
      <c r="A137" s="1358"/>
      <c r="B137" s="221"/>
      <c r="C137" s="90" t="s">
        <v>3739</v>
      </c>
      <c r="D137" s="235" t="s">
        <v>3671</v>
      </c>
      <c r="E137" s="236">
        <v>28825</v>
      </c>
      <c r="F137" s="13">
        <f t="shared" si="38"/>
        <v>15853.750000000002</v>
      </c>
      <c r="G137" s="16">
        <f t="shared" si="39"/>
        <v>0</v>
      </c>
      <c r="H137" s="14">
        <f t="shared" si="40"/>
        <v>497.3321375000001</v>
      </c>
      <c r="I137" s="15">
        <f t="shared" si="41"/>
        <v>0</v>
      </c>
      <c r="J137" s="15">
        <f t="shared" si="42"/>
        <v>434.39275000000004</v>
      </c>
      <c r="K137" s="15">
        <f t="shared" si="43"/>
        <v>0</v>
      </c>
      <c r="L137" s="15">
        <f t="shared" si="37"/>
        <v>361.46550000000008</v>
      </c>
      <c r="M137" s="15">
        <f t="shared" si="44"/>
        <v>0</v>
      </c>
      <c r="N137" s="15">
        <f t="shared" si="45"/>
        <v>323.41650000000004</v>
      </c>
      <c r="O137" s="18">
        <f t="shared" si="46"/>
        <v>0</v>
      </c>
      <c r="P137" s="15">
        <f t="shared" si="36"/>
        <v>9.200644543750002</v>
      </c>
      <c r="Q137" s="18">
        <f t="shared" si="47"/>
        <v>0</v>
      </c>
      <c r="R137" s="220"/>
      <c r="S137" s="220"/>
    </row>
    <row r="138" spans="1:19" s="219" customFormat="1" ht="13.5" thickBot="1">
      <c r="A138" s="1358"/>
      <c r="B138" s="221"/>
      <c r="C138" s="234" t="s">
        <v>3754</v>
      </c>
      <c r="D138" s="223" t="s">
        <v>3689</v>
      </c>
      <c r="E138" s="224">
        <v>2500</v>
      </c>
      <c r="F138" s="13">
        <f t="shared" si="38"/>
        <v>1375</v>
      </c>
      <c r="G138" s="16">
        <f t="shared" si="39"/>
        <v>0</v>
      </c>
      <c r="H138" s="14">
        <f t="shared" si="40"/>
        <v>43.133750000000006</v>
      </c>
      <c r="I138" s="15">
        <f t="shared" si="41"/>
        <v>0</v>
      </c>
      <c r="J138" s="15">
        <f t="shared" si="42"/>
        <v>37.675000000000004</v>
      </c>
      <c r="K138" s="15">
        <f t="shared" si="43"/>
        <v>0</v>
      </c>
      <c r="L138" s="15">
        <f t="shared" si="37"/>
        <v>31.35</v>
      </c>
      <c r="M138" s="15">
        <f t="shared" si="44"/>
        <v>0</v>
      </c>
      <c r="N138" s="15">
        <f t="shared" si="45"/>
        <v>28.05</v>
      </c>
      <c r="O138" s="15">
        <f t="shared" si="46"/>
        <v>0</v>
      </c>
      <c r="P138" s="15">
        <f t="shared" si="36"/>
        <v>0.79797437500000012</v>
      </c>
      <c r="Q138" s="18">
        <f t="shared" si="47"/>
        <v>0</v>
      </c>
      <c r="R138" s="220"/>
      <c r="S138" s="220"/>
    </row>
    <row r="139" spans="1:19" s="219" customFormat="1" ht="13.5" thickBot="1">
      <c r="A139" s="1358"/>
      <c r="B139" s="221"/>
      <c r="C139" s="222" t="s">
        <v>3768</v>
      </c>
      <c r="D139" s="223" t="s">
        <v>3710</v>
      </c>
      <c r="E139" s="224">
        <v>13320</v>
      </c>
      <c r="F139" s="13">
        <f t="shared" si="38"/>
        <v>7326.0000000000009</v>
      </c>
      <c r="G139" s="16">
        <f t="shared" si="39"/>
        <v>0</v>
      </c>
      <c r="H139" s="14">
        <f t="shared" si="40"/>
        <v>229.81662000000006</v>
      </c>
      <c r="I139" s="15">
        <f t="shared" si="41"/>
        <v>0</v>
      </c>
      <c r="J139" s="15">
        <f t="shared" si="42"/>
        <v>200.73240000000004</v>
      </c>
      <c r="K139" s="15">
        <f t="shared" si="43"/>
        <v>0</v>
      </c>
      <c r="L139" s="15">
        <f t="shared" si="37"/>
        <v>167.03280000000004</v>
      </c>
      <c r="M139" s="15">
        <f t="shared" si="44"/>
        <v>0</v>
      </c>
      <c r="N139" s="15">
        <f t="shared" si="45"/>
        <v>149.45040000000003</v>
      </c>
      <c r="O139" s="15">
        <f t="shared" si="46"/>
        <v>0</v>
      </c>
      <c r="P139" s="15">
        <f t="shared" si="36"/>
        <v>4.2516074700000006</v>
      </c>
      <c r="Q139" s="18">
        <f t="shared" si="47"/>
        <v>0</v>
      </c>
      <c r="R139" s="220"/>
      <c r="S139" s="220"/>
    </row>
    <row r="140" spans="1:19" s="219" customFormat="1" ht="13.5" thickBot="1">
      <c r="A140" s="1358"/>
      <c r="B140" s="221"/>
      <c r="C140" s="90" t="s">
        <v>805</v>
      </c>
      <c r="D140" s="235" t="s">
        <v>3672</v>
      </c>
      <c r="E140" s="236">
        <v>8195</v>
      </c>
      <c r="F140" s="13">
        <f t="shared" si="38"/>
        <v>4507.25</v>
      </c>
      <c r="G140" s="16">
        <f t="shared" si="39"/>
        <v>0</v>
      </c>
      <c r="H140" s="14">
        <f t="shared" si="40"/>
        <v>141.39243250000001</v>
      </c>
      <c r="I140" s="15">
        <f t="shared" si="41"/>
        <v>0</v>
      </c>
      <c r="J140" s="15">
        <f t="shared" si="42"/>
        <v>123.49865</v>
      </c>
      <c r="K140" s="15">
        <f t="shared" si="43"/>
        <v>0</v>
      </c>
      <c r="L140" s="15">
        <f t="shared" si="37"/>
        <v>102.76530000000001</v>
      </c>
      <c r="M140" s="15">
        <f t="shared" si="44"/>
        <v>0</v>
      </c>
      <c r="N140" s="15">
        <f t="shared" si="45"/>
        <v>91.947900000000004</v>
      </c>
      <c r="O140" s="15">
        <f t="shared" si="46"/>
        <v>0</v>
      </c>
      <c r="P140" s="15">
        <f t="shared" si="36"/>
        <v>2.61576000125</v>
      </c>
      <c r="Q140" s="18">
        <f t="shared" si="47"/>
        <v>0</v>
      </c>
      <c r="R140" s="220"/>
      <c r="S140" s="220"/>
    </row>
    <row r="141" spans="1:19" s="219" customFormat="1" ht="26.25" thickBot="1">
      <c r="A141" s="1358"/>
      <c r="B141" s="221"/>
      <c r="C141" s="90" t="s">
        <v>3747</v>
      </c>
      <c r="D141" s="235" t="s">
        <v>3681</v>
      </c>
      <c r="E141" s="236">
        <v>3197.76</v>
      </c>
      <c r="F141" s="13">
        <f t="shared" si="38"/>
        <v>1758.7680000000003</v>
      </c>
      <c r="G141" s="16">
        <f t="shared" si="39"/>
        <v>0</v>
      </c>
      <c r="H141" s="14">
        <f t="shared" si="40"/>
        <v>55.172552160000009</v>
      </c>
      <c r="I141" s="15">
        <f t="shared" si="41"/>
        <v>0</v>
      </c>
      <c r="J141" s="15">
        <f t="shared" si="42"/>
        <v>48.190243200000012</v>
      </c>
      <c r="K141" s="15">
        <f t="shared" si="43"/>
        <v>0</v>
      </c>
      <c r="L141" s="15">
        <f t="shared" si="37"/>
        <v>40.099910400000006</v>
      </c>
      <c r="M141" s="15">
        <f t="shared" si="44"/>
        <v>0</v>
      </c>
      <c r="N141" s="15">
        <f t="shared" si="45"/>
        <v>35.878867200000009</v>
      </c>
      <c r="O141" s="15">
        <f t="shared" si="46"/>
        <v>0</v>
      </c>
      <c r="P141" s="15">
        <f t="shared" si="36"/>
        <v>1.0206922149600002</v>
      </c>
      <c r="Q141" s="18">
        <f t="shared" si="47"/>
        <v>0</v>
      </c>
      <c r="R141" s="220"/>
      <c r="S141" s="220"/>
    </row>
    <row r="142" spans="1:19" s="219" customFormat="1" ht="13.5" thickBot="1">
      <c r="A142" s="1358"/>
      <c r="B142" s="221"/>
      <c r="C142" s="222" t="s">
        <v>3765</v>
      </c>
      <c r="D142" s="223" t="s">
        <v>3707</v>
      </c>
      <c r="E142" s="224">
        <v>900</v>
      </c>
      <c r="F142" s="13">
        <f t="shared" si="38"/>
        <v>495.00000000000006</v>
      </c>
      <c r="G142" s="16">
        <f t="shared" si="39"/>
        <v>0</v>
      </c>
      <c r="H142" s="14">
        <f t="shared" si="40"/>
        <v>15.528150000000004</v>
      </c>
      <c r="I142" s="15">
        <f t="shared" si="41"/>
        <v>0</v>
      </c>
      <c r="J142" s="15">
        <f t="shared" si="42"/>
        <v>13.563000000000002</v>
      </c>
      <c r="K142" s="15">
        <f t="shared" si="43"/>
        <v>0</v>
      </c>
      <c r="L142" s="15">
        <f t="shared" si="37"/>
        <v>11.286000000000001</v>
      </c>
      <c r="M142" s="15">
        <f t="shared" si="44"/>
        <v>0</v>
      </c>
      <c r="N142" s="15">
        <f t="shared" si="45"/>
        <v>10.098000000000003</v>
      </c>
      <c r="O142" s="15">
        <f t="shared" si="46"/>
        <v>0</v>
      </c>
      <c r="P142" s="15">
        <f t="shared" si="36"/>
        <v>0.28727077500000003</v>
      </c>
      <c r="Q142" s="18">
        <f t="shared" si="47"/>
        <v>0</v>
      </c>
      <c r="R142" s="220"/>
      <c r="S142" s="220"/>
    </row>
    <row r="143" spans="1:19" s="219" customFormat="1" ht="13.5" thickBot="1">
      <c r="A143" s="1358"/>
      <c r="B143" s="221"/>
      <c r="C143" s="234" t="s">
        <v>3749</v>
      </c>
      <c r="D143" s="223" t="s">
        <v>3683</v>
      </c>
      <c r="E143" s="224">
        <v>1420</v>
      </c>
      <c r="F143" s="13">
        <f t="shared" si="38"/>
        <v>781.00000000000011</v>
      </c>
      <c r="G143" s="16">
        <f t="shared" si="39"/>
        <v>0</v>
      </c>
      <c r="H143" s="14">
        <f t="shared" si="40"/>
        <v>24.499970000000005</v>
      </c>
      <c r="I143" s="15">
        <f t="shared" si="41"/>
        <v>0</v>
      </c>
      <c r="J143" s="15">
        <f t="shared" si="42"/>
        <v>21.399400000000004</v>
      </c>
      <c r="K143" s="15">
        <f t="shared" si="43"/>
        <v>0</v>
      </c>
      <c r="L143" s="15">
        <f t="shared" si="37"/>
        <v>17.806800000000003</v>
      </c>
      <c r="M143" s="15">
        <f t="shared" si="44"/>
        <v>0</v>
      </c>
      <c r="N143" s="15">
        <f t="shared" si="45"/>
        <v>15.932400000000003</v>
      </c>
      <c r="O143" s="15">
        <f t="shared" si="46"/>
        <v>0</v>
      </c>
      <c r="P143" s="15">
        <f t="shared" si="36"/>
        <v>0.45324944500000008</v>
      </c>
      <c r="Q143" s="18">
        <f t="shared" si="47"/>
        <v>0</v>
      </c>
      <c r="R143" s="220"/>
      <c r="S143" s="220"/>
    </row>
    <row r="144" spans="1:19" s="239" customFormat="1">
      <c r="A144" s="238"/>
      <c r="D144" s="1342" t="s">
        <v>183</v>
      </c>
      <c r="E144" s="1343"/>
      <c r="F144" s="1343"/>
      <c r="G144" s="78">
        <f>SUM(G30:G143)+G27</f>
        <v>0</v>
      </c>
      <c r="H144" s="240" t="s">
        <v>201</v>
      </c>
      <c r="I144" s="78">
        <f>SUM(I30:I143)+I27</f>
        <v>0</v>
      </c>
      <c r="J144" s="240" t="s">
        <v>202</v>
      </c>
      <c r="K144" s="78">
        <f>SUM(K30:K143)+K27</f>
        <v>0</v>
      </c>
      <c r="L144" s="240" t="s">
        <v>203</v>
      </c>
      <c r="M144" s="78">
        <f>SUM(M30:M143)+M27</f>
        <v>0</v>
      </c>
      <c r="N144" s="240" t="s">
        <v>95</v>
      </c>
      <c r="O144" s="78">
        <f>SUM(O30:O143)+O27</f>
        <v>0</v>
      </c>
      <c r="P144" s="240" t="s">
        <v>888</v>
      </c>
      <c r="Q144" s="78">
        <f>SUM(Q30:Q143)+Q27</f>
        <v>0</v>
      </c>
    </row>
    <row r="145" spans="6:8" s="239" customFormat="1" ht="12.75">
      <c r="F145" s="241"/>
      <c r="G145" s="241"/>
      <c r="H145" s="242"/>
    </row>
    <row r="146" spans="6:8" s="239" customFormat="1" ht="12.75">
      <c r="F146" s="241"/>
      <c r="G146" s="241"/>
    </row>
    <row r="147" spans="6:8" s="239" customFormat="1" ht="12.75">
      <c r="F147" s="241"/>
      <c r="G147" s="241"/>
    </row>
    <row r="148" spans="6:8" s="239" customFormat="1" ht="12.75">
      <c r="F148" s="241"/>
      <c r="G148" s="241"/>
    </row>
    <row r="149" spans="6:8" s="239" customFormat="1" ht="12.75">
      <c r="F149" s="241"/>
      <c r="G149" s="241"/>
    </row>
    <row r="150" spans="6:8" s="239" customFormat="1" ht="12.75">
      <c r="F150" s="241"/>
      <c r="G150" s="241"/>
    </row>
    <row r="151" spans="6:8" s="239" customFormat="1" ht="12.75">
      <c r="F151" s="241"/>
      <c r="G151" s="241"/>
    </row>
    <row r="152" spans="6:8" s="239" customFormat="1" ht="12.75">
      <c r="F152" s="241"/>
      <c r="G152" s="241"/>
    </row>
    <row r="153" spans="6:8" s="239" customFormat="1" ht="12.75">
      <c r="F153" s="241"/>
      <c r="G153" s="241"/>
    </row>
    <row r="154" spans="6:8" s="239" customFormat="1" ht="12.75">
      <c r="F154" s="241"/>
      <c r="G154" s="241"/>
    </row>
    <row r="155" spans="6:8" s="239" customFormat="1" ht="12.75">
      <c r="F155" s="241"/>
      <c r="G155" s="241"/>
    </row>
    <row r="156" spans="6:8" s="239" customFormat="1" ht="12.75">
      <c r="F156" s="241"/>
      <c r="G156" s="241"/>
    </row>
    <row r="157" spans="6:8" s="239" customFormat="1" ht="12.75">
      <c r="F157" s="241"/>
      <c r="G157" s="241"/>
    </row>
    <row r="158" spans="6:8" s="239" customFormat="1" ht="12.75">
      <c r="F158" s="241"/>
      <c r="G158" s="241"/>
    </row>
    <row r="159" spans="6:8" s="239" customFormat="1" ht="12.75">
      <c r="F159" s="241"/>
      <c r="G159" s="241"/>
    </row>
    <row r="160" spans="6:8" s="239" customFormat="1" ht="12.75">
      <c r="F160" s="241"/>
      <c r="G160" s="241"/>
    </row>
    <row r="161" spans="2:7" s="239" customFormat="1" ht="12.75">
      <c r="B161" s="243"/>
      <c r="C161" s="243"/>
      <c r="F161" s="241"/>
      <c r="G161" s="241"/>
    </row>
    <row r="162" spans="2:7" s="239" customFormat="1" ht="12.75">
      <c r="F162" s="241"/>
      <c r="G162" s="241"/>
    </row>
    <row r="163" spans="2:7" s="239" customFormat="1" ht="12.75">
      <c r="F163" s="241"/>
      <c r="G163" s="241"/>
    </row>
    <row r="164" spans="2:7" s="239" customFormat="1" ht="12.75">
      <c r="F164" s="241"/>
      <c r="G164" s="241"/>
    </row>
    <row r="165" spans="2:7" s="239" customFormat="1" ht="12.75">
      <c r="F165" s="241"/>
      <c r="G165" s="241"/>
    </row>
    <row r="166" spans="2:7" s="239" customFormat="1" ht="12.75">
      <c r="F166" s="241"/>
      <c r="G166" s="241"/>
    </row>
    <row r="167" spans="2:7" s="239" customFormat="1" ht="12.75">
      <c r="F167" s="241"/>
      <c r="G167" s="241"/>
    </row>
    <row r="168" spans="2:7" s="239" customFormat="1" ht="12.75">
      <c r="F168" s="241"/>
      <c r="G168" s="241"/>
    </row>
    <row r="169" spans="2:7" s="239" customFormat="1" ht="12.75">
      <c r="F169" s="241"/>
      <c r="G169" s="241"/>
    </row>
    <row r="170" spans="2:7" s="239" customFormat="1" ht="12.75">
      <c r="F170" s="241"/>
      <c r="G170" s="241"/>
    </row>
    <row r="171" spans="2:7" s="239" customFormat="1" ht="12.75">
      <c r="F171" s="241"/>
      <c r="G171" s="241"/>
    </row>
    <row r="172" spans="2:7" s="239" customFormat="1" ht="12.75">
      <c r="F172" s="241"/>
      <c r="G172" s="241"/>
    </row>
    <row r="173" spans="2:7" s="239" customFormat="1" ht="12.75">
      <c r="F173" s="241"/>
      <c r="G173" s="241"/>
    </row>
    <row r="174" spans="2:7" s="239" customFormat="1" ht="12.75">
      <c r="F174" s="241"/>
      <c r="G174" s="241"/>
    </row>
    <row r="175" spans="2:7" s="239" customFormat="1" ht="12.75">
      <c r="F175" s="241"/>
      <c r="G175" s="241"/>
    </row>
    <row r="176" spans="2:7" s="239" customFormat="1" ht="12.75">
      <c r="F176" s="241"/>
      <c r="G176" s="241"/>
    </row>
    <row r="177" spans="6:7" s="239" customFormat="1" ht="12.75">
      <c r="F177" s="241"/>
      <c r="G177" s="241"/>
    </row>
    <row r="178" spans="6:7" s="239" customFormat="1" ht="12.75">
      <c r="F178" s="241"/>
      <c r="G178" s="241"/>
    </row>
    <row r="179" spans="6:7" s="239" customFormat="1" ht="12.75">
      <c r="F179" s="241"/>
      <c r="G179" s="241"/>
    </row>
    <row r="180" spans="6:7" s="239" customFormat="1" ht="12.75">
      <c r="F180" s="241"/>
      <c r="G180" s="241"/>
    </row>
    <row r="181" spans="6:7" s="239" customFormat="1" ht="12.75">
      <c r="F181" s="241"/>
      <c r="G181" s="241"/>
    </row>
    <row r="182" spans="6:7" s="239" customFormat="1" ht="12.75">
      <c r="F182" s="241"/>
      <c r="G182" s="241"/>
    </row>
    <row r="183" spans="6:7" s="239" customFormat="1" ht="12.75">
      <c r="F183" s="241"/>
      <c r="G183" s="241"/>
    </row>
    <row r="184" spans="6:7" s="239" customFormat="1" ht="12.75">
      <c r="F184" s="241"/>
      <c r="G184" s="241"/>
    </row>
    <row r="185" spans="6:7" s="239" customFormat="1" ht="12.75">
      <c r="F185" s="241"/>
      <c r="G185" s="241"/>
    </row>
    <row r="186" spans="6:7" s="239" customFormat="1" ht="12.75">
      <c r="F186" s="241"/>
      <c r="G186" s="241"/>
    </row>
    <row r="187" spans="6:7" s="239" customFormat="1" ht="12.75">
      <c r="F187" s="241"/>
      <c r="G187" s="241"/>
    </row>
    <row r="188" spans="6:7" s="239" customFormat="1" ht="12.75">
      <c r="F188" s="241"/>
      <c r="G188" s="241"/>
    </row>
    <row r="189" spans="6:7" s="239" customFormat="1" ht="12.75">
      <c r="F189" s="241"/>
      <c r="G189" s="241"/>
    </row>
    <row r="190" spans="6:7" s="239" customFormat="1" ht="12.75">
      <c r="F190" s="241"/>
      <c r="G190" s="241"/>
    </row>
    <row r="191" spans="6:7" s="239" customFormat="1" ht="12.75">
      <c r="F191" s="241"/>
      <c r="G191" s="241"/>
    </row>
    <row r="192" spans="6:7" s="239" customFormat="1" ht="12.75">
      <c r="F192" s="241"/>
      <c r="G192" s="241"/>
    </row>
    <row r="193" spans="6:7" s="239" customFormat="1" ht="12.75">
      <c r="F193" s="241"/>
      <c r="G193" s="241"/>
    </row>
    <row r="194" spans="6:7" s="239" customFormat="1" ht="12.75">
      <c r="F194" s="241"/>
      <c r="G194" s="241"/>
    </row>
    <row r="195" spans="6:7" s="239" customFormat="1" ht="12.75">
      <c r="F195" s="241"/>
      <c r="G195" s="241"/>
    </row>
    <row r="196" spans="6:7" s="239" customFormat="1" ht="12.75">
      <c r="F196" s="241"/>
      <c r="G196" s="241"/>
    </row>
    <row r="197" spans="6:7" s="239" customFormat="1" ht="12.75">
      <c r="F197" s="241"/>
      <c r="G197" s="241"/>
    </row>
    <row r="198" spans="6:7" s="239" customFormat="1" ht="12.75">
      <c r="F198" s="241"/>
      <c r="G198" s="241"/>
    </row>
    <row r="199" spans="6:7" s="239" customFormat="1" ht="12.75">
      <c r="F199" s="241"/>
      <c r="G199" s="241"/>
    </row>
    <row r="200" spans="6:7" s="239" customFormat="1" ht="12.75">
      <c r="F200" s="241"/>
      <c r="G200" s="241"/>
    </row>
    <row r="201" spans="6:7" s="239" customFormat="1" ht="12.75">
      <c r="F201" s="241"/>
      <c r="G201" s="241"/>
    </row>
    <row r="202" spans="6:7" s="239" customFormat="1" ht="12.75">
      <c r="F202" s="241"/>
      <c r="G202" s="241"/>
    </row>
    <row r="203" spans="6:7" s="239" customFormat="1" ht="12.75">
      <c r="F203" s="241"/>
      <c r="G203" s="241"/>
    </row>
    <row r="204" spans="6:7" s="239" customFormat="1" ht="12.75">
      <c r="F204" s="241"/>
      <c r="G204" s="241"/>
    </row>
    <row r="205" spans="6:7" s="239" customFormat="1" ht="12.75">
      <c r="F205" s="241"/>
      <c r="G205" s="241"/>
    </row>
    <row r="206" spans="6:7" s="239" customFormat="1" ht="12.75">
      <c r="F206" s="241"/>
      <c r="G206" s="241"/>
    </row>
    <row r="207" spans="6:7" s="239" customFormat="1" ht="12.75">
      <c r="F207" s="241"/>
      <c r="G207" s="241"/>
    </row>
    <row r="208" spans="6:7" s="239" customFormat="1" ht="12.75">
      <c r="F208" s="241"/>
      <c r="G208" s="241"/>
    </row>
    <row r="209" spans="6:7" s="239" customFormat="1" ht="12.75">
      <c r="F209" s="241"/>
      <c r="G209" s="241"/>
    </row>
    <row r="210" spans="6:7" s="239" customFormat="1" ht="12.75">
      <c r="F210" s="241"/>
      <c r="G210" s="241"/>
    </row>
    <row r="211" spans="6:7" s="239" customFormat="1" ht="12.75">
      <c r="F211" s="241"/>
      <c r="G211" s="241"/>
    </row>
    <row r="212" spans="6:7" s="239" customFormat="1" ht="12.75">
      <c r="F212" s="241"/>
      <c r="G212" s="241"/>
    </row>
    <row r="213" spans="6:7" s="239" customFormat="1" ht="12.75">
      <c r="F213" s="241"/>
      <c r="G213" s="241"/>
    </row>
    <row r="214" spans="6:7" s="239" customFormat="1" ht="12.75">
      <c r="F214" s="241"/>
      <c r="G214" s="241"/>
    </row>
    <row r="215" spans="6:7" s="239" customFormat="1" ht="12.75">
      <c r="F215" s="241"/>
      <c r="G215" s="241"/>
    </row>
    <row r="216" spans="6:7" s="239" customFormat="1" ht="12.75">
      <c r="F216" s="241"/>
      <c r="G216" s="241"/>
    </row>
    <row r="217" spans="6:7" s="239" customFormat="1" ht="12.75">
      <c r="F217" s="241"/>
      <c r="G217" s="241"/>
    </row>
    <row r="218" spans="6:7" s="239" customFormat="1" ht="12.75">
      <c r="F218" s="241"/>
      <c r="G218" s="241"/>
    </row>
    <row r="219" spans="6:7" s="239" customFormat="1" ht="12.75">
      <c r="F219" s="241"/>
      <c r="G219" s="241"/>
    </row>
    <row r="220" spans="6:7" s="239" customFormat="1" ht="12.75">
      <c r="F220" s="241"/>
      <c r="G220" s="241"/>
    </row>
    <row r="221" spans="6:7" s="239" customFormat="1" ht="12.75">
      <c r="F221" s="241"/>
      <c r="G221" s="241"/>
    </row>
    <row r="222" spans="6:7" s="239" customFormat="1" ht="12.75">
      <c r="F222" s="241"/>
      <c r="G222" s="241"/>
    </row>
    <row r="223" spans="6:7" s="239" customFormat="1" ht="12.75">
      <c r="F223" s="241"/>
      <c r="G223" s="241"/>
    </row>
    <row r="224" spans="6:7" s="239" customFormat="1" ht="12.75">
      <c r="F224" s="241"/>
      <c r="G224" s="241"/>
    </row>
    <row r="225" spans="6:7" s="239" customFormat="1" ht="12.75">
      <c r="F225" s="241"/>
      <c r="G225" s="241"/>
    </row>
    <row r="226" spans="6:7" s="239" customFormat="1" ht="12.75">
      <c r="F226" s="241"/>
      <c r="G226" s="241"/>
    </row>
    <row r="227" spans="6:7" s="239" customFormat="1" ht="12.75">
      <c r="F227" s="241"/>
      <c r="G227" s="241"/>
    </row>
    <row r="228" spans="6:7" s="239" customFormat="1" ht="12.75">
      <c r="F228" s="241"/>
      <c r="G228" s="241"/>
    </row>
    <row r="229" spans="6:7" s="239" customFormat="1" ht="12.75">
      <c r="F229" s="241"/>
      <c r="G229" s="241"/>
    </row>
    <row r="230" spans="6:7" s="239" customFormat="1" ht="12.75">
      <c r="F230" s="241"/>
      <c r="G230" s="241"/>
    </row>
    <row r="231" spans="6:7" s="239" customFormat="1" ht="12.75">
      <c r="F231" s="241"/>
      <c r="G231" s="241"/>
    </row>
    <row r="232" spans="6:7" s="239" customFormat="1" ht="12.75">
      <c r="F232" s="241"/>
      <c r="G232" s="241"/>
    </row>
    <row r="233" spans="6:7" s="239" customFormat="1" ht="12.75">
      <c r="F233" s="241"/>
      <c r="G233" s="241"/>
    </row>
    <row r="234" spans="6:7" s="239" customFormat="1" ht="12.75">
      <c r="F234" s="241"/>
      <c r="G234" s="241"/>
    </row>
    <row r="235" spans="6:7" s="239" customFormat="1" ht="12.75">
      <c r="F235" s="241"/>
      <c r="G235" s="241"/>
    </row>
    <row r="236" spans="6:7" s="239" customFormat="1" ht="12.75">
      <c r="F236" s="241"/>
      <c r="G236" s="241"/>
    </row>
    <row r="237" spans="6:7" s="239" customFormat="1" ht="12.75">
      <c r="F237" s="241"/>
      <c r="G237" s="241"/>
    </row>
    <row r="238" spans="6:7" s="239" customFormat="1" ht="12.75">
      <c r="F238" s="241"/>
      <c r="G238" s="241"/>
    </row>
    <row r="239" spans="6:7" s="239" customFormat="1" ht="12.75">
      <c r="F239" s="241"/>
      <c r="G239" s="241"/>
    </row>
    <row r="240" spans="6:7" s="239" customFormat="1" ht="12.75">
      <c r="F240" s="241"/>
      <c r="G240" s="241"/>
    </row>
    <row r="241" spans="1:17" s="239" customFormat="1" ht="12.75">
      <c r="F241" s="241"/>
      <c r="G241" s="241"/>
    </row>
    <row r="242" spans="1:17" s="239" customFormat="1" ht="12.75">
      <c r="F242" s="241"/>
      <c r="G242" s="241"/>
    </row>
    <row r="243" spans="1:17" s="239" customFormat="1" ht="12.75">
      <c r="F243" s="241"/>
      <c r="G243" s="241"/>
    </row>
    <row r="244" spans="1:17" s="239" customFormat="1" ht="12.75">
      <c r="F244" s="241"/>
      <c r="G244" s="241"/>
    </row>
    <row r="245" spans="1:17">
      <c r="A245" s="239"/>
      <c r="B245" s="239"/>
      <c r="C245" s="239"/>
      <c r="D245" s="239"/>
      <c r="E245" s="239"/>
      <c r="F245" s="241"/>
      <c r="G245" s="241"/>
      <c r="H245" s="239"/>
      <c r="I245" s="239"/>
      <c r="J245" s="239"/>
      <c r="K245" s="239"/>
      <c r="L245" s="239"/>
      <c r="M245" s="239"/>
      <c r="N245" s="239"/>
      <c r="O245" s="239"/>
      <c r="P245" s="239"/>
      <c r="Q245" s="239"/>
    </row>
    <row r="246" spans="1:17">
      <c r="A246" s="239"/>
      <c r="B246" s="239"/>
      <c r="C246" s="239"/>
      <c r="D246" s="239"/>
      <c r="E246" s="239"/>
      <c r="F246" s="241"/>
      <c r="G246" s="241"/>
      <c r="H246" s="239"/>
      <c r="I246" s="239"/>
      <c r="J246" s="239"/>
      <c r="K246" s="239"/>
      <c r="L246" s="239"/>
      <c r="M246" s="239"/>
      <c r="N246" s="239"/>
      <c r="O246" s="239"/>
      <c r="P246" s="239"/>
      <c r="Q246" s="239"/>
    </row>
    <row r="247" spans="1:17">
      <c r="A247" s="239"/>
      <c r="B247" s="239"/>
      <c r="C247" s="239"/>
      <c r="D247" s="239"/>
      <c r="E247" s="239"/>
      <c r="F247" s="241"/>
      <c r="G247" s="241"/>
      <c r="I247" s="239"/>
      <c r="J247" s="239"/>
      <c r="K247" s="239"/>
      <c r="L247" s="239"/>
      <c r="M247" s="239"/>
      <c r="N247" s="239"/>
      <c r="O247" s="239"/>
      <c r="P247" s="239"/>
      <c r="Q247" s="239"/>
    </row>
  </sheetData>
  <mergeCells count="18">
    <mergeCell ref="A29:Q29"/>
    <mergeCell ref="A30:A143"/>
    <mergeCell ref="D144:F144"/>
    <mergeCell ref="A27:A28"/>
    <mergeCell ref="B27:B28"/>
    <mergeCell ref="G27:G28"/>
    <mergeCell ref="I27:I28"/>
    <mergeCell ref="K27:K28"/>
    <mergeCell ref="M27:M28"/>
    <mergeCell ref="O27:O28"/>
    <mergeCell ref="Q27:Q28"/>
    <mergeCell ref="F25:G25"/>
    <mergeCell ref="H25:Q25"/>
    <mergeCell ref="A4:O4"/>
    <mergeCell ref="A5:O5"/>
    <mergeCell ref="F8:I8"/>
    <mergeCell ref="A21:S21"/>
    <mergeCell ref="A22:S22"/>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9">
    <tabColor indexed="62"/>
  </sheetPr>
  <dimension ref="A1:S247"/>
  <sheetViews>
    <sheetView zoomScale="78" zoomScaleNormal="78" workbookViewId="0">
      <selection activeCell="F30" sqref="F30"/>
    </sheetView>
  </sheetViews>
  <sheetFormatPr defaultColWidth="8.85546875" defaultRowHeight="15.75"/>
  <cols>
    <col min="1" max="1" width="14" style="178" customWidth="1"/>
    <col min="2" max="2" width="8.7109375" style="178" customWidth="1"/>
    <col min="3" max="3" width="16.42578125" style="178" customWidth="1"/>
    <col min="4" max="4" width="42" style="178" customWidth="1"/>
    <col min="5" max="5" width="17" style="178" customWidth="1"/>
    <col min="6" max="6" width="18.28515625" style="165" customWidth="1"/>
    <col min="7" max="7" width="16" style="165" customWidth="1"/>
    <col min="8" max="8" width="21.28515625" style="178" customWidth="1"/>
    <col min="9" max="9" width="25.5703125" style="178" customWidth="1"/>
    <col min="10" max="10" width="20.5703125" style="178" customWidth="1"/>
    <col min="11" max="11" width="21.140625" style="178" customWidth="1"/>
    <col min="12" max="12" width="20" style="178" customWidth="1"/>
    <col min="13" max="13" width="19" style="178" customWidth="1"/>
    <col min="14" max="14" width="19.5703125" style="178" customWidth="1"/>
    <col min="15" max="15" width="19.140625" style="178" customWidth="1"/>
    <col min="16" max="16" width="19.5703125" style="178" customWidth="1"/>
    <col min="17" max="17" width="19.140625" style="178" customWidth="1"/>
    <col min="18" max="18" width="12.42578125" style="178" customWidth="1"/>
    <col min="19" max="16384" width="8.85546875" style="178"/>
  </cols>
  <sheetData>
    <row r="1" spans="1:17" ht="16.5" thickBot="1">
      <c r="B1" s="179"/>
      <c r="C1" s="179"/>
      <c r="D1" s="180"/>
      <c r="E1" s="180"/>
      <c r="F1" s="181"/>
      <c r="G1" s="181"/>
      <c r="H1" s="181"/>
      <c r="I1" s="181"/>
      <c r="J1" s="181"/>
      <c r="K1" s="180"/>
      <c r="L1" s="181"/>
    </row>
    <row r="2" spans="1:17" ht="9" customHeight="1">
      <c r="A2" s="182"/>
      <c r="B2" s="183"/>
      <c r="C2" s="183"/>
      <c r="D2" s="184"/>
      <c r="E2" s="184"/>
      <c r="F2" s="185"/>
      <c r="G2" s="185"/>
      <c r="H2" s="185"/>
      <c r="I2" s="186"/>
      <c r="J2" s="186"/>
      <c r="K2" s="186"/>
      <c r="L2" s="186"/>
      <c r="M2" s="182"/>
      <c r="N2" s="182"/>
      <c r="O2" s="182"/>
      <c r="P2" s="182"/>
      <c r="Q2" s="182"/>
    </row>
    <row r="3" spans="1:17" ht="10.5" customHeight="1">
      <c r="B3" s="179"/>
      <c r="C3" s="179"/>
      <c r="D3" s="180"/>
      <c r="E3" s="180"/>
      <c r="F3" s="181"/>
      <c r="G3" s="181"/>
      <c r="H3" s="181"/>
      <c r="I3" s="187"/>
      <c r="J3" s="187"/>
      <c r="K3" s="187"/>
      <c r="L3" s="187"/>
    </row>
    <row r="4" spans="1:17" ht="36" customHeight="1">
      <c r="A4" s="1329" t="s">
        <v>3779</v>
      </c>
      <c r="B4" s="979"/>
      <c r="C4" s="979"/>
      <c r="D4" s="979"/>
      <c r="E4" s="979"/>
      <c r="F4" s="979"/>
      <c r="G4" s="979"/>
      <c r="H4" s="979"/>
      <c r="I4" s="979"/>
      <c r="J4" s="979"/>
      <c r="K4" s="979"/>
      <c r="L4" s="979"/>
      <c r="M4" s="979"/>
      <c r="N4" s="979"/>
      <c r="O4" s="979"/>
      <c r="P4" s="104"/>
      <c r="Q4" s="104"/>
    </row>
    <row r="5" spans="1:17" s="188" customFormat="1" ht="46.5" customHeight="1">
      <c r="A5" s="1330" t="s">
        <v>3781</v>
      </c>
      <c r="B5" s="1213"/>
      <c r="C5" s="1213"/>
      <c r="D5" s="1213"/>
      <c r="E5" s="1213"/>
      <c r="F5" s="1213"/>
      <c r="G5" s="1213"/>
      <c r="H5" s="1213"/>
      <c r="I5" s="1213"/>
      <c r="J5" s="1213"/>
      <c r="K5" s="1213"/>
      <c r="L5" s="1213"/>
      <c r="M5" s="1213"/>
      <c r="N5" s="1213"/>
      <c r="O5" s="1213"/>
      <c r="P5" s="114"/>
      <c r="Q5" s="114"/>
    </row>
    <row r="6" spans="1:17" ht="9" customHeight="1" thickBot="1">
      <c r="A6" s="189"/>
      <c r="B6" s="190"/>
      <c r="C6" s="190"/>
      <c r="D6" s="191"/>
      <c r="E6" s="191"/>
      <c r="F6" s="192"/>
      <c r="G6" s="192"/>
      <c r="H6" s="192"/>
      <c r="I6" s="193"/>
      <c r="J6" s="193"/>
      <c r="K6" s="193"/>
      <c r="L6" s="193"/>
      <c r="M6" s="189"/>
      <c r="N6" s="189"/>
      <c r="O6" s="189"/>
      <c r="P6" s="189"/>
      <c r="Q6" s="189"/>
    </row>
    <row r="7" spans="1:17" s="187" customFormat="1" ht="14.25">
      <c r="B7" s="194"/>
      <c r="C7" s="194"/>
      <c r="D7" s="195"/>
      <c r="E7" s="195"/>
      <c r="F7" s="195"/>
      <c r="G7" s="195"/>
      <c r="H7" s="195"/>
      <c r="I7" s="195"/>
      <c r="J7" s="195"/>
      <c r="K7" s="195"/>
      <c r="L7" s="195"/>
      <c r="M7" s="195"/>
      <c r="N7" s="195"/>
      <c r="O7" s="195"/>
      <c r="P7" s="195"/>
      <c r="Q7" s="195"/>
    </row>
    <row r="8" spans="1:17" s="187" customFormat="1">
      <c r="F8" s="1188" t="s">
        <v>3</v>
      </c>
      <c r="G8" s="1188"/>
      <c r="H8" s="1188"/>
      <c r="I8" s="1352"/>
      <c r="J8" s="178"/>
      <c r="K8" s="178"/>
      <c r="L8" s="178"/>
    </row>
    <row r="9" spans="1:17" s="187" customFormat="1" ht="14.25">
      <c r="C9" s="123"/>
      <c r="D9" s="113"/>
      <c r="F9" s="123" t="s">
        <v>210</v>
      </c>
      <c r="G9" s="113" t="s">
        <v>58</v>
      </c>
      <c r="H9" s="196"/>
      <c r="I9" s="197"/>
      <c r="J9" s="198"/>
      <c r="L9" s="198"/>
    </row>
    <row r="10" spans="1:17" s="187" customFormat="1" ht="14.25">
      <c r="C10" s="123"/>
      <c r="D10" s="113"/>
      <c r="F10" s="123" t="s">
        <v>212</v>
      </c>
      <c r="G10" s="113" t="s">
        <v>59</v>
      </c>
      <c r="H10" s="196"/>
      <c r="I10" s="197"/>
      <c r="J10" s="198"/>
      <c r="L10" s="198"/>
    </row>
    <row r="11" spans="1:17" s="187" customFormat="1" ht="14.25">
      <c r="C11" s="123"/>
      <c r="D11" s="113"/>
      <c r="F11" s="123" t="s">
        <v>214</v>
      </c>
      <c r="G11" s="113" t="s">
        <v>26</v>
      </c>
      <c r="H11" s="196"/>
      <c r="I11" s="197"/>
      <c r="J11" s="198"/>
      <c r="L11" s="198"/>
    </row>
    <row r="12" spans="1:17" s="187" customFormat="1" ht="14.25">
      <c r="C12" s="123"/>
      <c r="D12" s="113"/>
      <c r="F12" s="123" t="s">
        <v>8</v>
      </c>
      <c r="G12" s="113" t="s">
        <v>3774</v>
      </c>
      <c r="H12" s="196"/>
      <c r="I12" s="197"/>
      <c r="J12" s="198"/>
      <c r="L12" s="198"/>
    </row>
    <row r="13" spans="1:17" s="187" customFormat="1" ht="14.25">
      <c r="C13" s="123"/>
      <c r="D13" s="113"/>
      <c r="E13" s="199"/>
      <c r="F13" s="123" t="s">
        <v>9</v>
      </c>
      <c r="G13" s="113" t="s">
        <v>3775</v>
      </c>
      <c r="H13" s="196"/>
      <c r="I13" s="197"/>
      <c r="J13" s="198"/>
      <c r="L13" s="198"/>
    </row>
    <row r="14" spans="1:17" s="187" customFormat="1" ht="14.25">
      <c r="C14" s="123"/>
      <c r="D14" s="113"/>
      <c r="F14" s="123" t="s">
        <v>10</v>
      </c>
      <c r="G14" s="113" t="s">
        <v>3776</v>
      </c>
      <c r="H14" s="196"/>
      <c r="I14" s="197"/>
      <c r="J14" s="198"/>
      <c r="L14" s="198"/>
    </row>
    <row r="15" spans="1:17" s="187" customFormat="1" ht="14.25">
      <c r="C15" s="123"/>
      <c r="D15" s="113"/>
      <c r="F15" s="123" t="s">
        <v>99</v>
      </c>
      <c r="G15" s="113" t="s">
        <v>806</v>
      </c>
      <c r="H15" s="196"/>
      <c r="I15" s="197"/>
      <c r="J15" s="198"/>
      <c r="L15" s="198"/>
    </row>
    <row r="16" spans="1:17" s="113" customFormat="1" ht="14.25">
      <c r="C16" s="123"/>
      <c r="F16" s="123" t="s">
        <v>13</v>
      </c>
      <c r="G16" s="113" t="s">
        <v>60</v>
      </c>
      <c r="H16" s="196"/>
      <c r="I16" s="200"/>
    </row>
    <row r="17" spans="1:19" s="113" customFormat="1" ht="14.25">
      <c r="C17" s="123"/>
      <c r="F17" s="123" t="s">
        <v>16</v>
      </c>
      <c r="G17" s="113" t="s">
        <v>61</v>
      </c>
      <c r="H17" s="196"/>
      <c r="I17" s="200"/>
    </row>
    <row r="18" spans="1:19" s="187" customFormat="1" ht="14.25">
      <c r="C18" s="123"/>
      <c r="D18" s="113"/>
      <c r="F18" s="123" t="s">
        <v>220</v>
      </c>
      <c r="G18" s="113" t="s">
        <v>807</v>
      </c>
      <c r="H18" s="196"/>
      <c r="I18" s="200"/>
      <c r="J18" s="201"/>
      <c r="L18" s="201"/>
    </row>
    <row r="19" spans="1:19" s="187" customFormat="1" ht="14.25">
      <c r="C19" s="123"/>
      <c r="D19" s="113"/>
      <c r="F19" s="123" t="s">
        <v>21</v>
      </c>
      <c r="G19" s="113" t="s">
        <v>3777</v>
      </c>
      <c r="H19" s="196"/>
      <c r="I19" s="200"/>
      <c r="J19" s="201"/>
      <c r="L19" s="201"/>
    </row>
    <row r="20" spans="1:19" s="187" customFormat="1" ht="14.25">
      <c r="C20" s="123"/>
      <c r="D20" s="202"/>
      <c r="F20" s="123" t="s">
        <v>22</v>
      </c>
      <c r="G20" s="202" t="s">
        <v>3778</v>
      </c>
      <c r="H20" s="196"/>
      <c r="I20" s="196"/>
      <c r="J20" s="201"/>
      <c r="L20" s="201"/>
    </row>
    <row r="21" spans="1:19" s="113" customFormat="1" ht="14.25">
      <c r="A21" s="1188" t="s">
        <v>23</v>
      </c>
      <c r="B21" s="1188"/>
      <c r="C21" s="1188"/>
      <c r="D21" s="1188"/>
      <c r="E21" s="1188"/>
      <c r="F21" s="1188"/>
      <c r="G21" s="1188"/>
      <c r="H21" s="1188"/>
      <c r="I21" s="1188"/>
      <c r="J21" s="1188"/>
      <c r="K21" s="1188"/>
      <c r="L21" s="1188"/>
      <c r="M21" s="1188"/>
      <c r="N21" s="1188"/>
      <c r="O21" s="1188"/>
      <c r="P21" s="1188"/>
      <c r="Q21" s="1188"/>
      <c r="R21" s="1188"/>
      <c r="S21" s="1188"/>
    </row>
    <row r="22" spans="1:19" s="113" customFormat="1" ht="14.25">
      <c r="A22" s="1335" t="s">
        <v>887</v>
      </c>
      <c r="B22" s="1336"/>
      <c r="C22" s="1336"/>
      <c r="D22" s="1336"/>
      <c r="E22" s="1336"/>
      <c r="F22" s="1336"/>
      <c r="G22" s="1336"/>
      <c r="H22" s="1336"/>
      <c r="I22" s="1336"/>
      <c r="J22" s="1336"/>
      <c r="K22" s="1336"/>
      <c r="L22" s="1336"/>
      <c r="M22" s="1336"/>
      <c r="N22" s="1336"/>
      <c r="O22" s="1336"/>
      <c r="P22" s="1336"/>
      <c r="Q22" s="1336"/>
      <c r="R22" s="1336"/>
      <c r="S22" s="1336"/>
    </row>
    <row r="23" spans="1:19" s="187" customFormat="1" ht="12.75" customHeight="1">
      <c r="B23" s="203"/>
      <c r="C23" s="203"/>
      <c r="D23" s="204"/>
      <c r="E23" s="204"/>
      <c r="F23" s="205"/>
      <c r="G23" s="205"/>
      <c r="I23" s="188"/>
      <c r="J23" s="188"/>
      <c r="K23" s="188"/>
      <c r="L23" s="188"/>
    </row>
    <row r="24" spans="1:19" s="187" customFormat="1" ht="12.75" customHeight="1" thickBot="1">
      <c r="D24" s="204"/>
      <c r="E24" s="204"/>
      <c r="F24" s="205"/>
      <c r="G24" s="205"/>
      <c r="I24" s="206"/>
      <c r="J24" s="206"/>
      <c r="K24" s="206"/>
      <c r="L24" s="206"/>
    </row>
    <row r="25" spans="1:19" s="187" customFormat="1" ht="15.75" customHeight="1" thickBot="1">
      <c r="F25" s="1217" t="s">
        <v>167</v>
      </c>
      <c r="G25" s="1008"/>
      <c r="H25" s="1332" t="s">
        <v>168</v>
      </c>
      <c r="I25" s="1333"/>
      <c r="J25" s="1333"/>
      <c r="K25" s="1333"/>
      <c r="L25" s="1333"/>
      <c r="M25" s="1333"/>
      <c r="N25" s="1333"/>
      <c r="O25" s="1333"/>
      <c r="P25" s="1333"/>
      <c r="Q25" s="1334"/>
    </row>
    <row r="26" spans="1:19" s="209" customFormat="1" ht="63.75" customHeight="1" thickBot="1">
      <c r="A26" s="207" t="s">
        <v>122</v>
      </c>
      <c r="B26" s="207" t="s">
        <v>169</v>
      </c>
      <c r="C26" s="208" t="s">
        <v>170</v>
      </c>
      <c r="D26" s="208" t="s">
        <v>171</v>
      </c>
      <c r="E26" s="208" t="s">
        <v>172</v>
      </c>
      <c r="F26" s="208" t="s">
        <v>173</v>
      </c>
      <c r="G26" s="207" t="s">
        <v>174</v>
      </c>
      <c r="H26" s="208" t="s">
        <v>176</v>
      </c>
      <c r="I26" s="207" t="s">
        <v>174</v>
      </c>
      <c r="J26" s="208" t="s">
        <v>177</v>
      </c>
      <c r="K26" s="207" t="s">
        <v>174</v>
      </c>
      <c r="L26" s="208" t="s">
        <v>178</v>
      </c>
      <c r="M26" s="207" t="s">
        <v>174</v>
      </c>
      <c r="N26" s="208" t="s">
        <v>157</v>
      </c>
      <c r="O26" s="207" t="s">
        <v>174</v>
      </c>
      <c r="P26" s="208" t="s">
        <v>824</v>
      </c>
      <c r="Q26" s="207" t="s">
        <v>174</v>
      </c>
    </row>
    <row r="27" spans="1:19" s="213" customFormat="1" ht="26.25" customHeight="1" thickBot="1">
      <c r="A27" s="1345" t="s">
        <v>998</v>
      </c>
      <c r="B27" s="1347"/>
      <c r="C27" s="210" t="s">
        <v>3771</v>
      </c>
      <c r="D27" s="211" t="s">
        <v>3770</v>
      </c>
      <c r="E27" s="212">
        <v>319906.33</v>
      </c>
      <c r="F27" s="75">
        <f>SUM(E27:E28)*(1-51.6%)</f>
        <v>154960.01972000001</v>
      </c>
      <c r="G27" s="987">
        <f>F27*B27</f>
        <v>0</v>
      </c>
      <c r="H27" s="73">
        <f>F27*0.03137</f>
        <v>4861.0958186164007</v>
      </c>
      <c r="I27" s="987">
        <f>H27*B27</f>
        <v>0</v>
      </c>
      <c r="J27" s="73">
        <f>F27*0.0274</f>
        <v>4245.9045403280006</v>
      </c>
      <c r="K27" s="987">
        <f>J27*B27</f>
        <v>0</v>
      </c>
      <c r="L27" s="77">
        <f>F27*0.0228</f>
        <v>3533.0884496160002</v>
      </c>
      <c r="M27" s="987">
        <f>L27*B27</f>
        <v>0</v>
      </c>
      <c r="N27" s="77">
        <f>F27*0.0204</f>
        <v>3161.1844022880005</v>
      </c>
      <c r="O27" s="987">
        <f>N27*B27</f>
        <v>0</v>
      </c>
      <c r="P27" s="77">
        <f>F27*0.0185</f>
        <v>2866.7603648200002</v>
      </c>
      <c r="Q27" s="987">
        <f>P27*B27</f>
        <v>0</v>
      </c>
    </row>
    <row r="28" spans="1:19" s="219" customFormat="1" ht="13.5" customHeight="1" thickBot="1">
      <c r="A28" s="1346"/>
      <c r="B28" s="1348"/>
      <c r="C28" s="214" t="s">
        <v>104</v>
      </c>
      <c r="D28" s="215" t="s">
        <v>180</v>
      </c>
      <c r="E28" s="216">
        <v>259</v>
      </c>
      <c r="F28" s="217" t="s">
        <v>162</v>
      </c>
      <c r="G28" s="1349"/>
      <c r="H28" s="217" t="s">
        <v>162</v>
      </c>
      <c r="I28" s="1349"/>
      <c r="J28" s="217" t="s">
        <v>162</v>
      </c>
      <c r="K28" s="1349"/>
      <c r="L28" s="218" t="s">
        <v>162</v>
      </c>
      <c r="M28" s="1350"/>
      <c r="N28" s="218" t="s">
        <v>162</v>
      </c>
      <c r="O28" s="1351"/>
      <c r="P28" s="218" t="s">
        <v>162</v>
      </c>
      <c r="Q28" s="1351"/>
    </row>
    <row r="29" spans="1:19" s="219" customFormat="1" ht="12.6" customHeight="1" thickBot="1">
      <c r="A29" s="1337" t="s">
        <v>182</v>
      </c>
      <c r="B29" s="1338"/>
      <c r="C29" s="1338"/>
      <c r="D29" s="1338"/>
      <c r="E29" s="1338"/>
      <c r="F29" s="1338"/>
      <c r="G29" s="1338"/>
      <c r="H29" s="1338"/>
      <c r="I29" s="1338"/>
      <c r="J29" s="1338"/>
      <c r="K29" s="1338"/>
      <c r="L29" s="1338"/>
      <c r="M29" s="1338"/>
      <c r="N29" s="1338"/>
      <c r="O29" s="1338"/>
      <c r="P29" s="1338"/>
      <c r="Q29" s="1339"/>
      <c r="R29" s="220"/>
      <c r="S29" s="220"/>
    </row>
    <row r="30" spans="1:19" s="219" customFormat="1" ht="26.25" thickBot="1">
      <c r="A30" s="1357"/>
      <c r="B30" s="646"/>
      <c r="C30" s="700" t="s">
        <v>796</v>
      </c>
      <c r="D30" s="701" t="s">
        <v>762</v>
      </c>
      <c r="E30" s="702">
        <v>2940</v>
      </c>
      <c r="F30" s="575">
        <f t="shared" ref="F30:F61" si="0">E30*(1-45%)</f>
        <v>1617.0000000000002</v>
      </c>
      <c r="G30" s="17">
        <f t="shared" ref="G30:G61" si="1">F30*B30</f>
        <v>0</v>
      </c>
      <c r="H30" s="15">
        <f t="shared" ref="H30:H61" si="2">F30*0.03137</f>
        <v>50.725290000000008</v>
      </c>
      <c r="I30" s="15">
        <f t="shared" ref="I30:I61" si="3">H30*B30</f>
        <v>0</v>
      </c>
      <c r="J30" s="15">
        <f t="shared" ref="J30:J61" si="4">F30*0.0274</f>
        <v>44.305800000000005</v>
      </c>
      <c r="K30" s="15">
        <f t="shared" ref="K30:K61" si="5">J30*B30</f>
        <v>0</v>
      </c>
      <c r="L30" s="15">
        <f t="shared" ref="L30:L61" si="6">F30*0.0228</f>
        <v>36.867600000000003</v>
      </c>
      <c r="M30" s="15">
        <f t="shared" ref="M30:M61" si="7">L30*B30</f>
        <v>0</v>
      </c>
      <c r="N30" s="15">
        <f t="shared" ref="N30:N61" si="8">F30*0.0204</f>
        <v>32.986800000000009</v>
      </c>
      <c r="O30" s="15">
        <f t="shared" ref="O30:O61" si="9">N30*B30</f>
        <v>0</v>
      </c>
      <c r="P30" s="15">
        <f t="shared" ref="P30:P61" si="10">H30*0.0185</f>
        <v>0.93841786500000013</v>
      </c>
      <c r="Q30" s="18">
        <f t="shared" ref="Q30:Q61" si="11">P30*B30</f>
        <v>0</v>
      </c>
      <c r="R30" s="220"/>
      <c r="S30" s="220"/>
    </row>
    <row r="31" spans="1:19" s="219" customFormat="1" ht="26.25" thickBot="1">
      <c r="A31" s="1358"/>
      <c r="B31" s="221"/>
      <c r="C31" s="234" t="s">
        <v>278</v>
      </c>
      <c r="D31" s="223" t="s">
        <v>3705</v>
      </c>
      <c r="E31" s="224">
        <v>5200</v>
      </c>
      <c r="F31" s="13">
        <f t="shared" si="0"/>
        <v>2860.0000000000005</v>
      </c>
      <c r="G31" s="16">
        <f t="shared" si="1"/>
        <v>0</v>
      </c>
      <c r="H31" s="14">
        <f t="shared" si="2"/>
        <v>89.718200000000024</v>
      </c>
      <c r="I31" s="15">
        <f t="shared" si="3"/>
        <v>0</v>
      </c>
      <c r="J31" s="15">
        <f t="shared" si="4"/>
        <v>78.364000000000019</v>
      </c>
      <c r="K31" s="15">
        <f t="shared" si="5"/>
        <v>0</v>
      </c>
      <c r="L31" s="15">
        <f t="shared" si="6"/>
        <v>65.208000000000013</v>
      </c>
      <c r="M31" s="15">
        <f t="shared" si="7"/>
        <v>0</v>
      </c>
      <c r="N31" s="15">
        <f t="shared" si="8"/>
        <v>58.344000000000015</v>
      </c>
      <c r="O31" s="15">
        <f t="shared" si="9"/>
        <v>0</v>
      </c>
      <c r="P31" s="15">
        <f t="shared" si="10"/>
        <v>1.6597867000000004</v>
      </c>
      <c r="Q31" s="18">
        <f t="shared" si="11"/>
        <v>0</v>
      </c>
      <c r="R31" s="220"/>
      <c r="S31" s="220"/>
    </row>
    <row r="32" spans="1:19" s="219" customFormat="1" ht="13.5" thickBot="1">
      <c r="A32" s="1358"/>
      <c r="B32" s="221"/>
      <c r="C32" s="234">
        <v>45206625</v>
      </c>
      <c r="D32" s="223" t="s">
        <v>3701</v>
      </c>
      <c r="E32" s="224">
        <v>418</v>
      </c>
      <c r="F32" s="13">
        <f t="shared" si="0"/>
        <v>229.9</v>
      </c>
      <c r="G32" s="16">
        <f t="shared" si="1"/>
        <v>0</v>
      </c>
      <c r="H32" s="14">
        <f t="shared" si="2"/>
        <v>7.2119630000000008</v>
      </c>
      <c r="I32" s="15">
        <f t="shared" si="3"/>
        <v>0</v>
      </c>
      <c r="J32" s="15">
        <f t="shared" si="4"/>
        <v>6.2992600000000003</v>
      </c>
      <c r="K32" s="15">
        <f t="shared" si="5"/>
        <v>0</v>
      </c>
      <c r="L32" s="15">
        <f t="shared" si="6"/>
        <v>5.2417199999999999</v>
      </c>
      <c r="M32" s="15">
        <f t="shared" si="7"/>
        <v>0</v>
      </c>
      <c r="N32" s="15">
        <f t="shared" si="8"/>
        <v>4.6899600000000001</v>
      </c>
      <c r="O32" s="15">
        <f t="shared" si="9"/>
        <v>0</v>
      </c>
      <c r="P32" s="15">
        <f t="shared" si="10"/>
        <v>0.1334213155</v>
      </c>
      <c r="Q32" s="18">
        <f t="shared" si="11"/>
        <v>0</v>
      </c>
      <c r="R32" s="220"/>
      <c r="S32" s="220"/>
    </row>
    <row r="33" spans="1:19" s="219" customFormat="1" ht="13.5" thickBot="1">
      <c r="A33" s="1358"/>
      <c r="B33" s="221"/>
      <c r="C33" s="222" t="s">
        <v>3491</v>
      </c>
      <c r="D33" s="223" t="s">
        <v>3568</v>
      </c>
      <c r="E33" s="224">
        <v>399</v>
      </c>
      <c r="F33" s="13">
        <f t="shared" si="0"/>
        <v>219.45000000000002</v>
      </c>
      <c r="G33" s="16">
        <f t="shared" si="1"/>
        <v>0</v>
      </c>
      <c r="H33" s="14">
        <f t="shared" si="2"/>
        <v>6.8841465000000008</v>
      </c>
      <c r="I33" s="15">
        <f t="shared" si="3"/>
        <v>0</v>
      </c>
      <c r="J33" s="15">
        <f t="shared" si="4"/>
        <v>6.0129300000000008</v>
      </c>
      <c r="K33" s="15">
        <f t="shared" si="5"/>
        <v>0</v>
      </c>
      <c r="L33" s="15">
        <f t="shared" si="6"/>
        <v>5.0034600000000005</v>
      </c>
      <c r="M33" s="15">
        <f t="shared" si="7"/>
        <v>0</v>
      </c>
      <c r="N33" s="15">
        <f t="shared" si="8"/>
        <v>4.4767800000000006</v>
      </c>
      <c r="O33" s="18">
        <f t="shared" si="9"/>
        <v>0</v>
      </c>
      <c r="P33" s="15">
        <f t="shared" si="10"/>
        <v>0.12735671025</v>
      </c>
      <c r="Q33" s="18">
        <f t="shared" si="11"/>
        <v>0</v>
      </c>
      <c r="R33" s="220"/>
      <c r="S33" s="220"/>
    </row>
    <row r="34" spans="1:19" s="219" customFormat="1" ht="13.5" thickBot="1">
      <c r="A34" s="1358"/>
      <c r="B34" s="221"/>
      <c r="C34" s="222" t="s">
        <v>3732</v>
      </c>
      <c r="D34" s="223" t="s">
        <v>3664</v>
      </c>
      <c r="E34" s="224">
        <v>2792.78</v>
      </c>
      <c r="F34" s="13">
        <f t="shared" si="0"/>
        <v>1536.0290000000002</v>
      </c>
      <c r="G34" s="16">
        <f t="shared" si="1"/>
        <v>0</v>
      </c>
      <c r="H34" s="14">
        <f t="shared" si="2"/>
        <v>48.18522973000001</v>
      </c>
      <c r="I34" s="15">
        <f t="shared" si="3"/>
        <v>0</v>
      </c>
      <c r="J34" s="15">
        <f t="shared" si="4"/>
        <v>42.087194600000011</v>
      </c>
      <c r="K34" s="15">
        <f t="shared" si="5"/>
        <v>0</v>
      </c>
      <c r="L34" s="15">
        <f t="shared" si="6"/>
        <v>35.021461200000005</v>
      </c>
      <c r="M34" s="15">
        <f t="shared" si="7"/>
        <v>0</v>
      </c>
      <c r="N34" s="15">
        <f t="shared" si="8"/>
        <v>31.334991600000006</v>
      </c>
      <c r="O34" s="18">
        <f t="shared" si="9"/>
        <v>0</v>
      </c>
      <c r="P34" s="15">
        <f t="shared" si="10"/>
        <v>0.89142675000500016</v>
      </c>
      <c r="Q34" s="18">
        <f t="shared" si="11"/>
        <v>0</v>
      </c>
      <c r="R34" s="220"/>
      <c r="S34" s="220"/>
    </row>
    <row r="35" spans="1:19" s="219" customFormat="1" ht="13.5" thickBot="1">
      <c r="A35" s="1358"/>
      <c r="B35" s="221"/>
      <c r="C35" s="222" t="s">
        <v>541</v>
      </c>
      <c r="D35" s="223" t="s">
        <v>3667</v>
      </c>
      <c r="E35" s="224">
        <v>10560</v>
      </c>
      <c r="F35" s="13">
        <f t="shared" si="0"/>
        <v>5808.0000000000009</v>
      </c>
      <c r="G35" s="16">
        <f t="shared" si="1"/>
        <v>0</v>
      </c>
      <c r="H35" s="14">
        <f t="shared" si="2"/>
        <v>182.19696000000005</v>
      </c>
      <c r="I35" s="15">
        <f t="shared" si="3"/>
        <v>0</v>
      </c>
      <c r="J35" s="15">
        <f t="shared" si="4"/>
        <v>159.13920000000002</v>
      </c>
      <c r="K35" s="15">
        <f t="shared" si="5"/>
        <v>0</v>
      </c>
      <c r="L35" s="15">
        <f t="shared" si="6"/>
        <v>132.42240000000004</v>
      </c>
      <c r="M35" s="15">
        <f t="shared" si="7"/>
        <v>0</v>
      </c>
      <c r="N35" s="15">
        <f t="shared" si="8"/>
        <v>118.48320000000002</v>
      </c>
      <c r="O35" s="18">
        <f t="shared" si="9"/>
        <v>0</v>
      </c>
      <c r="P35" s="15">
        <f t="shared" si="10"/>
        <v>3.3706437600000005</v>
      </c>
      <c r="Q35" s="18">
        <f t="shared" si="11"/>
        <v>0</v>
      </c>
      <c r="R35" s="220"/>
      <c r="S35" s="220"/>
    </row>
    <row r="36" spans="1:19" s="219" customFormat="1" ht="13.5" thickBot="1">
      <c r="A36" s="1358"/>
      <c r="B36" s="221"/>
      <c r="C36" s="90" t="s">
        <v>3743</v>
      </c>
      <c r="D36" s="235" t="s">
        <v>3677</v>
      </c>
      <c r="E36" s="236">
        <v>3357</v>
      </c>
      <c r="F36" s="13">
        <f t="shared" si="0"/>
        <v>1846.3500000000001</v>
      </c>
      <c r="G36" s="16">
        <f t="shared" si="1"/>
        <v>0</v>
      </c>
      <c r="H36" s="14">
        <f t="shared" si="2"/>
        <v>57.91999950000001</v>
      </c>
      <c r="I36" s="15">
        <f t="shared" si="3"/>
        <v>0</v>
      </c>
      <c r="J36" s="15">
        <f t="shared" si="4"/>
        <v>50.589990000000007</v>
      </c>
      <c r="K36" s="15">
        <f t="shared" si="5"/>
        <v>0</v>
      </c>
      <c r="L36" s="15">
        <f t="shared" si="6"/>
        <v>42.096780000000003</v>
      </c>
      <c r="M36" s="15">
        <f t="shared" si="7"/>
        <v>0</v>
      </c>
      <c r="N36" s="15">
        <f t="shared" si="8"/>
        <v>37.665540000000007</v>
      </c>
      <c r="O36" s="15">
        <f t="shared" si="9"/>
        <v>0</v>
      </c>
      <c r="P36" s="15">
        <f t="shared" si="10"/>
        <v>1.0715199907500002</v>
      </c>
      <c r="Q36" s="18">
        <f t="shared" si="11"/>
        <v>0</v>
      </c>
      <c r="R36" s="220"/>
      <c r="S36" s="220"/>
    </row>
    <row r="37" spans="1:19" s="219" customFormat="1" ht="13.5" thickBot="1">
      <c r="A37" s="1358"/>
      <c r="B37" s="221"/>
      <c r="C37" s="90" t="s">
        <v>615</v>
      </c>
      <c r="D37" s="235" t="s">
        <v>763</v>
      </c>
      <c r="E37" s="236">
        <v>4162.78</v>
      </c>
      <c r="F37" s="13">
        <f t="shared" si="0"/>
        <v>2289.529</v>
      </c>
      <c r="G37" s="17">
        <f t="shared" si="1"/>
        <v>0</v>
      </c>
      <c r="H37" s="15">
        <f t="shared" si="2"/>
        <v>71.822524729999998</v>
      </c>
      <c r="I37" s="15">
        <f t="shared" si="3"/>
        <v>0</v>
      </c>
      <c r="J37" s="15">
        <f t="shared" si="4"/>
        <v>62.733094600000001</v>
      </c>
      <c r="K37" s="15">
        <f t="shared" si="5"/>
        <v>0</v>
      </c>
      <c r="L37" s="15">
        <f t="shared" si="6"/>
        <v>52.201261200000005</v>
      </c>
      <c r="M37" s="15">
        <f t="shared" si="7"/>
        <v>0</v>
      </c>
      <c r="N37" s="15">
        <f t="shared" si="8"/>
        <v>46.706391600000003</v>
      </c>
      <c r="O37" s="15">
        <f t="shared" si="9"/>
        <v>0</v>
      </c>
      <c r="P37" s="15">
        <f t="shared" si="10"/>
        <v>1.3287167075049999</v>
      </c>
      <c r="Q37" s="18">
        <f t="shared" si="11"/>
        <v>0</v>
      </c>
      <c r="R37" s="220"/>
      <c r="S37" s="220"/>
    </row>
    <row r="38" spans="1:19" s="219" customFormat="1" ht="13.5" thickBot="1">
      <c r="A38" s="1358"/>
      <c r="B38" s="221"/>
      <c r="C38" s="90" t="s">
        <v>609</v>
      </c>
      <c r="D38" s="235" t="s">
        <v>764</v>
      </c>
      <c r="E38" s="236">
        <v>1387.59</v>
      </c>
      <c r="F38" s="13">
        <f t="shared" si="0"/>
        <v>763.17449999999997</v>
      </c>
      <c r="G38" s="16">
        <f t="shared" si="1"/>
        <v>0</v>
      </c>
      <c r="H38" s="14">
        <f t="shared" si="2"/>
        <v>23.940784064999999</v>
      </c>
      <c r="I38" s="15">
        <f t="shared" si="3"/>
        <v>0</v>
      </c>
      <c r="J38" s="15">
        <f t="shared" si="4"/>
        <v>20.9109813</v>
      </c>
      <c r="K38" s="15">
        <f t="shared" si="5"/>
        <v>0</v>
      </c>
      <c r="L38" s="15">
        <f t="shared" si="6"/>
        <v>17.4003786</v>
      </c>
      <c r="M38" s="15">
        <f t="shared" si="7"/>
        <v>0</v>
      </c>
      <c r="N38" s="15">
        <f t="shared" si="8"/>
        <v>15.5687598</v>
      </c>
      <c r="O38" s="15">
        <f t="shared" si="9"/>
        <v>0</v>
      </c>
      <c r="P38" s="15">
        <f t="shared" si="10"/>
        <v>0.44290450520249997</v>
      </c>
      <c r="Q38" s="18">
        <f t="shared" si="11"/>
        <v>0</v>
      </c>
      <c r="R38" s="220"/>
      <c r="S38" s="220"/>
    </row>
    <row r="39" spans="1:19" s="233" customFormat="1" ht="13.5" thickBot="1">
      <c r="A39" s="1358"/>
      <c r="B39" s="221"/>
      <c r="C39" s="90" t="s">
        <v>607</v>
      </c>
      <c r="D39" s="235" t="s">
        <v>765</v>
      </c>
      <c r="E39" s="236">
        <v>1387.59</v>
      </c>
      <c r="F39" s="13">
        <f t="shared" si="0"/>
        <v>763.17449999999997</v>
      </c>
      <c r="G39" s="16">
        <f t="shared" si="1"/>
        <v>0</v>
      </c>
      <c r="H39" s="14">
        <f t="shared" si="2"/>
        <v>23.940784064999999</v>
      </c>
      <c r="I39" s="15">
        <f t="shared" si="3"/>
        <v>0</v>
      </c>
      <c r="J39" s="15">
        <f t="shared" si="4"/>
        <v>20.9109813</v>
      </c>
      <c r="K39" s="15">
        <f t="shared" si="5"/>
        <v>0</v>
      </c>
      <c r="L39" s="15">
        <f t="shared" si="6"/>
        <v>17.4003786</v>
      </c>
      <c r="M39" s="15">
        <f t="shared" si="7"/>
        <v>0</v>
      </c>
      <c r="N39" s="15">
        <f t="shared" si="8"/>
        <v>15.5687598</v>
      </c>
      <c r="O39" s="18">
        <f t="shared" si="9"/>
        <v>0</v>
      </c>
      <c r="P39" s="15">
        <f t="shared" si="10"/>
        <v>0.44290450520249997</v>
      </c>
      <c r="Q39" s="18">
        <f t="shared" si="11"/>
        <v>0</v>
      </c>
      <c r="R39" s="232"/>
      <c r="S39" s="232"/>
    </row>
    <row r="40" spans="1:19" s="233" customFormat="1" ht="13.5" thickBot="1">
      <c r="A40" s="1358"/>
      <c r="B40" s="221"/>
      <c r="C40" s="90" t="s">
        <v>616</v>
      </c>
      <c r="D40" s="235" t="s">
        <v>766</v>
      </c>
      <c r="E40" s="236">
        <v>2405.16</v>
      </c>
      <c r="F40" s="13">
        <f t="shared" si="0"/>
        <v>1322.838</v>
      </c>
      <c r="G40" s="16">
        <f t="shared" si="1"/>
        <v>0</v>
      </c>
      <c r="H40" s="14">
        <f t="shared" si="2"/>
        <v>41.497428060000004</v>
      </c>
      <c r="I40" s="15">
        <f t="shared" si="3"/>
        <v>0</v>
      </c>
      <c r="J40" s="15">
        <f t="shared" si="4"/>
        <v>36.245761199999997</v>
      </c>
      <c r="K40" s="15">
        <f t="shared" si="5"/>
        <v>0</v>
      </c>
      <c r="L40" s="15">
        <f t="shared" si="6"/>
        <v>30.160706399999999</v>
      </c>
      <c r="M40" s="15">
        <f t="shared" si="7"/>
        <v>0</v>
      </c>
      <c r="N40" s="15">
        <f t="shared" si="8"/>
        <v>26.985895200000002</v>
      </c>
      <c r="O40" s="15">
        <f t="shared" si="9"/>
        <v>0</v>
      </c>
      <c r="P40" s="15">
        <f t="shared" si="10"/>
        <v>0.76770241911000003</v>
      </c>
      <c r="Q40" s="18">
        <f t="shared" si="11"/>
        <v>0</v>
      </c>
      <c r="R40" s="232"/>
      <c r="S40" s="232"/>
    </row>
    <row r="41" spans="1:19" s="233" customFormat="1" ht="13.5" thickBot="1">
      <c r="A41" s="1358"/>
      <c r="B41" s="221"/>
      <c r="C41" s="90" t="s">
        <v>608</v>
      </c>
      <c r="D41" s="235" t="s">
        <v>569</v>
      </c>
      <c r="E41" s="236">
        <v>1387.59</v>
      </c>
      <c r="F41" s="13">
        <f t="shared" si="0"/>
        <v>763.17449999999997</v>
      </c>
      <c r="G41" s="16">
        <f t="shared" si="1"/>
        <v>0</v>
      </c>
      <c r="H41" s="14">
        <f t="shared" si="2"/>
        <v>23.940784064999999</v>
      </c>
      <c r="I41" s="15">
        <f t="shared" si="3"/>
        <v>0</v>
      </c>
      <c r="J41" s="15">
        <f t="shared" si="4"/>
        <v>20.9109813</v>
      </c>
      <c r="K41" s="15">
        <f t="shared" si="5"/>
        <v>0</v>
      </c>
      <c r="L41" s="15">
        <f t="shared" si="6"/>
        <v>17.4003786</v>
      </c>
      <c r="M41" s="15">
        <f t="shared" si="7"/>
        <v>0</v>
      </c>
      <c r="N41" s="15">
        <f t="shared" si="8"/>
        <v>15.5687598</v>
      </c>
      <c r="O41" s="15">
        <f t="shared" si="9"/>
        <v>0</v>
      </c>
      <c r="P41" s="15">
        <f t="shared" si="10"/>
        <v>0.44290450520249997</v>
      </c>
      <c r="Q41" s="18">
        <f t="shared" si="11"/>
        <v>0</v>
      </c>
      <c r="R41" s="232"/>
      <c r="S41" s="232"/>
    </row>
    <row r="42" spans="1:19" s="219" customFormat="1" ht="13.5" thickBot="1">
      <c r="A42" s="1358"/>
      <c r="B42" s="221"/>
      <c r="C42" s="90" t="s">
        <v>614</v>
      </c>
      <c r="D42" s="235" t="s">
        <v>767</v>
      </c>
      <c r="E42" s="236">
        <v>3237.72</v>
      </c>
      <c r="F42" s="13">
        <f t="shared" si="0"/>
        <v>1780.7460000000001</v>
      </c>
      <c r="G42" s="16">
        <f t="shared" si="1"/>
        <v>0</v>
      </c>
      <c r="H42" s="14">
        <f t="shared" si="2"/>
        <v>55.862002020000006</v>
      </c>
      <c r="I42" s="15">
        <f t="shared" si="3"/>
        <v>0</v>
      </c>
      <c r="J42" s="15">
        <f t="shared" si="4"/>
        <v>48.792440400000004</v>
      </c>
      <c r="K42" s="15">
        <f t="shared" si="5"/>
        <v>0</v>
      </c>
      <c r="L42" s="15">
        <f t="shared" si="6"/>
        <v>40.601008800000002</v>
      </c>
      <c r="M42" s="15">
        <f t="shared" si="7"/>
        <v>0</v>
      </c>
      <c r="N42" s="15">
        <f t="shared" si="8"/>
        <v>36.327218400000007</v>
      </c>
      <c r="O42" s="15">
        <f t="shared" si="9"/>
        <v>0</v>
      </c>
      <c r="P42" s="15">
        <f t="shared" si="10"/>
        <v>1.03344703737</v>
      </c>
      <c r="Q42" s="18">
        <f t="shared" si="11"/>
        <v>0</v>
      </c>
      <c r="R42" s="220"/>
      <c r="S42" s="220"/>
    </row>
    <row r="43" spans="1:19" s="219" customFormat="1" ht="13.5" thickBot="1">
      <c r="A43" s="1358"/>
      <c r="B43" s="221"/>
      <c r="C43" s="234" t="s">
        <v>604</v>
      </c>
      <c r="D43" s="223" t="s">
        <v>768</v>
      </c>
      <c r="E43" s="224">
        <v>1461.6</v>
      </c>
      <c r="F43" s="13">
        <f t="shared" si="0"/>
        <v>803.88</v>
      </c>
      <c r="G43" s="16">
        <f t="shared" si="1"/>
        <v>0</v>
      </c>
      <c r="H43" s="14">
        <f t="shared" si="2"/>
        <v>25.217715600000002</v>
      </c>
      <c r="I43" s="15">
        <f t="shared" si="3"/>
        <v>0</v>
      </c>
      <c r="J43" s="15">
        <f t="shared" si="4"/>
        <v>22.026312000000001</v>
      </c>
      <c r="K43" s="15">
        <f t="shared" si="5"/>
        <v>0</v>
      </c>
      <c r="L43" s="15">
        <f t="shared" si="6"/>
        <v>18.328464</v>
      </c>
      <c r="M43" s="15">
        <f t="shared" si="7"/>
        <v>0</v>
      </c>
      <c r="N43" s="15">
        <f t="shared" si="8"/>
        <v>16.399152000000001</v>
      </c>
      <c r="O43" s="18">
        <f t="shared" si="9"/>
        <v>0</v>
      </c>
      <c r="P43" s="15">
        <f t="shared" si="10"/>
        <v>0.46652773860000002</v>
      </c>
      <c r="Q43" s="18">
        <f t="shared" si="11"/>
        <v>0</v>
      </c>
      <c r="R43" s="220"/>
      <c r="S43" s="220"/>
    </row>
    <row r="44" spans="1:19" s="219" customFormat="1" ht="13.5" thickBot="1">
      <c r="A44" s="1358"/>
      <c r="B44" s="221"/>
      <c r="C44" s="90" t="s">
        <v>611</v>
      </c>
      <c r="D44" s="235" t="s">
        <v>769</v>
      </c>
      <c r="E44" s="236">
        <v>1276.5899999999999</v>
      </c>
      <c r="F44" s="13">
        <f t="shared" si="0"/>
        <v>702.12450000000001</v>
      </c>
      <c r="G44" s="17">
        <f t="shared" si="1"/>
        <v>0</v>
      </c>
      <c r="H44" s="15">
        <f t="shared" si="2"/>
        <v>22.025645565000001</v>
      </c>
      <c r="I44" s="15">
        <f t="shared" si="3"/>
        <v>0</v>
      </c>
      <c r="J44" s="15">
        <f t="shared" si="4"/>
        <v>19.2382113</v>
      </c>
      <c r="K44" s="15">
        <f t="shared" si="5"/>
        <v>0</v>
      </c>
      <c r="L44" s="15">
        <f t="shared" si="6"/>
        <v>16.008438600000002</v>
      </c>
      <c r="M44" s="15">
        <f t="shared" si="7"/>
        <v>0</v>
      </c>
      <c r="N44" s="15">
        <f t="shared" si="8"/>
        <v>14.323339800000001</v>
      </c>
      <c r="O44" s="15">
        <f t="shared" si="9"/>
        <v>0</v>
      </c>
      <c r="P44" s="15">
        <f t="shared" si="10"/>
        <v>0.40747444295250002</v>
      </c>
      <c r="Q44" s="18">
        <f t="shared" si="11"/>
        <v>0</v>
      </c>
      <c r="R44" s="220"/>
      <c r="S44" s="220"/>
    </row>
    <row r="45" spans="1:19" s="219" customFormat="1" ht="13.5" thickBot="1">
      <c r="A45" s="1358"/>
      <c r="B45" s="221"/>
      <c r="C45" s="234" t="s">
        <v>617</v>
      </c>
      <c r="D45" s="223" t="s">
        <v>770</v>
      </c>
      <c r="E45" s="224">
        <v>4625.3100000000004</v>
      </c>
      <c r="F45" s="13">
        <f t="shared" si="0"/>
        <v>2543.9205000000006</v>
      </c>
      <c r="G45" s="17">
        <f t="shared" si="1"/>
        <v>0</v>
      </c>
      <c r="H45" s="15">
        <f t="shared" si="2"/>
        <v>79.802786085000022</v>
      </c>
      <c r="I45" s="15">
        <f t="shared" si="3"/>
        <v>0</v>
      </c>
      <c r="J45" s="15">
        <f t="shared" si="4"/>
        <v>69.703421700000021</v>
      </c>
      <c r="K45" s="15">
        <f t="shared" si="5"/>
        <v>0</v>
      </c>
      <c r="L45" s="15">
        <f t="shared" si="6"/>
        <v>58.001387400000013</v>
      </c>
      <c r="M45" s="15">
        <f t="shared" si="7"/>
        <v>0</v>
      </c>
      <c r="N45" s="15">
        <f t="shared" si="8"/>
        <v>51.895978200000016</v>
      </c>
      <c r="O45" s="15">
        <f t="shared" si="9"/>
        <v>0</v>
      </c>
      <c r="P45" s="15">
        <f t="shared" si="10"/>
        <v>1.4763515425725002</v>
      </c>
      <c r="Q45" s="18">
        <f t="shared" si="11"/>
        <v>0</v>
      </c>
      <c r="R45" s="220"/>
      <c r="S45" s="220"/>
    </row>
    <row r="46" spans="1:19" s="219" customFormat="1" ht="13.5" thickBot="1">
      <c r="A46" s="1358"/>
      <c r="B46" s="221"/>
      <c r="C46" s="90" t="s">
        <v>797</v>
      </c>
      <c r="D46" s="235" t="s">
        <v>771</v>
      </c>
      <c r="E46" s="236">
        <v>1480.1</v>
      </c>
      <c r="F46" s="13">
        <f t="shared" si="0"/>
        <v>814.05500000000006</v>
      </c>
      <c r="G46" s="17">
        <f t="shared" si="1"/>
        <v>0</v>
      </c>
      <c r="H46" s="15">
        <f t="shared" si="2"/>
        <v>25.536905350000005</v>
      </c>
      <c r="I46" s="15">
        <f t="shared" si="3"/>
        <v>0</v>
      </c>
      <c r="J46" s="15">
        <f t="shared" si="4"/>
        <v>22.305107000000003</v>
      </c>
      <c r="K46" s="15">
        <f t="shared" si="5"/>
        <v>0</v>
      </c>
      <c r="L46" s="15">
        <f t="shared" si="6"/>
        <v>18.560454000000004</v>
      </c>
      <c r="M46" s="15">
        <f t="shared" si="7"/>
        <v>0</v>
      </c>
      <c r="N46" s="15">
        <f t="shared" si="8"/>
        <v>16.606722000000001</v>
      </c>
      <c r="O46" s="15">
        <f t="shared" si="9"/>
        <v>0</v>
      </c>
      <c r="P46" s="15">
        <f t="shared" si="10"/>
        <v>0.47243274897500009</v>
      </c>
      <c r="Q46" s="18">
        <f t="shared" si="11"/>
        <v>0</v>
      </c>
      <c r="R46" s="220"/>
      <c r="S46" s="220"/>
    </row>
    <row r="47" spans="1:19" s="219" customFormat="1" ht="13.5" thickBot="1">
      <c r="A47" s="1358"/>
      <c r="B47" s="221"/>
      <c r="C47" s="237" t="s">
        <v>798</v>
      </c>
      <c r="D47" s="235" t="s">
        <v>772</v>
      </c>
      <c r="E47" s="236">
        <v>1480.1</v>
      </c>
      <c r="F47" s="13">
        <f t="shared" si="0"/>
        <v>814.05500000000006</v>
      </c>
      <c r="G47" s="17">
        <f t="shared" si="1"/>
        <v>0</v>
      </c>
      <c r="H47" s="15">
        <f t="shared" si="2"/>
        <v>25.536905350000005</v>
      </c>
      <c r="I47" s="15">
        <f t="shared" si="3"/>
        <v>0</v>
      </c>
      <c r="J47" s="15">
        <f t="shared" si="4"/>
        <v>22.305107000000003</v>
      </c>
      <c r="K47" s="15">
        <f t="shared" si="5"/>
        <v>0</v>
      </c>
      <c r="L47" s="15">
        <f t="shared" si="6"/>
        <v>18.560454000000004</v>
      </c>
      <c r="M47" s="15">
        <f t="shared" si="7"/>
        <v>0</v>
      </c>
      <c r="N47" s="15">
        <f t="shared" si="8"/>
        <v>16.606722000000001</v>
      </c>
      <c r="O47" s="15">
        <f t="shared" si="9"/>
        <v>0</v>
      </c>
      <c r="P47" s="15">
        <f t="shared" si="10"/>
        <v>0.47243274897500009</v>
      </c>
      <c r="Q47" s="18">
        <f t="shared" si="11"/>
        <v>0</v>
      </c>
      <c r="R47" s="220"/>
      <c r="S47" s="220"/>
    </row>
    <row r="48" spans="1:19" s="219" customFormat="1" ht="13.5" thickBot="1">
      <c r="A48" s="1358"/>
      <c r="B48" s="221"/>
      <c r="C48" s="90" t="s">
        <v>610</v>
      </c>
      <c r="D48" s="235" t="s">
        <v>773</v>
      </c>
      <c r="E48" s="236">
        <v>1461.6</v>
      </c>
      <c r="F48" s="13">
        <f t="shared" si="0"/>
        <v>803.88</v>
      </c>
      <c r="G48" s="17">
        <f t="shared" si="1"/>
        <v>0</v>
      </c>
      <c r="H48" s="15">
        <f t="shared" si="2"/>
        <v>25.217715600000002</v>
      </c>
      <c r="I48" s="15">
        <f t="shared" si="3"/>
        <v>0</v>
      </c>
      <c r="J48" s="15">
        <f t="shared" si="4"/>
        <v>22.026312000000001</v>
      </c>
      <c r="K48" s="15">
        <f t="shared" si="5"/>
        <v>0</v>
      </c>
      <c r="L48" s="15">
        <f t="shared" si="6"/>
        <v>18.328464</v>
      </c>
      <c r="M48" s="15">
        <f t="shared" si="7"/>
        <v>0</v>
      </c>
      <c r="N48" s="15">
        <f t="shared" si="8"/>
        <v>16.399152000000001</v>
      </c>
      <c r="O48" s="15">
        <f t="shared" si="9"/>
        <v>0</v>
      </c>
      <c r="P48" s="15">
        <f t="shared" si="10"/>
        <v>0.46652773860000002</v>
      </c>
      <c r="Q48" s="18">
        <f t="shared" si="11"/>
        <v>0</v>
      </c>
      <c r="R48" s="220"/>
      <c r="S48" s="220"/>
    </row>
    <row r="49" spans="1:19" s="219" customFormat="1" ht="13.5" thickBot="1">
      <c r="A49" s="1358"/>
      <c r="B49" s="221"/>
      <c r="C49" s="90" t="s">
        <v>605</v>
      </c>
      <c r="D49" s="235" t="s">
        <v>774</v>
      </c>
      <c r="E49" s="236">
        <v>1461.6</v>
      </c>
      <c r="F49" s="13">
        <f t="shared" si="0"/>
        <v>803.88</v>
      </c>
      <c r="G49" s="17">
        <f t="shared" si="1"/>
        <v>0</v>
      </c>
      <c r="H49" s="15">
        <f t="shared" si="2"/>
        <v>25.217715600000002</v>
      </c>
      <c r="I49" s="15">
        <f t="shared" si="3"/>
        <v>0</v>
      </c>
      <c r="J49" s="15">
        <f t="shared" si="4"/>
        <v>22.026312000000001</v>
      </c>
      <c r="K49" s="15">
        <f t="shared" si="5"/>
        <v>0</v>
      </c>
      <c r="L49" s="15">
        <f t="shared" si="6"/>
        <v>18.328464</v>
      </c>
      <c r="M49" s="15">
        <f t="shared" si="7"/>
        <v>0</v>
      </c>
      <c r="N49" s="15">
        <f t="shared" si="8"/>
        <v>16.399152000000001</v>
      </c>
      <c r="O49" s="18">
        <f t="shared" si="9"/>
        <v>0</v>
      </c>
      <c r="P49" s="15">
        <f t="shared" si="10"/>
        <v>0.46652773860000002</v>
      </c>
      <c r="Q49" s="18">
        <f t="shared" si="11"/>
        <v>0</v>
      </c>
      <c r="R49" s="220"/>
      <c r="S49" s="220"/>
    </row>
    <row r="50" spans="1:19" s="219" customFormat="1" ht="13.5" thickBot="1">
      <c r="A50" s="1358"/>
      <c r="B50" s="221"/>
      <c r="C50" s="90" t="s">
        <v>612</v>
      </c>
      <c r="D50" s="235" t="s">
        <v>775</v>
      </c>
      <c r="E50" s="236">
        <v>1387.59</v>
      </c>
      <c r="F50" s="13">
        <f t="shared" si="0"/>
        <v>763.17449999999997</v>
      </c>
      <c r="G50" s="17">
        <f t="shared" si="1"/>
        <v>0</v>
      </c>
      <c r="H50" s="15">
        <f t="shared" si="2"/>
        <v>23.940784064999999</v>
      </c>
      <c r="I50" s="15">
        <f t="shared" si="3"/>
        <v>0</v>
      </c>
      <c r="J50" s="15">
        <f t="shared" si="4"/>
        <v>20.9109813</v>
      </c>
      <c r="K50" s="15">
        <f t="shared" si="5"/>
        <v>0</v>
      </c>
      <c r="L50" s="15">
        <f t="shared" si="6"/>
        <v>17.4003786</v>
      </c>
      <c r="M50" s="15">
        <f t="shared" si="7"/>
        <v>0</v>
      </c>
      <c r="N50" s="15">
        <f t="shared" si="8"/>
        <v>15.5687598</v>
      </c>
      <c r="O50" s="15">
        <f t="shared" si="9"/>
        <v>0</v>
      </c>
      <c r="P50" s="15">
        <f t="shared" si="10"/>
        <v>0.44290450520249997</v>
      </c>
      <c r="Q50" s="18">
        <f t="shared" si="11"/>
        <v>0</v>
      </c>
      <c r="R50" s="220"/>
      <c r="S50" s="220"/>
    </row>
    <row r="51" spans="1:19" s="219" customFormat="1" ht="13.5" thickBot="1">
      <c r="A51" s="1358"/>
      <c r="B51" s="221"/>
      <c r="C51" s="90" t="s">
        <v>606</v>
      </c>
      <c r="D51" s="235" t="s">
        <v>776</v>
      </c>
      <c r="E51" s="236">
        <v>1461.6</v>
      </c>
      <c r="F51" s="13">
        <f t="shared" si="0"/>
        <v>803.88</v>
      </c>
      <c r="G51" s="17">
        <f t="shared" si="1"/>
        <v>0</v>
      </c>
      <c r="H51" s="15">
        <f t="shared" si="2"/>
        <v>25.217715600000002</v>
      </c>
      <c r="I51" s="15">
        <f t="shared" si="3"/>
        <v>0</v>
      </c>
      <c r="J51" s="15">
        <f t="shared" si="4"/>
        <v>22.026312000000001</v>
      </c>
      <c r="K51" s="15">
        <f t="shared" si="5"/>
        <v>0</v>
      </c>
      <c r="L51" s="15">
        <f t="shared" si="6"/>
        <v>18.328464</v>
      </c>
      <c r="M51" s="15">
        <f t="shared" si="7"/>
        <v>0</v>
      </c>
      <c r="N51" s="15">
        <f t="shared" si="8"/>
        <v>16.399152000000001</v>
      </c>
      <c r="O51" s="18">
        <f t="shared" si="9"/>
        <v>0</v>
      </c>
      <c r="P51" s="15">
        <f t="shared" si="10"/>
        <v>0.46652773860000002</v>
      </c>
      <c r="Q51" s="18">
        <f t="shared" si="11"/>
        <v>0</v>
      </c>
      <c r="R51" s="220"/>
      <c r="S51" s="220"/>
    </row>
    <row r="52" spans="1:19" s="219" customFormat="1" ht="13.5" thickBot="1">
      <c r="A52" s="1358"/>
      <c r="B52" s="221"/>
      <c r="C52" s="90" t="s">
        <v>613</v>
      </c>
      <c r="D52" s="235" t="s">
        <v>777</v>
      </c>
      <c r="E52" s="236">
        <v>1387.59</v>
      </c>
      <c r="F52" s="13">
        <f t="shared" si="0"/>
        <v>763.17449999999997</v>
      </c>
      <c r="G52" s="17">
        <f t="shared" si="1"/>
        <v>0</v>
      </c>
      <c r="H52" s="15">
        <f t="shared" si="2"/>
        <v>23.940784064999999</v>
      </c>
      <c r="I52" s="15">
        <f t="shared" si="3"/>
        <v>0</v>
      </c>
      <c r="J52" s="15">
        <f t="shared" si="4"/>
        <v>20.9109813</v>
      </c>
      <c r="K52" s="15">
        <f t="shared" si="5"/>
        <v>0</v>
      </c>
      <c r="L52" s="15">
        <f t="shared" si="6"/>
        <v>17.4003786</v>
      </c>
      <c r="M52" s="15">
        <f t="shared" si="7"/>
        <v>0</v>
      </c>
      <c r="N52" s="15">
        <f t="shared" si="8"/>
        <v>15.5687598</v>
      </c>
      <c r="O52" s="15">
        <f t="shared" si="9"/>
        <v>0</v>
      </c>
      <c r="P52" s="15">
        <f t="shared" si="10"/>
        <v>0.44290450520249997</v>
      </c>
      <c r="Q52" s="18">
        <f t="shared" si="11"/>
        <v>0</v>
      </c>
      <c r="R52" s="220"/>
      <c r="S52" s="220"/>
    </row>
    <row r="53" spans="1:19" s="219" customFormat="1" ht="13.5" thickBot="1">
      <c r="A53" s="1358"/>
      <c r="B53" s="221"/>
      <c r="C53" s="90" t="s">
        <v>3748</v>
      </c>
      <c r="D53" s="235" t="s">
        <v>3682</v>
      </c>
      <c r="E53" s="236">
        <v>10500</v>
      </c>
      <c r="F53" s="13">
        <f t="shared" si="0"/>
        <v>5775.0000000000009</v>
      </c>
      <c r="G53" s="17">
        <f t="shared" si="1"/>
        <v>0</v>
      </c>
      <c r="H53" s="15">
        <f t="shared" si="2"/>
        <v>181.16175000000004</v>
      </c>
      <c r="I53" s="15">
        <f t="shared" si="3"/>
        <v>0</v>
      </c>
      <c r="J53" s="15">
        <f t="shared" si="4"/>
        <v>158.23500000000004</v>
      </c>
      <c r="K53" s="15">
        <f t="shared" si="5"/>
        <v>0</v>
      </c>
      <c r="L53" s="15">
        <f t="shared" si="6"/>
        <v>131.67000000000002</v>
      </c>
      <c r="M53" s="15">
        <f t="shared" si="7"/>
        <v>0</v>
      </c>
      <c r="N53" s="15">
        <f t="shared" si="8"/>
        <v>117.81000000000003</v>
      </c>
      <c r="O53" s="15">
        <f t="shared" si="9"/>
        <v>0</v>
      </c>
      <c r="P53" s="15">
        <f t="shared" si="10"/>
        <v>3.3514923750000007</v>
      </c>
      <c r="Q53" s="18">
        <f t="shared" si="11"/>
        <v>0</v>
      </c>
      <c r="R53" s="220"/>
      <c r="S53" s="220"/>
    </row>
    <row r="54" spans="1:19" s="233" customFormat="1" ht="13.5" thickBot="1">
      <c r="A54" s="1358"/>
      <c r="B54" s="221"/>
      <c r="C54" s="234">
        <v>45204557</v>
      </c>
      <c r="D54" s="223" t="s">
        <v>3700</v>
      </c>
      <c r="E54" s="224">
        <v>11990</v>
      </c>
      <c r="F54" s="13">
        <f t="shared" si="0"/>
        <v>6594.5000000000009</v>
      </c>
      <c r="G54" s="17">
        <f t="shared" si="1"/>
        <v>0</v>
      </c>
      <c r="H54" s="15">
        <f t="shared" si="2"/>
        <v>206.86946500000005</v>
      </c>
      <c r="I54" s="15">
        <f t="shared" si="3"/>
        <v>0</v>
      </c>
      <c r="J54" s="15">
        <f t="shared" si="4"/>
        <v>180.68930000000003</v>
      </c>
      <c r="K54" s="15">
        <f t="shared" si="5"/>
        <v>0</v>
      </c>
      <c r="L54" s="15">
        <f t="shared" si="6"/>
        <v>150.35460000000003</v>
      </c>
      <c r="M54" s="15">
        <f t="shared" si="7"/>
        <v>0</v>
      </c>
      <c r="N54" s="15">
        <f t="shared" si="8"/>
        <v>134.52780000000004</v>
      </c>
      <c r="O54" s="15">
        <f t="shared" si="9"/>
        <v>0</v>
      </c>
      <c r="P54" s="15">
        <f t="shared" si="10"/>
        <v>3.8270851025000008</v>
      </c>
      <c r="Q54" s="18">
        <f t="shared" si="11"/>
        <v>0</v>
      </c>
      <c r="R54" s="232"/>
      <c r="S54" s="232"/>
    </row>
    <row r="55" spans="1:19" s="233" customFormat="1" ht="13.5" thickBot="1">
      <c r="A55" s="1358"/>
      <c r="B55" s="221"/>
      <c r="C55" s="234">
        <v>45204332</v>
      </c>
      <c r="D55" s="223" t="s">
        <v>3699</v>
      </c>
      <c r="E55" s="224">
        <v>13500</v>
      </c>
      <c r="F55" s="13">
        <f t="shared" si="0"/>
        <v>7425.0000000000009</v>
      </c>
      <c r="G55" s="17">
        <f t="shared" si="1"/>
        <v>0</v>
      </c>
      <c r="H55" s="15">
        <f t="shared" si="2"/>
        <v>232.92225000000005</v>
      </c>
      <c r="I55" s="15">
        <f t="shared" si="3"/>
        <v>0</v>
      </c>
      <c r="J55" s="15">
        <f t="shared" si="4"/>
        <v>203.44500000000002</v>
      </c>
      <c r="K55" s="15">
        <f t="shared" si="5"/>
        <v>0</v>
      </c>
      <c r="L55" s="15">
        <f t="shared" si="6"/>
        <v>169.29000000000002</v>
      </c>
      <c r="M55" s="15">
        <f t="shared" si="7"/>
        <v>0</v>
      </c>
      <c r="N55" s="15">
        <f t="shared" si="8"/>
        <v>151.47000000000003</v>
      </c>
      <c r="O55" s="15">
        <f t="shared" si="9"/>
        <v>0</v>
      </c>
      <c r="P55" s="15">
        <f t="shared" si="10"/>
        <v>4.3090616250000009</v>
      </c>
      <c r="Q55" s="18">
        <f t="shared" si="11"/>
        <v>0</v>
      </c>
      <c r="R55" s="232"/>
      <c r="S55" s="232"/>
    </row>
    <row r="56" spans="1:19" s="233" customFormat="1" ht="13.5" thickBot="1">
      <c r="A56" s="1358"/>
      <c r="B56" s="221"/>
      <c r="C56" s="222" t="s">
        <v>3712</v>
      </c>
      <c r="D56" s="223" t="s">
        <v>3648</v>
      </c>
      <c r="E56" s="224">
        <v>1375</v>
      </c>
      <c r="F56" s="13">
        <f t="shared" si="0"/>
        <v>756.25000000000011</v>
      </c>
      <c r="G56" s="17">
        <f t="shared" si="1"/>
        <v>0</v>
      </c>
      <c r="H56" s="15">
        <f t="shared" si="2"/>
        <v>23.723562500000003</v>
      </c>
      <c r="I56" s="15">
        <f t="shared" si="3"/>
        <v>0</v>
      </c>
      <c r="J56" s="15">
        <f t="shared" si="4"/>
        <v>20.721250000000005</v>
      </c>
      <c r="K56" s="15">
        <f t="shared" si="5"/>
        <v>0</v>
      </c>
      <c r="L56" s="15">
        <f t="shared" si="6"/>
        <v>17.242500000000003</v>
      </c>
      <c r="M56" s="15">
        <f t="shared" si="7"/>
        <v>0</v>
      </c>
      <c r="N56" s="15">
        <f t="shared" si="8"/>
        <v>15.427500000000004</v>
      </c>
      <c r="O56" s="18">
        <f t="shared" si="9"/>
        <v>0</v>
      </c>
      <c r="P56" s="15">
        <f t="shared" si="10"/>
        <v>0.43888590625000007</v>
      </c>
      <c r="Q56" s="18">
        <f t="shared" si="11"/>
        <v>0</v>
      </c>
      <c r="R56" s="232"/>
      <c r="S56" s="232"/>
    </row>
    <row r="57" spans="1:19" s="219" customFormat="1" ht="13.5" thickBot="1">
      <c r="A57" s="1358"/>
      <c r="B57" s="221"/>
      <c r="C57" s="90" t="s">
        <v>3723</v>
      </c>
      <c r="D57" s="235" t="s">
        <v>3659</v>
      </c>
      <c r="E57" s="236">
        <v>148.88999999999999</v>
      </c>
      <c r="F57" s="13">
        <f t="shared" si="0"/>
        <v>81.889499999999998</v>
      </c>
      <c r="G57" s="17">
        <f t="shared" si="1"/>
        <v>0</v>
      </c>
      <c r="H57" s="15">
        <f t="shared" si="2"/>
        <v>2.5688736150000002</v>
      </c>
      <c r="I57" s="15">
        <f t="shared" si="3"/>
        <v>0</v>
      </c>
      <c r="J57" s="15">
        <f t="shared" si="4"/>
        <v>2.2437722999999998</v>
      </c>
      <c r="K57" s="15">
        <f t="shared" si="5"/>
        <v>0</v>
      </c>
      <c r="L57" s="15">
        <f t="shared" si="6"/>
        <v>1.8670806</v>
      </c>
      <c r="M57" s="15">
        <f t="shared" si="7"/>
        <v>0</v>
      </c>
      <c r="N57" s="15">
        <f t="shared" si="8"/>
        <v>1.6705458000000002</v>
      </c>
      <c r="O57" s="15">
        <f t="shared" si="9"/>
        <v>0</v>
      </c>
      <c r="P57" s="15">
        <f t="shared" si="10"/>
        <v>4.7524161877499999E-2</v>
      </c>
      <c r="Q57" s="18">
        <f t="shared" si="11"/>
        <v>0</v>
      </c>
      <c r="R57" s="220"/>
      <c r="S57" s="220"/>
    </row>
    <row r="58" spans="1:19" s="219" customFormat="1" ht="13.5" thickBot="1">
      <c r="A58" s="1358"/>
      <c r="B58" s="221"/>
      <c r="C58" s="90" t="s">
        <v>3718</v>
      </c>
      <c r="D58" s="235" t="s">
        <v>3654</v>
      </c>
      <c r="E58" s="236">
        <v>137.11000000000001</v>
      </c>
      <c r="F58" s="13">
        <f t="shared" si="0"/>
        <v>75.410500000000013</v>
      </c>
      <c r="G58" s="16">
        <f t="shared" si="1"/>
        <v>0</v>
      </c>
      <c r="H58" s="14">
        <f t="shared" si="2"/>
        <v>2.3656273850000007</v>
      </c>
      <c r="I58" s="15">
        <f t="shared" si="3"/>
        <v>0</v>
      </c>
      <c r="J58" s="15">
        <f t="shared" si="4"/>
        <v>2.0662477000000004</v>
      </c>
      <c r="K58" s="15">
        <f t="shared" si="5"/>
        <v>0</v>
      </c>
      <c r="L58" s="15">
        <f t="shared" si="6"/>
        <v>1.7193594000000003</v>
      </c>
      <c r="M58" s="15">
        <f t="shared" si="7"/>
        <v>0</v>
      </c>
      <c r="N58" s="15">
        <f t="shared" si="8"/>
        <v>1.5383742000000005</v>
      </c>
      <c r="O58" s="15">
        <f t="shared" si="9"/>
        <v>0</v>
      </c>
      <c r="P58" s="15">
        <f t="shared" si="10"/>
        <v>4.3764106622500014E-2</v>
      </c>
      <c r="Q58" s="18">
        <f t="shared" si="11"/>
        <v>0</v>
      </c>
      <c r="R58" s="220"/>
      <c r="S58" s="220"/>
    </row>
    <row r="59" spans="1:19" s="219" customFormat="1" ht="13.5" thickBot="1">
      <c r="A59" s="1358"/>
      <c r="B59" s="221"/>
      <c r="C59" s="90" t="s">
        <v>3713</v>
      </c>
      <c r="D59" s="235" t="s">
        <v>3649</v>
      </c>
      <c r="E59" s="236">
        <v>135.78</v>
      </c>
      <c r="F59" s="13">
        <f t="shared" si="0"/>
        <v>74.679000000000002</v>
      </c>
      <c r="G59" s="17">
        <f t="shared" si="1"/>
        <v>0</v>
      </c>
      <c r="H59" s="15">
        <f t="shared" si="2"/>
        <v>2.34268023</v>
      </c>
      <c r="I59" s="15">
        <f t="shared" si="3"/>
        <v>0</v>
      </c>
      <c r="J59" s="15">
        <f t="shared" si="4"/>
        <v>2.0462046000000003</v>
      </c>
      <c r="K59" s="15">
        <f t="shared" si="5"/>
        <v>0</v>
      </c>
      <c r="L59" s="15">
        <f t="shared" si="6"/>
        <v>1.7026812</v>
      </c>
      <c r="M59" s="15">
        <f t="shared" si="7"/>
        <v>0</v>
      </c>
      <c r="N59" s="15">
        <f t="shared" si="8"/>
        <v>1.5234516000000002</v>
      </c>
      <c r="O59" s="18">
        <f t="shared" si="9"/>
        <v>0</v>
      </c>
      <c r="P59" s="15">
        <f t="shared" si="10"/>
        <v>4.3339584255000001E-2</v>
      </c>
      <c r="Q59" s="18">
        <f t="shared" si="11"/>
        <v>0</v>
      </c>
      <c r="R59" s="220"/>
      <c r="S59" s="220"/>
    </row>
    <row r="60" spans="1:19" s="219" customFormat="1" ht="13.5" thickBot="1">
      <c r="A60" s="1358"/>
      <c r="B60" s="221"/>
      <c r="C60" s="90" t="s">
        <v>3714</v>
      </c>
      <c r="D60" s="235" t="s">
        <v>3650</v>
      </c>
      <c r="E60" s="236">
        <v>118.16</v>
      </c>
      <c r="F60" s="13">
        <f t="shared" si="0"/>
        <v>64.988</v>
      </c>
      <c r="G60" s="17">
        <f t="shared" si="1"/>
        <v>0</v>
      </c>
      <c r="H60" s="15">
        <f t="shared" si="2"/>
        <v>2.0386735600000003</v>
      </c>
      <c r="I60" s="15">
        <f t="shared" si="3"/>
        <v>0</v>
      </c>
      <c r="J60" s="15">
        <f t="shared" si="4"/>
        <v>1.7806712</v>
      </c>
      <c r="K60" s="15">
        <f t="shared" si="5"/>
        <v>0</v>
      </c>
      <c r="L60" s="15">
        <f t="shared" si="6"/>
        <v>1.4817264000000001</v>
      </c>
      <c r="M60" s="15">
        <f t="shared" si="7"/>
        <v>0</v>
      </c>
      <c r="N60" s="15">
        <f t="shared" si="8"/>
        <v>1.3257552000000001</v>
      </c>
      <c r="O60" s="18">
        <f t="shared" si="9"/>
        <v>0</v>
      </c>
      <c r="P60" s="15">
        <f t="shared" si="10"/>
        <v>3.7715460860000001E-2</v>
      </c>
      <c r="Q60" s="18">
        <f t="shared" si="11"/>
        <v>0</v>
      </c>
      <c r="R60" s="220"/>
      <c r="S60" s="220"/>
    </row>
    <row r="61" spans="1:19" s="219" customFormat="1" ht="13.5" thickBot="1">
      <c r="A61" s="1358"/>
      <c r="B61" s="221"/>
      <c r="C61" s="237" t="s">
        <v>3724</v>
      </c>
      <c r="D61" s="235" t="s">
        <v>3660</v>
      </c>
      <c r="E61" s="236">
        <v>129.36000000000001</v>
      </c>
      <c r="F61" s="13">
        <f t="shared" si="0"/>
        <v>71.14800000000001</v>
      </c>
      <c r="G61" s="17">
        <f t="shared" si="1"/>
        <v>0</v>
      </c>
      <c r="H61" s="15">
        <f t="shared" si="2"/>
        <v>2.2319127600000006</v>
      </c>
      <c r="I61" s="15">
        <f t="shared" si="3"/>
        <v>0</v>
      </c>
      <c r="J61" s="15">
        <f t="shared" si="4"/>
        <v>1.9494552000000003</v>
      </c>
      <c r="K61" s="15">
        <f t="shared" si="5"/>
        <v>0</v>
      </c>
      <c r="L61" s="15">
        <f t="shared" si="6"/>
        <v>1.6221744000000002</v>
      </c>
      <c r="M61" s="15">
        <f t="shared" si="7"/>
        <v>0</v>
      </c>
      <c r="N61" s="15">
        <f t="shared" si="8"/>
        <v>1.4514192000000004</v>
      </c>
      <c r="O61" s="15">
        <f t="shared" si="9"/>
        <v>0</v>
      </c>
      <c r="P61" s="15">
        <f t="shared" si="10"/>
        <v>4.129038606000001E-2</v>
      </c>
      <c r="Q61" s="18">
        <f t="shared" si="11"/>
        <v>0</v>
      </c>
      <c r="R61" s="220"/>
      <c r="S61" s="220"/>
    </row>
    <row r="62" spans="1:19" s="219" customFormat="1" ht="13.5" thickBot="1">
      <c r="A62" s="1358"/>
      <c r="B62" s="221"/>
      <c r="C62" s="90" t="s">
        <v>3719</v>
      </c>
      <c r="D62" s="235" t="s">
        <v>3655</v>
      </c>
      <c r="E62" s="236">
        <v>119.31</v>
      </c>
      <c r="F62" s="13">
        <f t="shared" ref="F62:F93" si="12">E62*(1-45%)</f>
        <v>65.620500000000007</v>
      </c>
      <c r="G62" s="17">
        <f t="shared" ref="G62:G93" si="13">F62*B62</f>
        <v>0</v>
      </c>
      <c r="H62" s="15">
        <f t="shared" ref="H62:H93" si="14">F62*0.03137</f>
        <v>2.0585150850000002</v>
      </c>
      <c r="I62" s="15">
        <f t="shared" ref="I62:I93" si="15">H62*B62</f>
        <v>0</v>
      </c>
      <c r="J62" s="15">
        <f t="shared" ref="J62:J93" si="16">F62*0.0274</f>
        <v>1.7980017000000001</v>
      </c>
      <c r="K62" s="15">
        <f t="shared" ref="K62:K93" si="17">J62*B62</f>
        <v>0</v>
      </c>
      <c r="L62" s="15">
        <f t="shared" ref="L62:L93" si="18">F62*0.0228</f>
        <v>1.4961474000000001</v>
      </c>
      <c r="M62" s="15">
        <f t="shared" ref="M62:M93" si="19">L62*B62</f>
        <v>0</v>
      </c>
      <c r="N62" s="15">
        <f t="shared" ref="N62:N93" si="20">F62*0.0204</f>
        <v>1.3386582000000002</v>
      </c>
      <c r="O62" s="15">
        <f t="shared" ref="O62:O93" si="21">N62*B62</f>
        <v>0</v>
      </c>
      <c r="P62" s="15">
        <f t="shared" ref="P62:P93" si="22">H62*0.0185</f>
        <v>3.8082529072500003E-2</v>
      </c>
      <c r="Q62" s="18">
        <f t="shared" ref="Q62:Q93" si="23">P62*B62</f>
        <v>0</v>
      </c>
      <c r="R62" s="220"/>
      <c r="S62" s="220"/>
    </row>
    <row r="63" spans="1:19" s="219" customFormat="1" ht="13.5" thickBot="1">
      <c r="A63" s="1358"/>
      <c r="B63" s="221"/>
      <c r="C63" s="90" t="s">
        <v>3715</v>
      </c>
      <c r="D63" s="235" t="s">
        <v>3651</v>
      </c>
      <c r="E63" s="236">
        <v>109.37</v>
      </c>
      <c r="F63" s="13">
        <f t="shared" si="12"/>
        <v>60.153500000000008</v>
      </c>
      <c r="G63" s="17">
        <f t="shared" si="13"/>
        <v>0</v>
      </c>
      <c r="H63" s="15">
        <f t="shared" si="14"/>
        <v>1.8870152950000003</v>
      </c>
      <c r="I63" s="15">
        <f t="shared" si="15"/>
        <v>0</v>
      </c>
      <c r="J63" s="15">
        <f t="shared" si="16"/>
        <v>1.6482059000000002</v>
      </c>
      <c r="K63" s="15">
        <f t="shared" si="17"/>
        <v>0</v>
      </c>
      <c r="L63" s="15">
        <f t="shared" si="18"/>
        <v>1.3714998000000003</v>
      </c>
      <c r="M63" s="15">
        <f t="shared" si="19"/>
        <v>0</v>
      </c>
      <c r="N63" s="15">
        <f t="shared" si="20"/>
        <v>1.2271314000000002</v>
      </c>
      <c r="O63" s="18">
        <f t="shared" si="21"/>
        <v>0</v>
      </c>
      <c r="P63" s="15">
        <f t="shared" si="22"/>
        <v>3.4909782957500003E-2</v>
      </c>
      <c r="Q63" s="18">
        <f t="shared" si="23"/>
        <v>0</v>
      </c>
      <c r="R63" s="220"/>
      <c r="S63" s="220"/>
    </row>
    <row r="64" spans="1:19" s="219" customFormat="1" ht="13.5" thickBot="1">
      <c r="A64" s="1358"/>
      <c r="B64" s="221"/>
      <c r="C64" s="90" t="s">
        <v>3725</v>
      </c>
      <c r="D64" s="235" t="s">
        <v>3661</v>
      </c>
      <c r="E64" s="236">
        <v>119.54</v>
      </c>
      <c r="F64" s="13">
        <f t="shared" si="12"/>
        <v>65.747000000000014</v>
      </c>
      <c r="G64" s="17">
        <f t="shared" si="13"/>
        <v>0</v>
      </c>
      <c r="H64" s="15">
        <f t="shared" si="14"/>
        <v>2.0624833900000006</v>
      </c>
      <c r="I64" s="15">
        <f t="shared" si="15"/>
        <v>0</v>
      </c>
      <c r="J64" s="15">
        <f t="shared" si="16"/>
        <v>1.8014678000000004</v>
      </c>
      <c r="K64" s="15">
        <f t="shared" si="17"/>
        <v>0</v>
      </c>
      <c r="L64" s="15">
        <f t="shared" si="18"/>
        <v>1.4990316000000004</v>
      </c>
      <c r="M64" s="15">
        <f t="shared" si="19"/>
        <v>0</v>
      </c>
      <c r="N64" s="15">
        <f t="shared" si="20"/>
        <v>1.3412388000000004</v>
      </c>
      <c r="O64" s="15">
        <f t="shared" si="21"/>
        <v>0</v>
      </c>
      <c r="P64" s="15">
        <f t="shared" si="22"/>
        <v>3.8155942715000009E-2</v>
      </c>
      <c r="Q64" s="18">
        <f t="shared" si="23"/>
        <v>0</v>
      </c>
      <c r="R64" s="220"/>
      <c r="S64" s="220"/>
    </row>
    <row r="65" spans="1:19" s="219" customFormat="1" ht="13.5" thickBot="1">
      <c r="A65" s="1358"/>
      <c r="B65" s="221"/>
      <c r="C65" s="90" t="s">
        <v>3720</v>
      </c>
      <c r="D65" s="235" t="s">
        <v>3656</v>
      </c>
      <c r="E65" s="236">
        <v>110.47</v>
      </c>
      <c r="F65" s="13">
        <f t="shared" si="12"/>
        <v>60.758500000000005</v>
      </c>
      <c r="G65" s="17">
        <f t="shared" si="13"/>
        <v>0</v>
      </c>
      <c r="H65" s="15">
        <f t="shared" si="14"/>
        <v>1.9059941450000002</v>
      </c>
      <c r="I65" s="15">
        <f t="shared" si="15"/>
        <v>0</v>
      </c>
      <c r="J65" s="15">
        <f t="shared" si="16"/>
        <v>1.6647829000000003</v>
      </c>
      <c r="K65" s="15">
        <f t="shared" si="17"/>
        <v>0</v>
      </c>
      <c r="L65" s="15">
        <f t="shared" si="18"/>
        <v>1.3852938000000001</v>
      </c>
      <c r="M65" s="15">
        <f t="shared" si="19"/>
        <v>0</v>
      </c>
      <c r="N65" s="15">
        <f t="shared" si="20"/>
        <v>1.2394734000000003</v>
      </c>
      <c r="O65" s="15">
        <f t="shared" si="21"/>
        <v>0</v>
      </c>
      <c r="P65" s="15">
        <f t="shared" si="22"/>
        <v>3.5260891682500003E-2</v>
      </c>
      <c r="Q65" s="18">
        <f t="shared" si="23"/>
        <v>0</v>
      </c>
      <c r="R65" s="220"/>
      <c r="S65" s="220"/>
    </row>
    <row r="66" spans="1:19" s="219" customFormat="1" ht="13.5" thickBot="1">
      <c r="A66" s="1358"/>
      <c r="B66" s="221"/>
      <c r="C66" s="90" t="s">
        <v>3716</v>
      </c>
      <c r="D66" s="235" t="s">
        <v>3652</v>
      </c>
      <c r="E66" s="236">
        <v>107.18</v>
      </c>
      <c r="F66" s="13">
        <f t="shared" si="12"/>
        <v>58.949000000000005</v>
      </c>
      <c r="G66" s="17">
        <f t="shared" si="13"/>
        <v>0</v>
      </c>
      <c r="H66" s="15">
        <f t="shared" si="14"/>
        <v>1.8492301300000002</v>
      </c>
      <c r="I66" s="15">
        <f t="shared" si="15"/>
        <v>0</v>
      </c>
      <c r="J66" s="15">
        <f t="shared" si="16"/>
        <v>1.6152026000000002</v>
      </c>
      <c r="K66" s="15">
        <f t="shared" si="17"/>
        <v>0</v>
      </c>
      <c r="L66" s="15">
        <f t="shared" si="18"/>
        <v>1.3440372000000003</v>
      </c>
      <c r="M66" s="15">
        <f t="shared" si="19"/>
        <v>0</v>
      </c>
      <c r="N66" s="15">
        <f t="shared" si="20"/>
        <v>1.2025596000000003</v>
      </c>
      <c r="O66" s="15">
        <f t="shared" si="21"/>
        <v>0</v>
      </c>
      <c r="P66" s="15">
        <f t="shared" si="22"/>
        <v>3.4210757405E-2</v>
      </c>
      <c r="Q66" s="18">
        <f t="shared" si="23"/>
        <v>0</v>
      </c>
      <c r="R66" s="220"/>
      <c r="S66" s="220"/>
    </row>
    <row r="67" spans="1:19" s="219" customFormat="1" ht="13.5" thickBot="1">
      <c r="A67" s="1358"/>
      <c r="B67" s="221"/>
      <c r="C67" s="90" t="s">
        <v>3726</v>
      </c>
      <c r="D67" s="235" t="s">
        <v>3662</v>
      </c>
      <c r="E67" s="236">
        <v>117.23</v>
      </c>
      <c r="F67" s="13">
        <f t="shared" si="12"/>
        <v>64.476500000000001</v>
      </c>
      <c r="G67" s="17">
        <f t="shared" si="13"/>
        <v>0</v>
      </c>
      <c r="H67" s="15">
        <f t="shared" si="14"/>
        <v>2.0226278050000004</v>
      </c>
      <c r="I67" s="15">
        <f t="shared" si="15"/>
        <v>0</v>
      </c>
      <c r="J67" s="15">
        <f t="shared" si="16"/>
        <v>1.7666561000000001</v>
      </c>
      <c r="K67" s="15">
        <f t="shared" si="17"/>
        <v>0</v>
      </c>
      <c r="L67" s="15">
        <f t="shared" si="18"/>
        <v>1.4700642000000002</v>
      </c>
      <c r="M67" s="15">
        <f t="shared" si="19"/>
        <v>0</v>
      </c>
      <c r="N67" s="15">
        <f t="shared" si="20"/>
        <v>1.3153206000000002</v>
      </c>
      <c r="O67" s="15">
        <f t="shared" si="21"/>
        <v>0</v>
      </c>
      <c r="P67" s="15">
        <f t="shared" si="22"/>
        <v>3.7418614392500008E-2</v>
      </c>
      <c r="Q67" s="18">
        <f t="shared" si="23"/>
        <v>0</v>
      </c>
      <c r="R67" s="220"/>
      <c r="S67" s="220"/>
    </row>
    <row r="68" spans="1:19" s="219" customFormat="1" ht="13.5" thickBot="1">
      <c r="A68" s="1358"/>
      <c r="B68" s="221"/>
      <c r="C68" s="90" t="s">
        <v>3721</v>
      </c>
      <c r="D68" s="235" t="s">
        <v>3657</v>
      </c>
      <c r="E68" s="236">
        <v>108.22</v>
      </c>
      <c r="F68" s="13">
        <f t="shared" si="12"/>
        <v>59.521000000000001</v>
      </c>
      <c r="G68" s="17">
        <f t="shared" si="13"/>
        <v>0</v>
      </c>
      <c r="H68" s="15">
        <f t="shared" si="14"/>
        <v>1.8671737700000002</v>
      </c>
      <c r="I68" s="15">
        <f t="shared" si="15"/>
        <v>0</v>
      </c>
      <c r="J68" s="15">
        <f t="shared" si="16"/>
        <v>1.6308754000000001</v>
      </c>
      <c r="K68" s="15">
        <f t="shared" si="17"/>
        <v>0</v>
      </c>
      <c r="L68" s="15">
        <f t="shared" si="18"/>
        <v>1.3570788</v>
      </c>
      <c r="M68" s="15">
        <f t="shared" si="19"/>
        <v>0</v>
      </c>
      <c r="N68" s="15">
        <f t="shared" si="20"/>
        <v>1.2142284000000001</v>
      </c>
      <c r="O68" s="15">
        <f t="shared" si="21"/>
        <v>0</v>
      </c>
      <c r="P68" s="15">
        <f t="shared" si="22"/>
        <v>3.4542714745000001E-2</v>
      </c>
      <c r="Q68" s="18">
        <f t="shared" si="23"/>
        <v>0</v>
      </c>
      <c r="R68" s="220"/>
      <c r="S68" s="220"/>
    </row>
    <row r="69" spans="1:19" s="219" customFormat="1" ht="13.5" thickBot="1">
      <c r="A69" s="1358"/>
      <c r="B69" s="221"/>
      <c r="C69" s="90" t="s">
        <v>3717</v>
      </c>
      <c r="D69" s="235" t="s">
        <v>3653</v>
      </c>
      <c r="E69" s="236">
        <v>98.34</v>
      </c>
      <c r="F69" s="13">
        <f t="shared" si="12"/>
        <v>54.087000000000003</v>
      </c>
      <c r="G69" s="17">
        <f t="shared" si="13"/>
        <v>0</v>
      </c>
      <c r="H69" s="15">
        <f t="shared" si="14"/>
        <v>1.6967091900000002</v>
      </c>
      <c r="I69" s="15">
        <f t="shared" si="15"/>
        <v>0</v>
      </c>
      <c r="J69" s="15">
        <f t="shared" si="16"/>
        <v>1.4819838000000001</v>
      </c>
      <c r="K69" s="15">
        <f t="shared" si="17"/>
        <v>0</v>
      </c>
      <c r="L69" s="15">
        <f t="shared" si="18"/>
        <v>1.2331836</v>
      </c>
      <c r="M69" s="15">
        <f t="shared" si="19"/>
        <v>0</v>
      </c>
      <c r="N69" s="15">
        <f t="shared" si="20"/>
        <v>1.1033748000000001</v>
      </c>
      <c r="O69" s="15">
        <f t="shared" si="21"/>
        <v>0</v>
      </c>
      <c r="P69" s="15">
        <f t="shared" si="22"/>
        <v>3.1389120015000001E-2</v>
      </c>
      <c r="Q69" s="18">
        <f t="shared" si="23"/>
        <v>0</v>
      </c>
      <c r="R69" s="220"/>
      <c r="S69" s="220"/>
    </row>
    <row r="70" spans="1:19" s="219" customFormat="1" ht="13.5" thickBot="1">
      <c r="A70" s="1358"/>
      <c r="B70" s="221"/>
      <c r="C70" s="234" t="s">
        <v>3727</v>
      </c>
      <c r="D70" s="223" t="s">
        <v>3663</v>
      </c>
      <c r="E70" s="224">
        <v>107.47</v>
      </c>
      <c r="F70" s="13">
        <f t="shared" si="12"/>
        <v>59.108500000000006</v>
      </c>
      <c r="G70" s="17">
        <f t="shared" si="13"/>
        <v>0</v>
      </c>
      <c r="H70" s="15">
        <f t="shared" si="14"/>
        <v>1.8542336450000003</v>
      </c>
      <c r="I70" s="15">
        <f t="shared" si="15"/>
        <v>0</v>
      </c>
      <c r="J70" s="15">
        <f t="shared" si="16"/>
        <v>1.6195729000000003</v>
      </c>
      <c r="K70" s="15">
        <f t="shared" si="17"/>
        <v>0</v>
      </c>
      <c r="L70" s="15">
        <f t="shared" si="18"/>
        <v>1.3476738000000001</v>
      </c>
      <c r="M70" s="15">
        <f t="shared" si="19"/>
        <v>0</v>
      </c>
      <c r="N70" s="15">
        <f t="shared" si="20"/>
        <v>1.2058134000000003</v>
      </c>
      <c r="O70" s="15">
        <f t="shared" si="21"/>
        <v>0</v>
      </c>
      <c r="P70" s="15">
        <f t="shared" si="22"/>
        <v>3.4303322432500005E-2</v>
      </c>
      <c r="Q70" s="18">
        <f t="shared" si="23"/>
        <v>0</v>
      </c>
      <c r="R70" s="220"/>
      <c r="S70" s="220"/>
    </row>
    <row r="71" spans="1:19" s="219" customFormat="1" ht="13.5" thickBot="1">
      <c r="A71" s="1358"/>
      <c r="B71" s="221"/>
      <c r="C71" s="90" t="s">
        <v>3722</v>
      </c>
      <c r="D71" s="235" t="s">
        <v>3658</v>
      </c>
      <c r="E71" s="236">
        <v>99.15</v>
      </c>
      <c r="F71" s="13">
        <f t="shared" si="12"/>
        <v>54.532500000000006</v>
      </c>
      <c r="G71" s="17">
        <f t="shared" si="13"/>
        <v>0</v>
      </c>
      <c r="H71" s="15">
        <f t="shared" si="14"/>
        <v>1.7106845250000002</v>
      </c>
      <c r="I71" s="15">
        <f t="shared" si="15"/>
        <v>0</v>
      </c>
      <c r="J71" s="15">
        <f t="shared" si="16"/>
        <v>1.4941905000000002</v>
      </c>
      <c r="K71" s="15">
        <f t="shared" si="17"/>
        <v>0</v>
      </c>
      <c r="L71" s="15">
        <f t="shared" si="18"/>
        <v>1.2433410000000003</v>
      </c>
      <c r="M71" s="15">
        <f t="shared" si="19"/>
        <v>0</v>
      </c>
      <c r="N71" s="15">
        <f t="shared" si="20"/>
        <v>1.1124630000000002</v>
      </c>
      <c r="O71" s="15">
        <f t="shared" si="21"/>
        <v>0</v>
      </c>
      <c r="P71" s="15">
        <f t="shared" si="22"/>
        <v>3.1647663712500003E-2</v>
      </c>
      <c r="Q71" s="18">
        <f t="shared" si="23"/>
        <v>0</v>
      </c>
      <c r="R71" s="220"/>
      <c r="S71" s="220"/>
    </row>
    <row r="72" spans="1:19" s="219" customFormat="1" ht="13.5" thickBot="1">
      <c r="A72" s="1358"/>
      <c r="B72" s="221"/>
      <c r="C72" s="234" t="s">
        <v>3753</v>
      </c>
      <c r="D72" s="223" t="s">
        <v>3688</v>
      </c>
      <c r="E72" s="224">
        <v>1315.86</v>
      </c>
      <c r="F72" s="13">
        <f t="shared" si="12"/>
        <v>723.72299999999996</v>
      </c>
      <c r="G72" s="17">
        <f t="shared" si="13"/>
        <v>0</v>
      </c>
      <c r="H72" s="15">
        <f t="shared" si="14"/>
        <v>22.703190509999999</v>
      </c>
      <c r="I72" s="15">
        <f t="shared" si="15"/>
        <v>0</v>
      </c>
      <c r="J72" s="15">
        <f t="shared" si="16"/>
        <v>19.8300102</v>
      </c>
      <c r="K72" s="15">
        <f t="shared" si="17"/>
        <v>0</v>
      </c>
      <c r="L72" s="15">
        <f t="shared" si="18"/>
        <v>16.5008844</v>
      </c>
      <c r="M72" s="15">
        <f t="shared" si="19"/>
        <v>0</v>
      </c>
      <c r="N72" s="15">
        <f t="shared" si="20"/>
        <v>14.763949200000001</v>
      </c>
      <c r="O72" s="15">
        <f t="shared" si="21"/>
        <v>0</v>
      </c>
      <c r="P72" s="15">
        <f t="shared" si="22"/>
        <v>0.42000902443499993</v>
      </c>
      <c r="Q72" s="18">
        <f t="shared" si="23"/>
        <v>0</v>
      </c>
      <c r="R72" s="220"/>
      <c r="S72" s="220"/>
    </row>
    <row r="73" spans="1:19" s="219" customFormat="1" ht="13.5" thickBot="1">
      <c r="A73" s="1358"/>
      <c r="B73" s="221"/>
      <c r="C73" s="234" t="s">
        <v>277</v>
      </c>
      <c r="D73" s="223" t="s">
        <v>3704</v>
      </c>
      <c r="E73" s="224">
        <v>5200</v>
      </c>
      <c r="F73" s="13">
        <f t="shared" si="12"/>
        <v>2860.0000000000005</v>
      </c>
      <c r="G73" s="16">
        <f t="shared" si="13"/>
        <v>0</v>
      </c>
      <c r="H73" s="14">
        <f t="shared" si="14"/>
        <v>89.718200000000024</v>
      </c>
      <c r="I73" s="15">
        <f t="shared" si="15"/>
        <v>0</v>
      </c>
      <c r="J73" s="15">
        <f t="shared" si="16"/>
        <v>78.364000000000019</v>
      </c>
      <c r="K73" s="15">
        <f t="shared" si="17"/>
        <v>0</v>
      </c>
      <c r="L73" s="15">
        <f t="shared" si="18"/>
        <v>65.208000000000013</v>
      </c>
      <c r="M73" s="15">
        <f t="shared" si="19"/>
        <v>0</v>
      </c>
      <c r="N73" s="15">
        <f t="shared" si="20"/>
        <v>58.344000000000015</v>
      </c>
      <c r="O73" s="15">
        <f t="shared" si="21"/>
        <v>0</v>
      </c>
      <c r="P73" s="15">
        <f t="shared" si="22"/>
        <v>1.6597867000000004</v>
      </c>
      <c r="Q73" s="18">
        <f t="shared" si="23"/>
        <v>0</v>
      </c>
      <c r="R73" s="220"/>
      <c r="S73" s="220"/>
    </row>
    <row r="74" spans="1:19" s="219" customFormat="1" ht="13.5" thickBot="1">
      <c r="A74" s="1358"/>
      <c r="B74" s="221"/>
      <c r="C74" s="234" t="s">
        <v>3728</v>
      </c>
      <c r="D74" s="223" t="s">
        <v>65</v>
      </c>
      <c r="E74" s="224">
        <v>18921</v>
      </c>
      <c r="F74" s="13">
        <f t="shared" si="12"/>
        <v>10406.550000000001</v>
      </c>
      <c r="G74" s="16">
        <f t="shared" si="13"/>
        <v>0</v>
      </c>
      <c r="H74" s="14">
        <f t="shared" si="14"/>
        <v>326.45347350000003</v>
      </c>
      <c r="I74" s="15">
        <f t="shared" si="15"/>
        <v>0</v>
      </c>
      <c r="J74" s="15">
        <f t="shared" si="16"/>
        <v>285.13947000000002</v>
      </c>
      <c r="K74" s="15">
        <f t="shared" si="17"/>
        <v>0</v>
      </c>
      <c r="L74" s="15">
        <f t="shared" si="18"/>
        <v>237.26934000000003</v>
      </c>
      <c r="M74" s="15">
        <f t="shared" si="19"/>
        <v>0</v>
      </c>
      <c r="N74" s="15">
        <f t="shared" si="20"/>
        <v>212.29362000000003</v>
      </c>
      <c r="O74" s="15">
        <f t="shared" si="21"/>
        <v>0</v>
      </c>
      <c r="P74" s="15">
        <f t="shared" si="22"/>
        <v>6.0393892597500001</v>
      </c>
      <c r="Q74" s="18">
        <f t="shared" si="23"/>
        <v>0</v>
      </c>
      <c r="R74" s="220"/>
      <c r="S74" s="220"/>
    </row>
    <row r="75" spans="1:19" s="219" customFormat="1" ht="13.5" thickBot="1">
      <c r="A75" s="1358"/>
      <c r="B75" s="221"/>
      <c r="C75" s="222" t="s">
        <v>3734</v>
      </c>
      <c r="D75" s="225" t="s">
        <v>3665</v>
      </c>
      <c r="E75" s="224">
        <v>11700</v>
      </c>
      <c r="F75" s="13">
        <f t="shared" si="12"/>
        <v>6435.0000000000009</v>
      </c>
      <c r="G75" s="16">
        <f t="shared" si="13"/>
        <v>0</v>
      </c>
      <c r="H75" s="14">
        <f t="shared" si="14"/>
        <v>201.86595000000005</v>
      </c>
      <c r="I75" s="15">
        <f t="shared" si="15"/>
        <v>0</v>
      </c>
      <c r="J75" s="15">
        <f t="shared" si="16"/>
        <v>176.31900000000002</v>
      </c>
      <c r="K75" s="15">
        <f t="shared" si="17"/>
        <v>0</v>
      </c>
      <c r="L75" s="15">
        <f t="shared" si="18"/>
        <v>146.71800000000002</v>
      </c>
      <c r="M75" s="15">
        <f t="shared" si="19"/>
        <v>0</v>
      </c>
      <c r="N75" s="15">
        <f t="shared" si="20"/>
        <v>131.27400000000003</v>
      </c>
      <c r="O75" s="18">
        <f t="shared" si="21"/>
        <v>0</v>
      </c>
      <c r="P75" s="15">
        <f t="shared" si="22"/>
        <v>3.7345200750000007</v>
      </c>
      <c r="Q75" s="18">
        <f t="shared" si="23"/>
        <v>0</v>
      </c>
      <c r="R75" s="220"/>
      <c r="S75" s="220"/>
    </row>
    <row r="76" spans="1:19" s="219" customFormat="1" ht="13.5" thickBot="1">
      <c r="A76" s="1358"/>
      <c r="B76" s="221"/>
      <c r="C76" s="90" t="s">
        <v>3759</v>
      </c>
      <c r="D76" s="235" t="s">
        <v>3694</v>
      </c>
      <c r="E76" s="236">
        <v>1820</v>
      </c>
      <c r="F76" s="13">
        <f t="shared" si="12"/>
        <v>1001.0000000000001</v>
      </c>
      <c r="G76" s="16">
        <f t="shared" si="13"/>
        <v>0</v>
      </c>
      <c r="H76" s="14">
        <f t="shared" si="14"/>
        <v>31.401370000000007</v>
      </c>
      <c r="I76" s="15">
        <f t="shared" si="15"/>
        <v>0</v>
      </c>
      <c r="J76" s="15">
        <f t="shared" si="16"/>
        <v>27.427400000000002</v>
      </c>
      <c r="K76" s="15">
        <f t="shared" si="17"/>
        <v>0</v>
      </c>
      <c r="L76" s="15">
        <f t="shared" si="18"/>
        <v>22.822800000000004</v>
      </c>
      <c r="M76" s="15">
        <f t="shared" si="19"/>
        <v>0</v>
      </c>
      <c r="N76" s="15">
        <f t="shared" si="20"/>
        <v>20.420400000000004</v>
      </c>
      <c r="O76" s="15">
        <f t="shared" si="21"/>
        <v>0</v>
      </c>
      <c r="P76" s="15">
        <f t="shared" si="22"/>
        <v>0.58092534500000015</v>
      </c>
      <c r="Q76" s="18">
        <f t="shared" si="23"/>
        <v>0</v>
      </c>
      <c r="R76" s="220"/>
      <c r="S76" s="220"/>
    </row>
    <row r="77" spans="1:19" s="219" customFormat="1" ht="13.5" thickBot="1">
      <c r="A77" s="1358"/>
      <c r="B77" s="221"/>
      <c r="C77" s="90" t="s">
        <v>3760</v>
      </c>
      <c r="D77" s="235" t="s">
        <v>3695</v>
      </c>
      <c r="E77" s="236">
        <v>3450</v>
      </c>
      <c r="F77" s="13">
        <f t="shared" si="12"/>
        <v>1897.5000000000002</v>
      </c>
      <c r="G77" s="16">
        <f t="shared" si="13"/>
        <v>0</v>
      </c>
      <c r="H77" s="14">
        <f t="shared" si="14"/>
        <v>59.524575000000013</v>
      </c>
      <c r="I77" s="15">
        <f t="shared" si="15"/>
        <v>0</v>
      </c>
      <c r="J77" s="15">
        <f t="shared" si="16"/>
        <v>51.991500000000009</v>
      </c>
      <c r="K77" s="15">
        <f t="shared" si="17"/>
        <v>0</v>
      </c>
      <c r="L77" s="15">
        <f t="shared" si="18"/>
        <v>43.263000000000005</v>
      </c>
      <c r="M77" s="15">
        <f t="shared" si="19"/>
        <v>0</v>
      </c>
      <c r="N77" s="15">
        <f t="shared" si="20"/>
        <v>38.70900000000001</v>
      </c>
      <c r="O77" s="15">
        <f t="shared" si="21"/>
        <v>0</v>
      </c>
      <c r="P77" s="15">
        <f t="shared" si="22"/>
        <v>1.1012046375000002</v>
      </c>
      <c r="Q77" s="18">
        <f t="shared" si="23"/>
        <v>0</v>
      </c>
      <c r="R77" s="220"/>
      <c r="S77" s="220"/>
    </row>
    <row r="78" spans="1:19" s="219" customFormat="1" ht="13.5" thickBot="1">
      <c r="A78" s="1358"/>
      <c r="B78" s="221"/>
      <c r="C78" s="237" t="s">
        <v>3761</v>
      </c>
      <c r="D78" s="235" t="s">
        <v>3696</v>
      </c>
      <c r="E78" s="236">
        <v>4900</v>
      </c>
      <c r="F78" s="13">
        <f t="shared" si="12"/>
        <v>2695</v>
      </c>
      <c r="G78" s="16">
        <f t="shared" si="13"/>
        <v>0</v>
      </c>
      <c r="H78" s="14">
        <f t="shared" si="14"/>
        <v>84.542150000000007</v>
      </c>
      <c r="I78" s="15">
        <f t="shared" si="15"/>
        <v>0</v>
      </c>
      <c r="J78" s="15">
        <f t="shared" si="16"/>
        <v>73.843000000000004</v>
      </c>
      <c r="K78" s="15">
        <f t="shared" si="17"/>
        <v>0</v>
      </c>
      <c r="L78" s="15">
        <f t="shared" si="18"/>
        <v>61.446000000000005</v>
      </c>
      <c r="M78" s="15">
        <f t="shared" si="19"/>
        <v>0</v>
      </c>
      <c r="N78" s="15">
        <f t="shared" si="20"/>
        <v>54.978000000000002</v>
      </c>
      <c r="O78" s="15">
        <f t="shared" si="21"/>
        <v>0</v>
      </c>
      <c r="P78" s="15">
        <f t="shared" si="22"/>
        <v>1.5640297750000001</v>
      </c>
      <c r="Q78" s="18">
        <f t="shared" si="23"/>
        <v>0</v>
      </c>
      <c r="R78" s="220"/>
      <c r="S78" s="220"/>
    </row>
    <row r="79" spans="1:19" s="219" customFormat="1" ht="13.5" thickBot="1">
      <c r="A79" s="1358"/>
      <c r="B79" s="221"/>
      <c r="C79" s="90" t="s">
        <v>3762</v>
      </c>
      <c r="D79" s="235" t="s">
        <v>3697</v>
      </c>
      <c r="E79" s="236">
        <v>5800</v>
      </c>
      <c r="F79" s="13">
        <f t="shared" si="12"/>
        <v>3190.0000000000005</v>
      </c>
      <c r="G79" s="16">
        <f t="shared" si="13"/>
        <v>0</v>
      </c>
      <c r="H79" s="14">
        <f t="shared" si="14"/>
        <v>100.07030000000002</v>
      </c>
      <c r="I79" s="15">
        <f t="shared" si="15"/>
        <v>0</v>
      </c>
      <c r="J79" s="15">
        <f t="shared" si="16"/>
        <v>87.40600000000002</v>
      </c>
      <c r="K79" s="15">
        <f t="shared" si="17"/>
        <v>0</v>
      </c>
      <c r="L79" s="15">
        <f t="shared" si="18"/>
        <v>72.732000000000014</v>
      </c>
      <c r="M79" s="15">
        <f t="shared" si="19"/>
        <v>0</v>
      </c>
      <c r="N79" s="15">
        <f t="shared" si="20"/>
        <v>65.076000000000008</v>
      </c>
      <c r="O79" s="15">
        <f t="shared" si="21"/>
        <v>0</v>
      </c>
      <c r="P79" s="15">
        <f t="shared" si="22"/>
        <v>1.8513005500000002</v>
      </c>
      <c r="Q79" s="18">
        <f t="shared" si="23"/>
        <v>0</v>
      </c>
      <c r="R79" s="220"/>
      <c r="S79" s="220"/>
    </row>
    <row r="80" spans="1:19" s="219" customFormat="1" ht="13.5" thickBot="1">
      <c r="A80" s="1358"/>
      <c r="B80" s="221"/>
      <c r="C80" s="90" t="s">
        <v>3763</v>
      </c>
      <c r="D80" s="235" t="s">
        <v>3698</v>
      </c>
      <c r="E80" s="236">
        <v>6800</v>
      </c>
      <c r="F80" s="13">
        <f t="shared" si="12"/>
        <v>3740.0000000000005</v>
      </c>
      <c r="G80" s="16">
        <f t="shared" si="13"/>
        <v>0</v>
      </c>
      <c r="H80" s="14">
        <f t="shared" si="14"/>
        <v>117.32380000000002</v>
      </c>
      <c r="I80" s="15">
        <f t="shared" si="15"/>
        <v>0</v>
      </c>
      <c r="J80" s="15">
        <f t="shared" si="16"/>
        <v>102.47600000000001</v>
      </c>
      <c r="K80" s="15">
        <f t="shared" si="17"/>
        <v>0</v>
      </c>
      <c r="L80" s="15">
        <f t="shared" si="18"/>
        <v>85.27200000000002</v>
      </c>
      <c r="M80" s="15">
        <f t="shared" si="19"/>
        <v>0</v>
      </c>
      <c r="N80" s="15">
        <f t="shared" si="20"/>
        <v>76.296000000000021</v>
      </c>
      <c r="O80" s="15">
        <f t="shared" si="21"/>
        <v>0</v>
      </c>
      <c r="P80" s="15">
        <f t="shared" si="22"/>
        <v>2.1704903000000004</v>
      </c>
      <c r="Q80" s="18">
        <f t="shared" si="23"/>
        <v>0</v>
      </c>
      <c r="R80" s="220"/>
      <c r="S80" s="220"/>
    </row>
    <row r="81" spans="1:19" s="219" customFormat="1" ht="13.5" thickBot="1">
      <c r="A81" s="1358"/>
      <c r="B81" s="221"/>
      <c r="C81" s="234">
        <v>45206712</v>
      </c>
      <c r="D81" s="223" t="s">
        <v>3612</v>
      </c>
      <c r="E81" s="224">
        <v>2500</v>
      </c>
      <c r="F81" s="13">
        <f t="shared" si="12"/>
        <v>1375</v>
      </c>
      <c r="G81" s="16">
        <f t="shared" si="13"/>
        <v>0</v>
      </c>
      <c r="H81" s="14">
        <f t="shared" si="14"/>
        <v>43.133750000000006</v>
      </c>
      <c r="I81" s="15">
        <f t="shared" si="15"/>
        <v>0</v>
      </c>
      <c r="J81" s="15">
        <f t="shared" si="16"/>
        <v>37.675000000000004</v>
      </c>
      <c r="K81" s="15">
        <f t="shared" si="17"/>
        <v>0</v>
      </c>
      <c r="L81" s="15">
        <f t="shared" si="18"/>
        <v>31.35</v>
      </c>
      <c r="M81" s="15">
        <f t="shared" si="19"/>
        <v>0</v>
      </c>
      <c r="N81" s="15">
        <f t="shared" si="20"/>
        <v>28.05</v>
      </c>
      <c r="O81" s="15">
        <f t="shared" si="21"/>
        <v>0</v>
      </c>
      <c r="P81" s="15">
        <f t="shared" si="22"/>
        <v>0.79797437500000012</v>
      </c>
      <c r="Q81" s="18">
        <f t="shared" si="23"/>
        <v>0</v>
      </c>
      <c r="R81" s="220"/>
      <c r="S81" s="220"/>
    </row>
    <row r="82" spans="1:19" s="219" customFormat="1" ht="13.5" thickBot="1">
      <c r="A82" s="1358"/>
      <c r="B82" s="221"/>
      <c r="C82" s="234">
        <v>45206719</v>
      </c>
      <c r="D82" s="223" t="s">
        <v>3613</v>
      </c>
      <c r="E82" s="224">
        <v>3000</v>
      </c>
      <c r="F82" s="13">
        <f t="shared" si="12"/>
        <v>1650.0000000000002</v>
      </c>
      <c r="G82" s="16">
        <f t="shared" si="13"/>
        <v>0</v>
      </c>
      <c r="H82" s="14">
        <f t="shared" si="14"/>
        <v>51.760500000000008</v>
      </c>
      <c r="I82" s="15">
        <f t="shared" si="15"/>
        <v>0</v>
      </c>
      <c r="J82" s="15">
        <f t="shared" si="16"/>
        <v>45.210000000000008</v>
      </c>
      <c r="K82" s="15">
        <f t="shared" si="17"/>
        <v>0</v>
      </c>
      <c r="L82" s="15">
        <f t="shared" si="18"/>
        <v>37.620000000000005</v>
      </c>
      <c r="M82" s="15">
        <f t="shared" si="19"/>
        <v>0</v>
      </c>
      <c r="N82" s="15">
        <f t="shared" si="20"/>
        <v>33.660000000000004</v>
      </c>
      <c r="O82" s="15">
        <f t="shared" si="21"/>
        <v>0</v>
      </c>
      <c r="P82" s="15">
        <f t="shared" si="22"/>
        <v>0.95756925000000004</v>
      </c>
      <c r="Q82" s="18">
        <f t="shared" si="23"/>
        <v>0</v>
      </c>
      <c r="R82" s="220"/>
      <c r="S82" s="220"/>
    </row>
    <row r="83" spans="1:19" s="219" customFormat="1" ht="13.5" thickBot="1">
      <c r="A83" s="1358"/>
      <c r="B83" s="221"/>
      <c r="C83" s="90">
        <v>45112781</v>
      </c>
      <c r="D83" s="235" t="s">
        <v>3693</v>
      </c>
      <c r="E83" s="236">
        <v>5394</v>
      </c>
      <c r="F83" s="13">
        <f t="shared" si="12"/>
        <v>2966.7000000000003</v>
      </c>
      <c r="G83" s="16">
        <f t="shared" si="13"/>
        <v>0</v>
      </c>
      <c r="H83" s="14">
        <f t="shared" si="14"/>
        <v>93.065379000000021</v>
      </c>
      <c r="I83" s="15">
        <f t="shared" si="15"/>
        <v>0</v>
      </c>
      <c r="J83" s="15">
        <f t="shared" si="16"/>
        <v>81.287580000000005</v>
      </c>
      <c r="K83" s="15">
        <f t="shared" si="17"/>
        <v>0</v>
      </c>
      <c r="L83" s="15">
        <f t="shared" si="18"/>
        <v>67.640760000000014</v>
      </c>
      <c r="M83" s="15">
        <f t="shared" si="19"/>
        <v>0</v>
      </c>
      <c r="N83" s="15">
        <f t="shared" si="20"/>
        <v>60.520680000000013</v>
      </c>
      <c r="O83" s="15">
        <f t="shared" si="21"/>
        <v>0</v>
      </c>
      <c r="P83" s="15">
        <f t="shared" si="22"/>
        <v>1.7217095115000003</v>
      </c>
      <c r="Q83" s="18">
        <f t="shared" si="23"/>
        <v>0</v>
      </c>
      <c r="R83" s="220"/>
      <c r="S83" s="220"/>
    </row>
    <row r="84" spans="1:19" s="219" customFormat="1" ht="13.5" thickBot="1">
      <c r="A84" s="1358"/>
      <c r="B84" s="221"/>
      <c r="C84" s="90" t="s">
        <v>3757</v>
      </c>
      <c r="D84" s="235" t="s">
        <v>3692</v>
      </c>
      <c r="E84" s="236">
        <v>899</v>
      </c>
      <c r="F84" s="13">
        <f t="shared" si="12"/>
        <v>494.45000000000005</v>
      </c>
      <c r="G84" s="16">
        <f t="shared" si="13"/>
        <v>0</v>
      </c>
      <c r="H84" s="14">
        <f t="shared" si="14"/>
        <v>15.510896500000003</v>
      </c>
      <c r="I84" s="15">
        <f t="shared" si="15"/>
        <v>0</v>
      </c>
      <c r="J84" s="15">
        <f t="shared" si="16"/>
        <v>13.547930000000001</v>
      </c>
      <c r="K84" s="15">
        <f t="shared" si="17"/>
        <v>0</v>
      </c>
      <c r="L84" s="15">
        <f t="shared" si="18"/>
        <v>11.273460000000002</v>
      </c>
      <c r="M84" s="15">
        <f t="shared" si="19"/>
        <v>0</v>
      </c>
      <c r="N84" s="15">
        <f t="shared" si="20"/>
        <v>10.086780000000001</v>
      </c>
      <c r="O84" s="18">
        <f t="shared" si="21"/>
        <v>0</v>
      </c>
      <c r="P84" s="15">
        <f t="shared" si="22"/>
        <v>0.28695158525000003</v>
      </c>
      <c r="Q84" s="18">
        <f t="shared" si="23"/>
        <v>0</v>
      </c>
      <c r="R84" s="220"/>
      <c r="S84" s="220"/>
    </row>
    <row r="85" spans="1:19" s="219" customFormat="1" ht="26.25" thickBot="1">
      <c r="A85" s="1358"/>
      <c r="B85" s="221"/>
      <c r="C85" s="90" t="s">
        <v>276</v>
      </c>
      <c r="D85" s="235" t="s">
        <v>778</v>
      </c>
      <c r="E85" s="236">
        <v>700</v>
      </c>
      <c r="F85" s="13">
        <f t="shared" si="12"/>
        <v>385.00000000000006</v>
      </c>
      <c r="G85" s="16">
        <f t="shared" si="13"/>
        <v>0</v>
      </c>
      <c r="H85" s="14">
        <f t="shared" si="14"/>
        <v>12.077450000000002</v>
      </c>
      <c r="I85" s="15">
        <f t="shared" si="15"/>
        <v>0</v>
      </c>
      <c r="J85" s="15">
        <f t="shared" si="16"/>
        <v>10.549000000000001</v>
      </c>
      <c r="K85" s="15">
        <f t="shared" si="17"/>
        <v>0</v>
      </c>
      <c r="L85" s="15">
        <f t="shared" si="18"/>
        <v>8.7780000000000022</v>
      </c>
      <c r="M85" s="15">
        <f t="shared" si="19"/>
        <v>0</v>
      </c>
      <c r="N85" s="15">
        <f t="shared" si="20"/>
        <v>7.8540000000000019</v>
      </c>
      <c r="O85" s="18">
        <f t="shared" si="21"/>
        <v>0</v>
      </c>
      <c r="P85" s="15">
        <f t="shared" si="22"/>
        <v>0.22343282500000003</v>
      </c>
      <c r="Q85" s="18">
        <f t="shared" si="23"/>
        <v>0</v>
      </c>
      <c r="R85" s="220"/>
      <c r="S85" s="220"/>
    </row>
    <row r="86" spans="1:19" s="219" customFormat="1" ht="13.5" thickBot="1">
      <c r="A86" s="1358"/>
      <c r="B86" s="221"/>
      <c r="C86" s="234">
        <v>45206722</v>
      </c>
      <c r="D86" s="223" t="s">
        <v>3702</v>
      </c>
      <c r="E86" s="224">
        <v>4200</v>
      </c>
      <c r="F86" s="13">
        <f t="shared" si="12"/>
        <v>2310</v>
      </c>
      <c r="G86" s="17">
        <f t="shared" si="13"/>
        <v>0</v>
      </c>
      <c r="H86" s="15">
        <f t="shared" si="14"/>
        <v>72.464700000000008</v>
      </c>
      <c r="I86" s="15">
        <f t="shared" si="15"/>
        <v>0</v>
      </c>
      <c r="J86" s="15">
        <f t="shared" si="16"/>
        <v>63.294000000000004</v>
      </c>
      <c r="K86" s="15">
        <f t="shared" si="17"/>
        <v>0</v>
      </c>
      <c r="L86" s="15">
        <f t="shared" si="18"/>
        <v>52.667999999999999</v>
      </c>
      <c r="M86" s="15">
        <f t="shared" si="19"/>
        <v>0</v>
      </c>
      <c r="N86" s="15">
        <f t="shared" si="20"/>
        <v>47.124000000000002</v>
      </c>
      <c r="O86" s="15">
        <f t="shared" si="21"/>
        <v>0</v>
      </c>
      <c r="P86" s="15">
        <f t="shared" si="22"/>
        <v>1.3405969500000001</v>
      </c>
      <c r="Q86" s="18">
        <f t="shared" si="23"/>
        <v>0</v>
      </c>
      <c r="R86" s="220"/>
      <c r="S86" s="220"/>
    </row>
    <row r="87" spans="1:19" s="219" customFormat="1" ht="26.25" thickBot="1">
      <c r="A87" s="1358"/>
      <c r="B87" s="221"/>
      <c r="C87" s="90" t="s">
        <v>588</v>
      </c>
      <c r="D87" s="235" t="s">
        <v>779</v>
      </c>
      <c r="E87" s="236">
        <v>1000</v>
      </c>
      <c r="F87" s="13">
        <f t="shared" si="12"/>
        <v>550</v>
      </c>
      <c r="G87" s="16">
        <f t="shared" si="13"/>
        <v>0</v>
      </c>
      <c r="H87" s="14">
        <f t="shared" si="14"/>
        <v>17.253500000000003</v>
      </c>
      <c r="I87" s="15">
        <f t="shared" si="15"/>
        <v>0</v>
      </c>
      <c r="J87" s="15">
        <f t="shared" si="16"/>
        <v>15.07</v>
      </c>
      <c r="K87" s="15">
        <f t="shared" si="17"/>
        <v>0</v>
      </c>
      <c r="L87" s="15">
        <f t="shared" si="18"/>
        <v>12.540000000000001</v>
      </c>
      <c r="M87" s="15">
        <f t="shared" si="19"/>
        <v>0</v>
      </c>
      <c r="N87" s="15">
        <f t="shared" si="20"/>
        <v>11.22</v>
      </c>
      <c r="O87" s="15">
        <f t="shared" si="21"/>
        <v>0</v>
      </c>
      <c r="P87" s="15">
        <f t="shared" si="22"/>
        <v>0.31918975000000005</v>
      </c>
      <c r="Q87" s="18">
        <f t="shared" si="23"/>
        <v>0</v>
      </c>
      <c r="R87" s="220"/>
      <c r="S87" s="220"/>
    </row>
    <row r="88" spans="1:19" s="233" customFormat="1" ht="13.5" thickBot="1">
      <c r="A88" s="1358"/>
      <c r="B88" s="221"/>
      <c r="C88" s="234">
        <v>45206725</v>
      </c>
      <c r="D88" s="223" t="s">
        <v>3703</v>
      </c>
      <c r="E88" s="224">
        <v>6000</v>
      </c>
      <c r="F88" s="13">
        <f t="shared" si="12"/>
        <v>3300.0000000000005</v>
      </c>
      <c r="G88" s="16">
        <f t="shared" si="13"/>
        <v>0</v>
      </c>
      <c r="H88" s="14">
        <f t="shared" si="14"/>
        <v>103.52100000000002</v>
      </c>
      <c r="I88" s="15">
        <f t="shared" si="15"/>
        <v>0</v>
      </c>
      <c r="J88" s="15">
        <f t="shared" si="16"/>
        <v>90.420000000000016</v>
      </c>
      <c r="K88" s="15">
        <f t="shared" si="17"/>
        <v>0</v>
      </c>
      <c r="L88" s="15">
        <f t="shared" si="18"/>
        <v>75.240000000000009</v>
      </c>
      <c r="M88" s="15">
        <f t="shared" si="19"/>
        <v>0</v>
      </c>
      <c r="N88" s="15">
        <f t="shared" si="20"/>
        <v>67.320000000000007</v>
      </c>
      <c r="O88" s="15">
        <f t="shared" si="21"/>
        <v>0</v>
      </c>
      <c r="P88" s="15">
        <f t="shared" si="22"/>
        <v>1.9151385000000001</v>
      </c>
      <c r="Q88" s="18">
        <f t="shared" si="23"/>
        <v>0</v>
      </c>
      <c r="R88" s="232"/>
      <c r="S88" s="232"/>
    </row>
    <row r="89" spans="1:19" s="233" customFormat="1" ht="13.5" thickBot="1">
      <c r="A89" s="1358"/>
      <c r="B89" s="221"/>
      <c r="C89" s="90" t="s">
        <v>3738</v>
      </c>
      <c r="D89" s="235" t="s">
        <v>3670</v>
      </c>
      <c r="E89" s="236">
        <v>5905.8</v>
      </c>
      <c r="F89" s="13">
        <f t="shared" si="12"/>
        <v>3248.1900000000005</v>
      </c>
      <c r="G89" s="16">
        <f t="shared" si="13"/>
        <v>0</v>
      </c>
      <c r="H89" s="14">
        <f t="shared" si="14"/>
        <v>101.89572030000002</v>
      </c>
      <c r="I89" s="15">
        <f t="shared" si="15"/>
        <v>0</v>
      </c>
      <c r="J89" s="15">
        <f t="shared" si="16"/>
        <v>89.000406000000012</v>
      </c>
      <c r="K89" s="15">
        <f t="shared" si="17"/>
        <v>0</v>
      </c>
      <c r="L89" s="15">
        <f t="shared" si="18"/>
        <v>74.05873200000002</v>
      </c>
      <c r="M89" s="15">
        <f t="shared" si="19"/>
        <v>0</v>
      </c>
      <c r="N89" s="15">
        <f t="shared" si="20"/>
        <v>66.263076000000012</v>
      </c>
      <c r="O89" s="18">
        <f t="shared" si="21"/>
        <v>0</v>
      </c>
      <c r="P89" s="15">
        <f t="shared" si="22"/>
        <v>1.8850708255500004</v>
      </c>
      <c r="Q89" s="18">
        <f t="shared" si="23"/>
        <v>0</v>
      </c>
      <c r="R89" s="232"/>
      <c r="S89" s="232"/>
    </row>
    <row r="90" spans="1:19" s="233" customFormat="1" ht="13.5" thickBot="1">
      <c r="A90" s="1358"/>
      <c r="B90" s="221"/>
      <c r="C90" s="90" t="s">
        <v>3758</v>
      </c>
      <c r="D90" s="235" t="s">
        <v>780</v>
      </c>
      <c r="E90" s="236">
        <v>6370</v>
      </c>
      <c r="F90" s="13">
        <f t="shared" si="12"/>
        <v>3503.5000000000005</v>
      </c>
      <c r="G90" s="16">
        <f t="shared" si="13"/>
        <v>0</v>
      </c>
      <c r="H90" s="14">
        <f t="shared" si="14"/>
        <v>109.90479500000002</v>
      </c>
      <c r="I90" s="15">
        <f t="shared" si="15"/>
        <v>0</v>
      </c>
      <c r="J90" s="15">
        <f t="shared" si="16"/>
        <v>95.99590000000002</v>
      </c>
      <c r="K90" s="15">
        <f t="shared" si="17"/>
        <v>0</v>
      </c>
      <c r="L90" s="15">
        <f t="shared" si="18"/>
        <v>79.879800000000017</v>
      </c>
      <c r="M90" s="15">
        <f t="shared" si="19"/>
        <v>0</v>
      </c>
      <c r="N90" s="15">
        <f t="shared" si="20"/>
        <v>71.471400000000017</v>
      </c>
      <c r="O90" s="15">
        <f t="shared" si="21"/>
        <v>0</v>
      </c>
      <c r="P90" s="15">
        <f t="shared" si="22"/>
        <v>2.0332387075000002</v>
      </c>
      <c r="Q90" s="18">
        <f t="shared" si="23"/>
        <v>0</v>
      </c>
      <c r="R90" s="232"/>
      <c r="S90" s="232"/>
    </row>
    <row r="91" spans="1:19" s="219" customFormat="1" ht="26.25" thickBot="1">
      <c r="A91" s="1358"/>
      <c r="B91" s="221"/>
      <c r="C91" s="234">
        <v>7718800</v>
      </c>
      <c r="D91" s="223" t="s">
        <v>781</v>
      </c>
      <c r="E91" s="224">
        <v>19981.349999999999</v>
      </c>
      <c r="F91" s="13">
        <f t="shared" si="12"/>
        <v>10989.7425</v>
      </c>
      <c r="G91" s="16">
        <f t="shared" si="13"/>
        <v>0</v>
      </c>
      <c r="H91" s="14">
        <f t="shared" si="14"/>
        <v>344.74822222500001</v>
      </c>
      <c r="I91" s="15">
        <f t="shared" si="15"/>
        <v>0</v>
      </c>
      <c r="J91" s="15">
        <f t="shared" si="16"/>
        <v>301.1189445</v>
      </c>
      <c r="K91" s="15">
        <f t="shared" si="17"/>
        <v>0</v>
      </c>
      <c r="L91" s="15">
        <f t="shared" si="18"/>
        <v>250.56612900000002</v>
      </c>
      <c r="M91" s="15">
        <f t="shared" si="19"/>
        <v>0</v>
      </c>
      <c r="N91" s="15">
        <f t="shared" si="20"/>
        <v>224.19074700000002</v>
      </c>
      <c r="O91" s="15">
        <f t="shared" si="21"/>
        <v>0</v>
      </c>
      <c r="P91" s="15">
        <f t="shared" si="22"/>
        <v>6.3778421111624999</v>
      </c>
      <c r="Q91" s="18">
        <f t="shared" si="23"/>
        <v>0</v>
      </c>
      <c r="R91" s="220"/>
      <c r="S91" s="220"/>
    </row>
    <row r="92" spans="1:19" s="219" customFormat="1" ht="13.5" thickBot="1">
      <c r="A92" s="1358"/>
      <c r="B92" s="221"/>
      <c r="C92" s="234">
        <v>7723000</v>
      </c>
      <c r="D92" s="223" t="s">
        <v>782</v>
      </c>
      <c r="E92" s="224">
        <v>45615.56</v>
      </c>
      <c r="F92" s="13">
        <f t="shared" si="12"/>
        <v>25088.558000000001</v>
      </c>
      <c r="G92" s="16">
        <f t="shared" si="13"/>
        <v>0</v>
      </c>
      <c r="H92" s="14">
        <f t="shared" si="14"/>
        <v>787.02806446000011</v>
      </c>
      <c r="I92" s="15">
        <f t="shared" si="15"/>
        <v>0</v>
      </c>
      <c r="J92" s="15">
        <f t="shared" si="16"/>
        <v>687.42648919999999</v>
      </c>
      <c r="K92" s="15">
        <f t="shared" si="17"/>
        <v>0</v>
      </c>
      <c r="L92" s="15">
        <f t="shared" si="18"/>
        <v>572.01912240000001</v>
      </c>
      <c r="M92" s="15">
        <f t="shared" si="19"/>
        <v>0</v>
      </c>
      <c r="N92" s="15">
        <f t="shared" si="20"/>
        <v>511.80658320000003</v>
      </c>
      <c r="O92" s="15">
        <f t="shared" si="21"/>
        <v>0</v>
      </c>
      <c r="P92" s="15">
        <f t="shared" si="22"/>
        <v>14.560019192510001</v>
      </c>
      <c r="Q92" s="18">
        <f t="shared" si="23"/>
        <v>0</v>
      </c>
      <c r="R92" s="220"/>
      <c r="S92" s="220"/>
    </row>
    <row r="93" spans="1:19" s="219" customFormat="1" ht="13.5" thickBot="1">
      <c r="A93" s="1358"/>
      <c r="B93" s="221"/>
      <c r="C93" s="234" t="s">
        <v>575</v>
      </c>
      <c r="D93" s="223" t="s">
        <v>3463</v>
      </c>
      <c r="E93" s="224">
        <v>10600</v>
      </c>
      <c r="F93" s="13">
        <f t="shared" si="12"/>
        <v>5830.0000000000009</v>
      </c>
      <c r="G93" s="17">
        <f t="shared" si="13"/>
        <v>0</v>
      </c>
      <c r="H93" s="15">
        <f t="shared" si="14"/>
        <v>182.88710000000003</v>
      </c>
      <c r="I93" s="15">
        <f t="shared" si="15"/>
        <v>0</v>
      </c>
      <c r="J93" s="15">
        <f t="shared" si="16"/>
        <v>159.74200000000002</v>
      </c>
      <c r="K93" s="15">
        <f t="shared" si="17"/>
        <v>0</v>
      </c>
      <c r="L93" s="15">
        <f t="shared" si="18"/>
        <v>132.92400000000004</v>
      </c>
      <c r="M93" s="15">
        <f t="shared" si="19"/>
        <v>0</v>
      </c>
      <c r="N93" s="15">
        <f t="shared" si="20"/>
        <v>118.93200000000003</v>
      </c>
      <c r="O93" s="18">
        <f t="shared" si="21"/>
        <v>0</v>
      </c>
      <c r="P93" s="15">
        <f t="shared" si="22"/>
        <v>3.3834113500000003</v>
      </c>
      <c r="Q93" s="18">
        <f t="shared" si="23"/>
        <v>0</v>
      </c>
      <c r="R93" s="220"/>
      <c r="S93" s="220"/>
    </row>
    <row r="94" spans="1:19" s="219" customFormat="1" ht="13.5" thickBot="1">
      <c r="A94" s="1358"/>
      <c r="B94" s="221"/>
      <c r="C94" s="234" t="s">
        <v>576</v>
      </c>
      <c r="D94" s="223" t="s">
        <v>3684</v>
      </c>
      <c r="E94" s="224">
        <v>2332</v>
      </c>
      <c r="F94" s="13">
        <f t="shared" ref="F94:F125" si="24">E94*(1-45%)</f>
        <v>1282.6000000000001</v>
      </c>
      <c r="G94" s="17">
        <f t="shared" ref="G94:G125" si="25">F94*B94</f>
        <v>0</v>
      </c>
      <c r="H94" s="15">
        <f t="shared" ref="H94:H125" si="26">F94*0.03137</f>
        <v>40.23516200000001</v>
      </c>
      <c r="I94" s="15">
        <f t="shared" ref="I94:I125" si="27">H94*B94</f>
        <v>0</v>
      </c>
      <c r="J94" s="15">
        <f t="shared" ref="J94:J118" si="28">F94*0.0274</f>
        <v>35.143240000000006</v>
      </c>
      <c r="K94" s="15">
        <f t="shared" ref="K94:K125" si="29">J94*B94</f>
        <v>0</v>
      </c>
      <c r="L94" s="15">
        <f t="shared" ref="L94:L118" si="30">F94*0.0228</f>
        <v>29.243280000000006</v>
      </c>
      <c r="M94" s="15">
        <f t="shared" ref="M94:M125" si="31">L94*B94</f>
        <v>0</v>
      </c>
      <c r="N94" s="15">
        <f t="shared" ref="N94:N125" si="32">F94*0.0204</f>
        <v>26.165040000000005</v>
      </c>
      <c r="O94" s="15">
        <f t="shared" ref="O94:O125" si="33">N94*B94</f>
        <v>0</v>
      </c>
      <c r="P94" s="15">
        <f t="shared" ref="P94:P105" si="34">H94*0.0185</f>
        <v>0.74435049700000011</v>
      </c>
      <c r="Q94" s="18">
        <f t="shared" ref="Q94:Q125" si="35">P94*B94</f>
        <v>0</v>
      </c>
      <c r="R94" s="220"/>
      <c r="S94" s="220"/>
    </row>
    <row r="95" spans="1:19" s="219" customFormat="1" ht="13.5" thickBot="1">
      <c r="A95" s="1358"/>
      <c r="B95" s="221"/>
      <c r="C95" s="222" t="s">
        <v>3766</v>
      </c>
      <c r="D95" s="223" t="s">
        <v>3708</v>
      </c>
      <c r="E95" s="224">
        <v>35280</v>
      </c>
      <c r="F95" s="13">
        <f t="shared" si="24"/>
        <v>19404</v>
      </c>
      <c r="G95" s="17">
        <f t="shared" si="25"/>
        <v>0</v>
      </c>
      <c r="H95" s="15">
        <f t="shared" si="26"/>
        <v>608.70348000000001</v>
      </c>
      <c r="I95" s="15">
        <f t="shared" si="27"/>
        <v>0</v>
      </c>
      <c r="J95" s="15">
        <f t="shared" si="28"/>
        <v>531.66960000000006</v>
      </c>
      <c r="K95" s="15">
        <f t="shared" si="29"/>
        <v>0</v>
      </c>
      <c r="L95" s="15">
        <f t="shared" si="30"/>
        <v>442.41120000000001</v>
      </c>
      <c r="M95" s="15">
        <f t="shared" si="31"/>
        <v>0</v>
      </c>
      <c r="N95" s="15">
        <f t="shared" si="32"/>
        <v>395.84160000000003</v>
      </c>
      <c r="O95" s="15">
        <f t="shared" si="33"/>
        <v>0</v>
      </c>
      <c r="P95" s="15">
        <f t="shared" si="34"/>
        <v>11.261014379999999</v>
      </c>
      <c r="Q95" s="18">
        <f t="shared" si="35"/>
        <v>0</v>
      </c>
      <c r="R95" s="220"/>
      <c r="S95" s="220"/>
    </row>
    <row r="96" spans="1:19" s="219" customFormat="1" ht="13.5" thickBot="1">
      <c r="A96" s="1358"/>
      <c r="B96" s="221"/>
      <c r="C96" s="234" t="s">
        <v>3764</v>
      </c>
      <c r="D96" s="223" t="s">
        <v>3706</v>
      </c>
      <c r="E96" s="224">
        <v>48232</v>
      </c>
      <c r="F96" s="13">
        <f t="shared" si="24"/>
        <v>26527.600000000002</v>
      </c>
      <c r="G96" s="17">
        <f t="shared" si="25"/>
        <v>0</v>
      </c>
      <c r="H96" s="15">
        <f t="shared" si="26"/>
        <v>832.17081200000007</v>
      </c>
      <c r="I96" s="15">
        <f t="shared" si="27"/>
        <v>0</v>
      </c>
      <c r="J96" s="15">
        <f t="shared" si="28"/>
        <v>726.85624000000007</v>
      </c>
      <c r="K96" s="15">
        <f t="shared" si="29"/>
        <v>0</v>
      </c>
      <c r="L96" s="15">
        <f t="shared" si="30"/>
        <v>604.82928000000004</v>
      </c>
      <c r="M96" s="15">
        <f t="shared" si="31"/>
        <v>0</v>
      </c>
      <c r="N96" s="15">
        <f t="shared" si="32"/>
        <v>541.16304000000014</v>
      </c>
      <c r="O96" s="15">
        <f t="shared" si="33"/>
        <v>0</v>
      </c>
      <c r="P96" s="15">
        <f t="shared" si="34"/>
        <v>15.395160022000001</v>
      </c>
      <c r="Q96" s="18">
        <f t="shared" si="35"/>
        <v>0</v>
      </c>
      <c r="R96" s="220"/>
      <c r="S96" s="220"/>
    </row>
    <row r="97" spans="1:19" s="219" customFormat="1" ht="13.5" thickBot="1">
      <c r="A97" s="1358"/>
      <c r="B97" s="221"/>
      <c r="C97" s="234" t="s">
        <v>3767</v>
      </c>
      <c r="D97" s="223" t="s">
        <v>3709</v>
      </c>
      <c r="E97" s="224">
        <v>83058</v>
      </c>
      <c r="F97" s="13">
        <f t="shared" si="24"/>
        <v>45681.9</v>
      </c>
      <c r="G97" s="17">
        <f t="shared" si="25"/>
        <v>0</v>
      </c>
      <c r="H97" s="15">
        <f t="shared" si="26"/>
        <v>1433.0412030000002</v>
      </c>
      <c r="I97" s="15">
        <f t="shared" si="27"/>
        <v>0</v>
      </c>
      <c r="J97" s="15">
        <f t="shared" si="28"/>
        <v>1251.68406</v>
      </c>
      <c r="K97" s="15">
        <f t="shared" si="29"/>
        <v>0</v>
      </c>
      <c r="L97" s="15">
        <f t="shared" si="30"/>
        <v>1041.5473200000001</v>
      </c>
      <c r="M97" s="15">
        <f t="shared" si="31"/>
        <v>0</v>
      </c>
      <c r="N97" s="15">
        <f t="shared" si="32"/>
        <v>931.9107600000001</v>
      </c>
      <c r="O97" s="15">
        <f t="shared" si="33"/>
        <v>0</v>
      </c>
      <c r="P97" s="15">
        <f t="shared" si="34"/>
        <v>26.511262255500004</v>
      </c>
      <c r="Q97" s="18">
        <f t="shared" si="35"/>
        <v>0</v>
      </c>
      <c r="R97" s="220"/>
      <c r="S97" s="220"/>
    </row>
    <row r="98" spans="1:19" s="219" customFormat="1" ht="13.5" thickBot="1">
      <c r="A98" s="1358"/>
      <c r="B98" s="229"/>
      <c r="C98" s="230" t="s">
        <v>577</v>
      </c>
      <c r="D98" s="225" t="s">
        <v>571</v>
      </c>
      <c r="E98" s="231">
        <v>18000</v>
      </c>
      <c r="F98" s="79">
        <f t="shared" si="24"/>
        <v>9900</v>
      </c>
      <c r="G98" s="81">
        <f t="shared" si="25"/>
        <v>0</v>
      </c>
      <c r="H98" s="18">
        <f t="shared" si="26"/>
        <v>310.56300000000005</v>
      </c>
      <c r="I98" s="18">
        <f t="shared" si="27"/>
        <v>0</v>
      </c>
      <c r="J98" s="18">
        <f t="shared" si="28"/>
        <v>271.26</v>
      </c>
      <c r="K98" s="18">
        <f t="shared" si="29"/>
        <v>0</v>
      </c>
      <c r="L98" s="18">
        <f t="shared" si="30"/>
        <v>225.72</v>
      </c>
      <c r="M98" s="18">
        <f t="shared" si="31"/>
        <v>0</v>
      </c>
      <c r="N98" s="18">
        <f t="shared" si="32"/>
        <v>201.96</v>
      </c>
      <c r="O98" s="18">
        <f t="shared" si="33"/>
        <v>0</v>
      </c>
      <c r="P98" s="18">
        <f t="shared" si="34"/>
        <v>5.7454155000000009</v>
      </c>
      <c r="Q98" s="18">
        <f t="shared" si="35"/>
        <v>0</v>
      </c>
      <c r="R98" s="220"/>
      <c r="S98" s="220"/>
    </row>
    <row r="99" spans="1:19" s="219" customFormat="1" ht="13.5" thickBot="1">
      <c r="A99" s="1358"/>
      <c r="B99" s="221"/>
      <c r="C99" s="237" t="s">
        <v>3746</v>
      </c>
      <c r="D99" s="235" t="s">
        <v>3680</v>
      </c>
      <c r="E99" s="236">
        <v>1120</v>
      </c>
      <c r="F99" s="13">
        <f t="shared" si="24"/>
        <v>616</v>
      </c>
      <c r="G99" s="17">
        <f t="shared" si="25"/>
        <v>0</v>
      </c>
      <c r="H99" s="15">
        <f t="shared" si="26"/>
        <v>19.323920000000001</v>
      </c>
      <c r="I99" s="15">
        <f t="shared" si="27"/>
        <v>0</v>
      </c>
      <c r="J99" s="15">
        <f t="shared" si="28"/>
        <v>16.878399999999999</v>
      </c>
      <c r="K99" s="15">
        <f t="shared" si="29"/>
        <v>0</v>
      </c>
      <c r="L99" s="15">
        <f t="shared" si="30"/>
        <v>14.0448</v>
      </c>
      <c r="M99" s="15">
        <f t="shared" si="31"/>
        <v>0</v>
      </c>
      <c r="N99" s="15">
        <f t="shared" si="32"/>
        <v>12.566400000000002</v>
      </c>
      <c r="O99" s="15">
        <f t="shared" si="33"/>
        <v>0</v>
      </c>
      <c r="P99" s="15">
        <f t="shared" si="34"/>
        <v>0.35749251999999998</v>
      </c>
      <c r="Q99" s="18">
        <f t="shared" si="35"/>
        <v>0</v>
      </c>
      <c r="R99" s="220"/>
      <c r="S99" s="220"/>
    </row>
    <row r="100" spans="1:19" s="219" customFormat="1" ht="13.5" thickBot="1">
      <c r="A100" s="1358"/>
      <c r="B100" s="221"/>
      <c r="C100" s="90" t="s">
        <v>3742</v>
      </c>
      <c r="D100" s="235" t="s">
        <v>3676</v>
      </c>
      <c r="E100" s="236">
        <v>890.4</v>
      </c>
      <c r="F100" s="13">
        <f t="shared" si="24"/>
        <v>489.72</v>
      </c>
      <c r="G100" s="17">
        <f t="shared" si="25"/>
        <v>0</v>
      </c>
      <c r="H100" s="15">
        <f t="shared" si="26"/>
        <v>15.362516400000002</v>
      </c>
      <c r="I100" s="15">
        <f t="shared" si="27"/>
        <v>0</v>
      </c>
      <c r="J100" s="15">
        <f t="shared" si="28"/>
        <v>13.418328000000001</v>
      </c>
      <c r="K100" s="15">
        <f t="shared" si="29"/>
        <v>0</v>
      </c>
      <c r="L100" s="15">
        <f t="shared" si="30"/>
        <v>11.165616000000002</v>
      </c>
      <c r="M100" s="15">
        <f t="shared" si="31"/>
        <v>0</v>
      </c>
      <c r="N100" s="15">
        <f t="shared" si="32"/>
        <v>9.9902880000000014</v>
      </c>
      <c r="O100" s="15">
        <f t="shared" si="33"/>
        <v>0</v>
      </c>
      <c r="P100" s="15">
        <f t="shared" si="34"/>
        <v>0.28420655340000001</v>
      </c>
      <c r="Q100" s="18">
        <f t="shared" si="35"/>
        <v>0</v>
      </c>
      <c r="R100" s="220"/>
      <c r="S100" s="220"/>
    </row>
    <row r="101" spans="1:19" s="219" customFormat="1" ht="13.5" thickBot="1">
      <c r="A101" s="1358"/>
      <c r="B101" s="221"/>
      <c r="C101" s="222" t="s">
        <v>799</v>
      </c>
      <c r="D101" s="223" t="s">
        <v>783</v>
      </c>
      <c r="E101" s="224">
        <v>384.77</v>
      </c>
      <c r="F101" s="13">
        <f t="shared" si="24"/>
        <v>211.62350000000001</v>
      </c>
      <c r="G101" s="17">
        <f t="shared" si="25"/>
        <v>0</v>
      </c>
      <c r="H101" s="15">
        <f t="shared" si="26"/>
        <v>6.6386291950000009</v>
      </c>
      <c r="I101" s="15">
        <f t="shared" si="27"/>
        <v>0</v>
      </c>
      <c r="J101" s="15">
        <f t="shared" si="28"/>
        <v>5.7984838999999999</v>
      </c>
      <c r="K101" s="15">
        <f t="shared" si="29"/>
        <v>0</v>
      </c>
      <c r="L101" s="15">
        <f t="shared" si="30"/>
        <v>4.8250158000000001</v>
      </c>
      <c r="M101" s="15">
        <f t="shared" si="31"/>
        <v>0</v>
      </c>
      <c r="N101" s="15">
        <f t="shared" si="32"/>
        <v>4.3171194000000002</v>
      </c>
      <c r="O101" s="18">
        <f t="shared" si="33"/>
        <v>0</v>
      </c>
      <c r="P101" s="15">
        <f t="shared" si="34"/>
        <v>0.12281464010750001</v>
      </c>
      <c r="Q101" s="18">
        <f t="shared" si="35"/>
        <v>0</v>
      </c>
      <c r="R101" s="220"/>
      <c r="S101" s="220"/>
    </row>
    <row r="102" spans="1:19" s="219" customFormat="1" ht="13.5" thickBot="1">
      <c r="A102" s="1358"/>
      <c r="B102" s="221"/>
      <c r="C102" s="234" t="s">
        <v>3737</v>
      </c>
      <c r="D102" s="223" t="s">
        <v>3669</v>
      </c>
      <c r="E102" s="224">
        <v>20951</v>
      </c>
      <c r="F102" s="13">
        <f t="shared" si="24"/>
        <v>11523.050000000001</v>
      </c>
      <c r="G102" s="17">
        <f t="shared" si="25"/>
        <v>0</v>
      </c>
      <c r="H102" s="15">
        <f t="shared" si="26"/>
        <v>361.47807850000004</v>
      </c>
      <c r="I102" s="15">
        <f t="shared" si="27"/>
        <v>0</v>
      </c>
      <c r="J102" s="15">
        <f t="shared" si="28"/>
        <v>315.73157000000003</v>
      </c>
      <c r="K102" s="15">
        <f t="shared" si="29"/>
        <v>0</v>
      </c>
      <c r="L102" s="15">
        <f t="shared" si="30"/>
        <v>262.72554000000002</v>
      </c>
      <c r="M102" s="15">
        <f t="shared" si="31"/>
        <v>0</v>
      </c>
      <c r="N102" s="15">
        <f t="shared" si="32"/>
        <v>235.07022000000003</v>
      </c>
      <c r="O102" s="18">
        <f t="shared" si="33"/>
        <v>0</v>
      </c>
      <c r="P102" s="15">
        <f t="shared" si="34"/>
        <v>6.6873444522500005</v>
      </c>
      <c r="Q102" s="18">
        <f t="shared" si="35"/>
        <v>0</v>
      </c>
      <c r="R102" s="220"/>
      <c r="S102" s="220"/>
    </row>
    <row r="103" spans="1:19" s="219" customFormat="1" ht="13.5" thickBot="1">
      <c r="A103" s="1358"/>
      <c r="B103" s="221"/>
      <c r="C103" s="234" t="s">
        <v>545</v>
      </c>
      <c r="D103" s="223" t="s">
        <v>784</v>
      </c>
      <c r="E103" s="224">
        <v>5200</v>
      </c>
      <c r="F103" s="13">
        <f t="shared" si="24"/>
        <v>2860.0000000000005</v>
      </c>
      <c r="G103" s="17">
        <f t="shared" si="25"/>
        <v>0</v>
      </c>
      <c r="H103" s="15">
        <f t="shared" si="26"/>
        <v>89.718200000000024</v>
      </c>
      <c r="I103" s="15">
        <f t="shared" si="27"/>
        <v>0</v>
      </c>
      <c r="J103" s="15">
        <f t="shared" si="28"/>
        <v>78.364000000000019</v>
      </c>
      <c r="K103" s="15">
        <f t="shared" si="29"/>
        <v>0</v>
      </c>
      <c r="L103" s="15">
        <f t="shared" si="30"/>
        <v>65.208000000000013</v>
      </c>
      <c r="M103" s="15">
        <f t="shared" si="31"/>
        <v>0</v>
      </c>
      <c r="N103" s="15">
        <f t="shared" si="32"/>
        <v>58.344000000000015</v>
      </c>
      <c r="O103" s="15">
        <f t="shared" si="33"/>
        <v>0</v>
      </c>
      <c r="P103" s="15">
        <f t="shared" si="34"/>
        <v>1.6597867000000004</v>
      </c>
      <c r="Q103" s="18">
        <f t="shared" si="35"/>
        <v>0</v>
      </c>
      <c r="R103" s="220"/>
      <c r="S103" s="220"/>
    </row>
    <row r="104" spans="1:19" s="219" customFormat="1" ht="13.5" thickBot="1">
      <c r="A104" s="1358"/>
      <c r="B104" s="221"/>
      <c r="C104" s="234" t="s">
        <v>3752</v>
      </c>
      <c r="D104" s="223" t="s">
        <v>3687</v>
      </c>
      <c r="E104" s="224">
        <v>4258.93</v>
      </c>
      <c r="F104" s="13">
        <f t="shared" si="24"/>
        <v>2342.4115000000002</v>
      </c>
      <c r="G104" s="17">
        <f t="shared" si="25"/>
        <v>0</v>
      </c>
      <c r="H104" s="15">
        <f t="shared" si="26"/>
        <v>73.481448755000017</v>
      </c>
      <c r="I104" s="15">
        <f t="shared" si="27"/>
        <v>0</v>
      </c>
      <c r="J104" s="15">
        <f t="shared" si="28"/>
        <v>64.182075100000006</v>
      </c>
      <c r="K104" s="15">
        <f t="shared" si="29"/>
        <v>0</v>
      </c>
      <c r="L104" s="15">
        <f t="shared" si="30"/>
        <v>53.406982200000009</v>
      </c>
      <c r="M104" s="15">
        <f t="shared" si="31"/>
        <v>0</v>
      </c>
      <c r="N104" s="15">
        <f t="shared" si="32"/>
        <v>47.785194600000004</v>
      </c>
      <c r="O104" s="15">
        <f t="shared" si="33"/>
        <v>0</v>
      </c>
      <c r="P104" s="15">
        <f t="shared" si="34"/>
        <v>1.3594068019675003</v>
      </c>
      <c r="Q104" s="18">
        <f t="shared" si="35"/>
        <v>0</v>
      </c>
      <c r="R104" s="220"/>
      <c r="S104" s="220"/>
    </row>
    <row r="105" spans="1:19" s="219" customFormat="1" ht="13.5" thickBot="1">
      <c r="A105" s="1358"/>
      <c r="B105" s="221"/>
      <c r="C105" s="222" t="s">
        <v>56</v>
      </c>
      <c r="D105" s="223" t="s">
        <v>125</v>
      </c>
      <c r="E105" s="224">
        <v>445</v>
      </c>
      <c r="F105" s="13">
        <f t="shared" si="24"/>
        <v>244.75000000000003</v>
      </c>
      <c r="G105" s="17">
        <f t="shared" si="25"/>
        <v>0</v>
      </c>
      <c r="H105" s="15">
        <f t="shared" si="26"/>
        <v>7.677807500000001</v>
      </c>
      <c r="I105" s="15">
        <f t="shared" si="27"/>
        <v>0</v>
      </c>
      <c r="J105" s="15">
        <f t="shared" si="28"/>
        <v>6.7061500000000009</v>
      </c>
      <c r="K105" s="15">
        <f t="shared" si="29"/>
        <v>0</v>
      </c>
      <c r="L105" s="15">
        <f t="shared" si="30"/>
        <v>5.5803000000000011</v>
      </c>
      <c r="M105" s="15">
        <f t="shared" si="31"/>
        <v>0</v>
      </c>
      <c r="N105" s="15">
        <f t="shared" si="32"/>
        <v>4.9929000000000006</v>
      </c>
      <c r="O105" s="18">
        <f t="shared" si="33"/>
        <v>0</v>
      </c>
      <c r="P105" s="15">
        <f t="shared" si="34"/>
        <v>0.14203943875000002</v>
      </c>
      <c r="Q105" s="18">
        <f t="shared" si="35"/>
        <v>0</v>
      </c>
      <c r="R105" s="220"/>
      <c r="S105" s="220"/>
    </row>
    <row r="106" spans="1:19" s="219" customFormat="1" ht="13.5" thickBot="1">
      <c r="A106" s="1358"/>
      <c r="B106" s="221"/>
      <c r="C106" s="222" t="s">
        <v>578</v>
      </c>
      <c r="D106" s="223" t="s">
        <v>537</v>
      </c>
      <c r="E106" s="224">
        <v>1425</v>
      </c>
      <c r="F106" s="13">
        <f t="shared" si="24"/>
        <v>783.75000000000011</v>
      </c>
      <c r="G106" s="16">
        <f t="shared" si="25"/>
        <v>0</v>
      </c>
      <c r="H106" s="14">
        <f t="shared" si="26"/>
        <v>24.586237500000006</v>
      </c>
      <c r="I106" s="15">
        <f t="shared" si="27"/>
        <v>0</v>
      </c>
      <c r="J106" s="15">
        <f t="shared" si="28"/>
        <v>21.474750000000004</v>
      </c>
      <c r="K106" s="15">
        <f t="shared" si="29"/>
        <v>0</v>
      </c>
      <c r="L106" s="15">
        <f t="shared" si="30"/>
        <v>17.869500000000002</v>
      </c>
      <c r="M106" s="15">
        <f t="shared" si="31"/>
        <v>0</v>
      </c>
      <c r="N106" s="15">
        <f t="shared" si="32"/>
        <v>15.988500000000004</v>
      </c>
      <c r="O106" s="18">
        <f t="shared" si="33"/>
        <v>0</v>
      </c>
      <c r="P106" s="15">
        <f>F106*0.0185</f>
        <v>14.499375000000001</v>
      </c>
      <c r="Q106" s="18">
        <f t="shared" si="35"/>
        <v>0</v>
      </c>
      <c r="R106" s="220"/>
      <c r="S106" s="220"/>
    </row>
    <row r="107" spans="1:19" s="219" customFormat="1" ht="13.5" thickBot="1">
      <c r="A107" s="1358"/>
      <c r="B107" s="221"/>
      <c r="C107" s="234" t="s">
        <v>3755</v>
      </c>
      <c r="D107" s="223" t="s">
        <v>3690</v>
      </c>
      <c r="E107" s="224">
        <v>490</v>
      </c>
      <c r="F107" s="13">
        <f t="shared" si="24"/>
        <v>269.5</v>
      </c>
      <c r="G107" s="16">
        <f t="shared" si="25"/>
        <v>0</v>
      </c>
      <c r="H107" s="14">
        <f t="shared" si="26"/>
        <v>8.4542150000000014</v>
      </c>
      <c r="I107" s="15">
        <f t="shared" si="27"/>
        <v>0</v>
      </c>
      <c r="J107" s="15">
        <f t="shared" si="28"/>
        <v>7.3843000000000005</v>
      </c>
      <c r="K107" s="15">
        <f t="shared" si="29"/>
        <v>0</v>
      </c>
      <c r="L107" s="15">
        <f t="shared" si="30"/>
        <v>6.1446000000000005</v>
      </c>
      <c r="M107" s="15">
        <f t="shared" si="31"/>
        <v>0</v>
      </c>
      <c r="N107" s="15">
        <f t="shared" si="32"/>
        <v>5.4978000000000007</v>
      </c>
      <c r="O107" s="15">
        <f t="shared" si="33"/>
        <v>0</v>
      </c>
      <c r="P107" s="15">
        <f t="shared" ref="P107:P143" si="36">H107*0.0185</f>
        <v>0.15640297750000001</v>
      </c>
      <c r="Q107" s="18">
        <f t="shared" si="35"/>
        <v>0</v>
      </c>
      <c r="R107" s="220"/>
      <c r="S107" s="220"/>
    </row>
    <row r="108" spans="1:19" s="219" customFormat="1" ht="13.5" thickBot="1">
      <c r="A108" s="1358"/>
      <c r="B108" s="221"/>
      <c r="C108" s="234" t="s">
        <v>3756</v>
      </c>
      <c r="D108" s="223" t="s">
        <v>3691</v>
      </c>
      <c r="E108" s="224">
        <v>770</v>
      </c>
      <c r="F108" s="13">
        <f t="shared" si="24"/>
        <v>423.50000000000006</v>
      </c>
      <c r="G108" s="16">
        <f t="shared" si="25"/>
        <v>0</v>
      </c>
      <c r="H108" s="14">
        <f t="shared" si="26"/>
        <v>13.285195000000003</v>
      </c>
      <c r="I108" s="15">
        <f t="shared" si="27"/>
        <v>0</v>
      </c>
      <c r="J108" s="15">
        <f t="shared" si="28"/>
        <v>11.603900000000001</v>
      </c>
      <c r="K108" s="15">
        <f t="shared" si="29"/>
        <v>0</v>
      </c>
      <c r="L108" s="15">
        <f t="shared" si="30"/>
        <v>9.655800000000001</v>
      </c>
      <c r="M108" s="15">
        <f t="shared" si="31"/>
        <v>0</v>
      </c>
      <c r="N108" s="15">
        <f t="shared" si="32"/>
        <v>8.639400000000002</v>
      </c>
      <c r="O108" s="15">
        <f t="shared" si="33"/>
        <v>0</v>
      </c>
      <c r="P108" s="15">
        <f t="shared" si="36"/>
        <v>0.24577610750000006</v>
      </c>
      <c r="Q108" s="18">
        <f t="shared" si="35"/>
        <v>0</v>
      </c>
      <c r="R108" s="220"/>
      <c r="S108" s="220"/>
    </row>
    <row r="109" spans="1:19" s="219" customFormat="1" ht="13.5" thickBot="1">
      <c r="A109" s="1358"/>
      <c r="B109" s="221"/>
      <c r="C109" s="90" t="s">
        <v>3745</v>
      </c>
      <c r="D109" s="235" t="s">
        <v>3679</v>
      </c>
      <c r="E109" s="236">
        <v>4193</v>
      </c>
      <c r="F109" s="13">
        <f t="shared" si="24"/>
        <v>2306.15</v>
      </c>
      <c r="G109" s="16">
        <f t="shared" si="25"/>
        <v>0</v>
      </c>
      <c r="H109" s="14">
        <f t="shared" si="26"/>
        <v>72.343925500000012</v>
      </c>
      <c r="I109" s="15">
        <f t="shared" si="27"/>
        <v>0</v>
      </c>
      <c r="J109" s="15">
        <f t="shared" si="28"/>
        <v>63.188510000000001</v>
      </c>
      <c r="K109" s="15">
        <f t="shared" si="29"/>
        <v>0</v>
      </c>
      <c r="L109" s="15">
        <f t="shared" si="30"/>
        <v>52.580220000000004</v>
      </c>
      <c r="M109" s="15">
        <f t="shared" si="31"/>
        <v>0</v>
      </c>
      <c r="N109" s="15">
        <f t="shared" si="32"/>
        <v>47.045460000000006</v>
      </c>
      <c r="O109" s="15">
        <f t="shared" si="33"/>
        <v>0</v>
      </c>
      <c r="P109" s="15">
        <f t="shared" si="36"/>
        <v>1.3383626217500002</v>
      </c>
      <c r="Q109" s="18">
        <f t="shared" si="35"/>
        <v>0</v>
      </c>
      <c r="R109" s="220"/>
      <c r="S109" s="220"/>
    </row>
    <row r="110" spans="1:19" s="219" customFormat="1" ht="13.5" thickBot="1">
      <c r="A110" s="1358"/>
      <c r="B110" s="221"/>
      <c r="C110" s="90" t="s">
        <v>801</v>
      </c>
      <c r="D110" s="235" t="s">
        <v>785</v>
      </c>
      <c r="E110" s="236">
        <v>5586</v>
      </c>
      <c r="F110" s="13">
        <f t="shared" si="24"/>
        <v>3072.3</v>
      </c>
      <c r="G110" s="16">
        <f t="shared" si="25"/>
        <v>0</v>
      </c>
      <c r="H110" s="14">
        <f t="shared" si="26"/>
        <v>96.378051000000013</v>
      </c>
      <c r="I110" s="15">
        <f t="shared" si="27"/>
        <v>0</v>
      </c>
      <c r="J110" s="15">
        <f t="shared" si="28"/>
        <v>84.181020000000004</v>
      </c>
      <c r="K110" s="15">
        <f t="shared" si="29"/>
        <v>0</v>
      </c>
      <c r="L110" s="15">
        <f t="shared" si="30"/>
        <v>70.048440000000014</v>
      </c>
      <c r="M110" s="15">
        <f t="shared" si="31"/>
        <v>0</v>
      </c>
      <c r="N110" s="15">
        <f t="shared" si="32"/>
        <v>62.674920000000007</v>
      </c>
      <c r="O110" s="15">
        <f t="shared" si="33"/>
        <v>0</v>
      </c>
      <c r="P110" s="15">
        <f t="shared" si="36"/>
        <v>1.7829939435000002</v>
      </c>
      <c r="Q110" s="18">
        <f t="shared" si="35"/>
        <v>0</v>
      </c>
      <c r="R110" s="220"/>
      <c r="S110" s="220"/>
    </row>
    <row r="111" spans="1:19" s="219" customFormat="1" ht="13.5" thickBot="1">
      <c r="A111" s="1358"/>
      <c r="B111" s="221"/>
      <c r="C111" s="90" t="s">
        <v>802</v>
      </c>
      <c r="D111" s="235" t="s">
        <v>786</v>
      </c>
      <c r="E111" s="236">
        <v>5362</v>
      </c>
      <c r="F111" s="13">
        <f t="shared" si="24"/>
        <v>2949.1000000000004</v>
      </c>
      <c r="G111" s="16">
        <f t="shared" si="25"/>
        <v>0</v>
      </c>
      <c r="H111" s="14">
        <f t="shared" si="26"/>
        <v>92.513267000000013</v>
      </c>
      <c r="I111" s="15">
        <f t="shared" si="27"/>
        <v>0</v>
      </c>
      <c r="J111" s="15">
        <f t="shared" si="28"/>
        <v>80.805340000000015</v>
      </c>
      <c r="K111" s="15">
        <f t="shared" si="29"/>
        <v>0</v>
      </c>
      <c r="L111" s="15">
        <f t="shared" si="30"/>
        <v>67.239480000000015</v>
      </c>
      <c r="M111" s="15">
        <f t="shared" si="31"/>
        <v>0</v>
      </c>
      <c r="N111" s="15">
        <f t="shared" si="32"/>
        <v>60.161640000000013</v>
      </c>
      <c r="O111" s="15">
        <f t="shared" si="33"/>
        <v>0</v>
      </c>
      <c r="P111" s="15">
        <f t="shared" si="36"/>
        <v>1.7114954395000002</v>
      </c>
      <c r="Q111" s="18">
        <f t="shared" si="35"/>
        <v>0</v>
      </c>
      <c r="R111" s="220"/>
      <c r="S111" s="220"/>
    </row>
    <row r="112" spans="1:19" s="219" customFormat="1" ht="13.5" thickBot="1">
      <c r="A112" s="1358"/>
      <c r="B112" s="221"/>
      <c r="C112" s="90" t="s">
        <v>3741</v>
      </c>
      <c r="D112" s="235" t="s">
        <v>3675</v>
      </c>
      <c r="E112" s="236">
        <v>3798</v>
      </c>
      <c r="F112" s="13">
        <f t="shared" si="24"/>
        <v>2088.9</v>
      </c>
      <c r="G112" s="16">
        <f t="shared" si="25"/>
        <v>0</v>
      </c>
      <c r="H112" s="14">
        <f t="shared" si="26"/>
        <v>65.528793000000007</v>
      </c>
      <c r="I112" s="15">
        <f t="shared" si="27"/>
        <v>0</v>
      </c>
      <c r="J112" s="15">
        <f t="shared" si="28"/>
        <v>57.235860000000002</v>
      </c>
      <c r="K112" s="15">
        <f t="shared" si="29"/>
        <v>0</v>
      </c>
      <c r="L112" s="15">
        <f t="shared" si="30"/>
        <v>47.626920000000005</v>
      </c>
      <c r="M112" s="15">
        <f t="shared" si="31"/>
        <v>0</v>
      </c>
      <c r="N112" s="15">
        <f t="shared" si="32"/>
        <v>42.613560000000007</v>
      </c>
      <c r="O112" s="15">
        <f t="shared" si="33"/>
        <v>0</v>
      </c>
      <c r="P112" s="15">
        <f t="shared" si="36"/>
        <v>1.2122826705</v>
      </c>
      <c r="Q112" s="18">
        <f t="shared" si="35"/>
        <v>0</v>
      </c>
      <c r="R112" s="220"/>
      <c r="S112" s="220"/>
    </row>
    <row r="113" spans="1:19" s="219" customFormat="1" ht="13.5" thickBot="1">
      <c r="A113" s="1358"/>
      <c r="B113" s="221"/>
      <c r="C113" s="234" t="s">
        <v>3730</v>
      </c>
      <c r="D113" s="223" t="s">
        <v>208</v>
      </c>
      <c r="E113" s="224">
        <v>44838</v>
      </c>
      <c r="F113" s="13">
        <f t="shared" si="24"/>
        <v>24660.9</v>
      </c>
      <c r="G113" s="16">
        <f t="shared" si="25"/>
        <v>0</v>
      </c>
      <c r="H113" s="14">
        <f t="shared" si="26"/>
        <v>773.61243300000012</v>
      </c>
      <c r="I113" s="15">
        <f t="shared" si="27"/>
        <v>0</v>
      </c>
      <c r="J113" s="15">
        <f t="shared" si="28"/>
        <v>675.70866000000001</v>
      </c>
      <c r="K113" s="15">
        <f t="shared" si="29"/>
        <v>0</v>
      </c>
      <c r="L113" s="15">
        <f t="shared" si="30"/>
        <v>562.26852000000008</v>
      </c>
      <c r="M113" s="15">
        <f t="shared" si="31"/>
        <v>0</v>
      </c>
      <c r="N113" s="15">
        <f t="shared" si="32"/>
        <v>503.08236000000005</v>
      </c>
      <c r="O113" s="15">
        <f t="shared" si="33"/>
        <v>0</v>
      </c>
      <c r="P113" s="15">
        <f t="shared" si="36"/>
        <v>14.311830010500001</v>
      </c>
      <c r="Q113" s="18">
        <f t="shared" si="35"/>
        <v>0</v>
      </c>
      <c r="R113" s="220"/>
      <c r="S113" s="220"/>
    </row>
    <row r="114" spans="1:19" s="219" customFormat="1" ht="13.5" thickBot="1">
      <c r="A114" s="1358"/>
      <c r="B114" s="221"/>
      <c r="C114" s="234" t="s">
        <v>3750</v>
      </c>
      <c r="D114" s="223" t="s">
        <v>3685</v>
      </c>
      <c r="E114" s="224">
        <v>11614.55</v>
      </c>
      <c r="F114" s="13">
        <f t="shared" si="24"/>
        <v>6388.0025000000005</v>
      </c>
      <c r="G114" s="16">
        <f t="shared" si="25"/>
        <v>0</v>
      </c>
      <c r="H114" s="14">
        <f t="shared" si="26"/>
        <v>200.39163842500002</v>
      </c>
      <c r="I114" s="15">
        <f t="shared" si="27"/>
        <v>0</v>
      </c>
      <c r="J114" s="15">
        <f t="shared" si="28"/>
        <v>175.03126850000001</v>
      </c>
      <c r="K114" s="15">
        <f t="shared" si="29"/>
        <v>0</v>
      </c>
      <c r="L114" s="15">
        <f t="shared" si="30"/>
        <v>145.64645700000003</v>
      </c>
      <c r="M114" s="15">
        <f t="shared" si="31"/>
        <v>0</v>
      </c>
      <c r="N114" s="15">
        <f t="shared" si="32"/>
        <v>130.31525100000002</v>
      </c>
      <c r="O114" s="15">
        <f t="shared" si="33"/>
        <v>0</v>
      </c>
      <c r="P114" s="15">
        <f t="shared" si="36"/>
        <v>3.7072453108625001</v>
      </c>
      <c r="Q114" s="18">
        <f t="shared" si="35"/>
        <v>0</v>
      </c>
      <c r="R114" s="220"/>
      <c r="S114" s="220"/>
    </row>
    <row r="115" spans="1:19" s="219" customFormat="1" ht="13.5" thickBot="1">
      <c r="A115" s="1358"/>
      <c r="B115" s="221"/>
      <c r="C115" s="234" t="s">
        <v>3751</v>
      </c>
      <c r="D115" s="223" t="s">
        <v>3686</v>
      </c>
      <c r="E115" s="224">
        <v>20959.38</v>
      </c>
      <c r="F115" s="13">
        <f t="shared" si="24"/>
        <v>11527.659000000001</v>
      </c>
      <c r="G115" s="17">
        <f t="shared" si="25"/>
        <v>0</v>
      </c>
      <c r="H115" s="15">
        <f t="shared" si="26"/>
        <v>361.62266283000008</v>
      </c>
      <c r="I115" s="15">
        <f t="shared" si="27"/>
        <v>0</v>
      </c>
      <c r="J115" s="15">
        <f t="shared" si="28"/>
        <v>315.85785660000005</v>
      </c>
      <c r="K115" s="15">
        <f t="shared" si="29"/>
        <v>0</v>
      </c>
      <c r="L115" s="15">
        <f t="shared" si="30"/>
        <v>262.83062520000004</v>
      </c>
      <c r="M115" s="15">
        <f t="shared" si="31"/>
        <v>0</v>
      </c>
      <c r="N115" s="15">
        <f t="shared" si="32"/>
        <v>235.16424360000005</v>
      </c>
      <c r="O115" s="15">
        <f t="shared" si="33"/>
        <v>0</v>
      </c>
      <c r="P115" s="15">
        <f t="shared" si="36"/>
        <v>6.6900192623550012</v>
      </c>
      <c r="Q115" s="18">
        <f t="shared" si="35"/>
        <v>0</v>
      </c>
      <c r="R115" s="220"/>
      <c r="S115" s="220"/>
    </row>
    <row r="116" spans="1:19" s="219" customFormat="1" ht="13.5" thickBot="1">
      <c r="A116" s="1358"/>
      <c r="B116" s="221"/>
      <c r="C116" s="234" t="s">
        <v>158</v>
      </c>
      <c r="D116" s="223" t="s">
        <v>1</v>
      </c>
      <c r="E116" s="224">
        <v>1113</v>
      </c>
      <c r="F116" s="13">
        <f t="shared" si="24"/>
        <v>612.15000000000009</v>
      </c>
      <c r="G116" s="17">
        <f t="shared" si="25"/>
        <v>0</v>
      </c>
      <c r="H116" s="15">
        <f t="shared" si="26"/>
        <v>19.203145500000005</v>
      </c>
      <c r="I116" s="15">
        <f t="shared" si="27"/>
        <v>0</v>
      </c>
      <c r="J116" s="15">
        <f t="shared" si="28"/>
        <v>16.772910000000003</v>
      </c>
      <c r="K116" s="15">
        <f t="shared" si="29"/>
        <v>0</v>
      </c>
      <c r="L116" s="15">
        <f t="shared" si="30"/>
        <v>13.957020000000002</v>
      </c>
      <c r="M116" s="15">
        <f t="shared" si="31"/>
        <v>0</v>
      </c>
      <c r="N116" s="15">
        <f t="shared" si="32"/>
        <v>12.487860000000003</v>
      </c>
      <c r="O116" s="15">
        <f t="shared" si="33"/>
        <v>0</v>
      </c>
      <c r="P116" s="15">
        <f t="shared" si="36"/>
        <v>0.35525819175000006</v>
      </c>
      <c r="Q116" s="18">
        <f t="shared" si="35"/>
        <v>0</v>
      </c>
      <c r="R116" s="220"/>
      <c r="S116" s="220"/>
    </row>
    <row r="117" spans="1:19" s="219" customFormat="1" ht="13.5" thickBot="1">
      <c r="A117" s="1358"/>
      <c r="B117" s="221"/>
      <c r="C117" s="90" t="s">
        <v>3740</v>
      </c>
      <c r="D117" s="235" t="s">
        <v>3674</v>
      </c>
      <c r="E117" s="236">
        <v>835.28</v>
      </c>
      <c r="F117" s="13">
        <f t="shared" si="24"/>
        <v>459.404</v>
      </c>
      <c r="G117" s="17">
        <f t="shared" si="25"/>
        <v>0</v>
      </c>
      <c r="H117" s="15">
        <f t="shared" si="26"/>
        <v>14.41150348</v>
      </c>
      <c r="I117" s="15">
        <f t="shared" si="27"/>
        <v>0</v>
      </c>
      <c r="J117" s="15">
        <f t="shared" si="28"/>
        <v>12.5876696</v>
      </c>
      <c r="K117" s="15">
        <f t="shared" si="29"/>
        <v>0</v>
      </c>
      <c r="L117" s="15">
        <f t="shared" si="30"/>
        <v>10.4744112</v>
      </c>
      <c r="M117" s="15">
        <f t="shared" si="31"/>
        <v>0</v>
      </c>
      <c r="N117" s="15">
        <f t="shared" si="32"/>
        <v>9.3718415999999998</v>
      </c>
      <c r="O117" s="15">
        <f t="shared" si="33"/>
        <v>0</v>
      </c>
      <c r="P117" s="15">
        <f t="shared" si="36"/>
        <v>0.26661281438000001</v>
      </c>
      <c r="Q117" s="18">
        <f t="shared" si="35"/>
        <v>0</v>
      </c>
      <c r="R117" s="220"/>
      <c r="S117" s="220"/>
    </row>
    <row r="118" spans="1:19" s="219" customFormat="1" ht="13.5" thickBot="1">
      <c r="A118" s="1358"/>
      <c r="B118" s="221"/>
      <c r="C118" s="222">
        <v>10200011</v>
      </c>
      <c r="D118" s="225" t="s">
        <v>787</v>
      </c>
      <c r="E118" s="224">
        <v>16800</v>
      </c>
      <c r="F118" s="13">
        <f t="shared" si="24"/>
        <v>9240</v>
      </c>
      <c r="G118" s="17">
        <f t="shared" si="25"/>
        <v>0</v>
      </c>
      <c r="H118" s="15">
        <f t="shared" si="26"/>
        <v>289.85880000000003</v>
      </c>
      <c r="I118" s="15">
        <f t="shared" si="27"/>
        <v>0</v>
      </c>
      <c r="J118" s="15">
        <f t="shared" si="28"/>
        <v>253.17600000000002</v>
      </c>
      <c r="K118" s="15">
        <f t="shared" si="29"/>
        <v>0</v>
      </c>
      <c r="L118" s="15">
        <f t="shared" si="30"/>
        <v>210.672</v>
      </c>
      <c r="M118" s="15">
        <f t="shared" si="31"/>
        <v>0</v>
      </c>
      <c r="N118" s="15">
        <f t="shared" si="32"/>
        <v>188.49600000000001</v>
      </c>
      <c r="O118" s="18">
        <f t="shared" si="33"/>
        <v>0</v>
      </c>
      <c r="P118" s="15">
        <f t="shared" si="36"/>
        <v>5.3623878000000005</v>
      </c>
      <c r="Q118" s="18">
        <f t="shared" si="35"/>
        <v>0</v>
      </c>
      <c r="R118" s="220"/>
      <c r="S118" s="220"/>
    </row>
    <row r="119" spans="1:19" s="219" customFormat="1" ht="13.5" thickBot="1">
      <c r="A119" s="1358"/>
      <c r="B119" s="229"/>
      <c r="C119" s="230" t="s">
        <v>548</v>
      </c>
      <c r="D119" s="225" t="s">
        <v>788</v>
      </c>
      <c r="E119" s="231">
        <v>13000</v>
      </c>
      <c r="F119" s="79">
        <f t="shared" si="24"/>
        <v>7150.0000000000009</v>
      </c>
      <c r="G119" s="81">
        <f t="shared" si="25"/>
        <v>0</v>
      </c>
      <c r="H119" s="18">
        <f t="shared" si="26"/>
        <v>224.29550000000003</v>
      </c>
      <c r="I119" s="18">
        <f t="shared" si="27"/>
        <v>0</v>
      </c>
      <c r="J119" s="18">
        <f>F119*0.02564</f>
        <v>183.32600000000002</v>
      </c>
      <c r="K119" s="18">
        <f t="shared" si="29"/>
        <v>0</v>
      </c>
      <c r="L119" s="18">
        <f>F119*0.0256</f>
        <v>183.04000000000002</v>
      </c>
      <c r="M119" s="18">
        <f t="shared" si="31"/>
        <v>0</v>
      </c>
      <c r="N119" s="18">
        <f t="shared" si="32"/>
        <v>145.86000000000004</v>
      </c>
      <c r="O119" s="18">
        <f t="shared" si="33"/>
        <v>0</v>
      </c>
      <c r="P119" s="18">
        <f t="shared" si="36"/>
        <v>4.1494667500000002</v>
      </c>
      <c r="Q119" s="18">
        <f t="shared" si="35"/>
        <v>0</v>
      </c>
      <c r="R119" s="220"/>
      <c r="S119" s="220"/>
    </row>
    <row r="120" spans="1:19" s="219" customFormat="1" ht="13.5" thickBot="1">
      <c r="A120" s="1358"/>
      <c r="B120" s="221"/>
      <c r="C120" s="222" t="s">
        <v>549</v>
      </c>
      <c r="D120" s="223" t="s">
        <v>789</v>
      </c>
      <c r="E120" s="224">
        <v>5550</v>
      </c>
      <c r="F120" s="13">
        <f t="shared" si="24"/>
        <v>3052.5000000000005</v>
      </c>
      <c r="G120" s="17">
        <f t="shared" si="25"/>
        <v>0</v>
      </c>
      <c r="H120" s="15">
        <f t="shared" si="26"/>
        <v>95.756925000000024</v>
      </c>
      <c r="I120" s="15">
        <f t="shared" si="27"/>
        <v>0</v>
      </c>
      <c r="J120" s="15">
        <f>F120*0.0274</f>
        <v>83.638500000000022</v>
      </c>
      <c r="K120" s="15">
        <f t="shared" si="29"/>
        <v>0</v>
      </c>
      <c r="L120" s="15">
        <f t="shared" ref="L120:L143" si="37">F120*0.0228</f>
        <v>69.597000000000008</v>
      </c>
      <c r="M120" s="15">
        <f t="shared" si="31"/>
        <v>0</v>
      </c>
      <c r="N120" s="15">
        <f t="shared" si="32"/>
        <v>62.271000000000015</v>
      </c>
      <c r="O120" s="18">
        <f t="shared" si="33"/>
        <v>0</v>
      </c>
      <c r="P120" s="15">
        <f t="shared" si="36"/>
        <v>1.7715031125000003</v>
      </c>
      <c r="Q120" s="18">
        <f t="shared" si="35"/>
        <v>0</v>
      </c>
      <c r="R120" s="220"/>
      <c r="S120" s="220"/>
    </row>
    <row r="121" spans="1:19" s="219" customFormat="1" ht="13.5" thickBot="1">
      <c r="A121" s="1358"/>
      <c r="B121" s="221"/>
      <c r="C121" s="226" t="s">
        <v>550</v>
      </c>
      <c r="D121" s="227" t="s">
        <v>790</v>
      </c>
      <c r="E121" s="228">
        <v>13600</v>
      </c>
      <c r="F121" s="13">
        <f t="shared" si="24"/>
        <v>7480.0000000000009</v>
      </c>
      <c r="G121" s="17">
        <f t="shared" si="25"/>
        <v>0</v>
      </c>
      <c r="H121" s="15">
        <f t="shared" si="26"/>
        <v>234.64760000000004</v>
      </c>
      <c r="I121" s="15">
        <f t="shared" si="27"/>
        <v>0</v>
      </c>
      <c r="J121" s="15">
        <f>F121*0.0274</f>
        <v>204.95200000000003</v>
      </c>
      <c r="K121" s="15">
        <f t="shared" si="29"/>
        <v>0</v>
      </c>
      <c r="L121" s="15">
        <f t="shared" si="37"/>
        <v>170.54400000000004</v>
      </c>
      <c r="M121" s="15">
        <f t="shared" si="31"/>
        <v>0</v>
      </c>
      <c r="N121" s="15">
        <f t="shared" si="32"/>
        <v>152.59200000000004</v>
      </c>
      <c r="O121" s="18">
        <f t="shared" si="33"/>
        <v>0</v>
      </c>
      <c r="P121" s="15">
        <f t="shared" si="36"/>
        <v>4.3409806000000009</v>
      </c>
      <c r="Q121" s="18">
        <f t="shared" si="35"/>
        <v>0</v>
      </c>
      <c r="R121" s="220"/>
      <c r="S121" s="220"/>
    </row>
    <row r="122" spans="1:19" s="219" customFormat="1" ht="13.5" thickBot="1">
      <c r="A122" s="1358"/>
      <c r="B122" s="221"/>
      <c r="C122" s="234" t="s">
        <v>551</v>
      </c>
      <c r="D122" s="223" t="s">
        <v>791</v>
      </c>
      <c r="E122" s="224">
        <v>6400</v>
      </c>
      <c r="F122" s="13">
        <f t="shared" si="24"/>
        <v>3520.0000000000005</v>
      </c>
      <c r="G122" s="17">
        <f t="shared" si="25"/>
        <v>0</v>
      </c>
      <c r="H122" s="15">
        <f t="shared" si="26"/>
        <v>110.42240000000002</v>
      </c>
      <c r="I122" s="15">
        <f t="shared" si="27"/>
        <v>0</v>
      </c>
      <c r="J122" s="15">
        <f>F122*0.0274</f>
        <v>96.448000000000022</v>
      </c>
      <c r="K122" s="15">
        <f t="shared" si="29"/>
        <v>0</v>
      </c>
      <c r="L122" s="15">
        <f t="shared" si="37"/>
        <v>80.256000000000014</v>
      </c>
      <c r="M122" s="15">
        <f t="shared" si="31"/>
        <v>0</v>
      </c>
      <c r="N122" s="15">
        <f t="shared" si="32"/>
        <v>71.808000000000021</v>
      </c>
      <c r="O122" s="18">
        <f t="shared" si="33"/>
        <v>0</v>
      </c>
      <c r="P122" s="15">
        <f t="shared" si="36"/>
        <v>2.0428144000000001</v>
      </c>
      <c r="Q122" s="18">
        <f t="shared" si="35"/>
        <v>0</v>
      </c>
      <c r="R122" s="220"/>
      <c r="S122" s="220"/>
    </row>
    <row r="123" spans="1:19" s="219" customFormat="1" ht="13.5" thickBot="1">
      <c r="A123" s="1358"/>
      <c r="B123" s="229"/>
      <c r="C123" s="230" t="s">
        <v>552</v>
      </c>
      <c r="D123" s="225" t="s">
        <v>792</v>
      </c>
      <c r="E123" s="231">
        <v>43000</v>
      </c>
      <c r="F123" s="79">
        <f t="shared" si="24"/>
        <v>23650.000000000004</v>
      </c>
      <c r="G123" s="81">
        <f t="shared" si="25"/>
        <v>0</v>
      </c>
      <c r="H123" s="18">
        <f t="shared" si="26"/>
        <v>741.90050000000019</v>
      </c>
      <c r="I123" s="18">
        <f t="shared" si="27"/>
        <v>0</v>
      </c>
      <c r="J123" s="18">
        <f>F123*0.0274</f>
        <v>648.0100000000001</v>
      </c>
      <c r="K123" s="18">
        <f t="shared" si="29"/>
        <v>0</v>
      </c>
      <c r="L123" s="18">
        <f t="shared" si="37"/>
        <v>539.22000000000014</v>
      </c>
      <c r="M123" s="18">
        <f t="shared" si="31"/>
        <v>0</v>
      </c>
      <c r="N123" s="18">
        <f t="shared" si="32"/>
        <v>482.46000000000009</v>
      </c>
      <c r="O123" s="18">
        <f t="shared" si="33"/>
        <v>0</v>
      </c>
      <c r="P123" s="18">
        <f t="shared" si="36"/>
        <v>13.725159250000003</v>
      </c>
      <c r="Q123" s="18">
        <f t="shared" si="35"/>
        <v>0</v>
      </c>
      <c r="R123" s="220"/>
      <c r="S123" s="220"/>
    </row>
    <row r="124" spans="1:19" s="219" customFormat="1" ht="13.5" thickBot="1">
      <c r="A124" s="1358"/>
      <c r="B124" s="221"/>
      <c r="C124" s="222" t="s">
        <v>553</v>
      </c>
      <c r="D124" s="225" t="s">
        <v>793</v>
      </c>
      <c r="E124" s="224">
        <v>21500</v>
      </c>
      <c r="F124" s="13">
        <f t="shared" si="24"/>
        <v>11825.000000000002</v>
      </c>
      <c r="G124" s="17">
        <f t="shared" si="25"/>
        <v>0</v>
      </c>
      <c r="H124" s="15">
        <f t="shared" si="26"/>
        <v>370.9502500000001</v>
      </c>
      <c r="I124" s="15">
        <f t="shared" si="27"/>
        <v>0</v>
      </c>
      <c r="J124" s="15">
        <f>F124*0.0274</f>
        <v>324.00500000000005</v>
      </c>
      <c r="K124" s="15">
        <f t="shared" si="29"/>
        <v>0</v>
      </c>
      <c r="L124" s="15">
        <f t="shared" si="37"/>
        <v>269.61000000000007</v>
      </c>
      <c r="M124" s="15">
        <f t="shared" si="31"/>
        <v>0</v>
      </c>
      <c r="N124" s="15">
        <f t="shared" si="32"/>
        <v>241.23000000000005</v>
      </c>
      <c r="O124" s="18">
        <f t="shared" si="33"/>
        <v>0</v>
      </c>
      <c r="P124" s="15">
        <f t="shared" si="36"/>
        <v>6.8625796250000013</v>
      </c>
      <c r="Q124" s="18">
        <f t="shared" si="35"/>
        <v>0</v>
      </c>
      <c r="R124" s="220"/>
      <c r="S124" s="220"/>
    </row>
    <row r="125" spans="1:19" s="219" customFormat="1" ht="13.5" thickBot="1">
      <c r="A125" s="1358"/>
      <c r="B125" s="229"/>
      <c r="C125" s="230" t="s">
        <v>554</v>
      </c>
      <c r="D125" s="225" t="s">
        <v>794</v>
      </c>
      <c r="E125" s="231">
        <v>5600</v>
      </c>
      <c r="F125" s="79">
        <f t="shared" si="24"/>
        <v>3080.0000000000005</v>
      </c>
      <c r="G125" s="81">
        <f t="shared" si="25"/>
        <v>0</v>
      </c>
      <c r="H125" s="18">
        <f t="shared" si="26"/>
        <v>96.61960000000002</v>
      </c>
      <c r="I125" s="18">
        <f t="shared" si="27"/>
        <v>0</v>
      </c>
      <c r="J125" s="18">
        <f>F125*0.02564</f>
        <v>78.97120000000001</v>
      </c>
      <c r="K125" s="18">
        <f t="shared" si="29"/>
        <v>0</v>
      </c>
      <c r="L125" s="18">
        <f t="shared" si="37"/>
        <v>70.224000000000018</v>
      </c>
      <c r="M125" s="18">
        <f t="shared" si="31"/>
        <v>0</v>
      </c>
      <c r="N125" s="18">
        <f t="shared" si="32"/>
        <v>62.832000000000015</v>
      </c>
      <c r="O125" s="18">
        <f t="shared" si="33"/>
        <v>0</v>
      </c>
      <c r="P125" s="18">
        <f t="shared" si="36"/>
        <v>1.7874626000000002</v>
      </c>
      <c r="Q125" s="18">
        <f t="shared" si="35"/>
        <v>0</v>
      </c>
      <c r="R125" s="220"/>
      <c r="S125" s="220"/>
    </row>
    <row r="126" spans="1:19" s="219" customFormat="1" ht="13.5" thickBot="1">
      <c r="A126" s="1358"/>
      <c r="B126" s="221"/>
      <c r="C126" s="222" t="s">
        <v>3731</v>
      </c>
      <c r="D126" s="223" t="s">
        <v>126</v>
      </c>
      <c r="E126" s="224">
        <v>3725</v>
      </c>
      <c r="F126" s="13">
        <f t="shared" ref="F126:F143" si="38">E126*(1-45%)</f>
        <v>2048.75</v>
      </c>
      <c r="G126" s="17">
        <f t="shared" ref="G126:G143" si="39">F126*B126</f>
        <v>0</v>
      </c>
      <c r="H126" s="15">
        <f t="shared" ref="H126:H143" si="40">F126*0.03137</f>
        <v>64.269287500000004</v>
      </c>
      <c r="I126" s="15">
        <f t="shared" ref="I126:I143" si="41">H126*B126</f>
        <v>0</v>
      </c>
      <c r="J126" s="15">
        <f t="shared" ref="J126:J143" si="42">F126*0.0274</f>
        <v>56.135750000000002</v>
      </c>
      <c r="K126" s="15">
        <f t="shared" ref="K126:K143" si="43">J126*B126</f>
        <v>0</v>
      </c>
      <c r="L126" s="15">
        <f t="shared" si="37"/>
        <v>46.711500000000001</v>
      </c>
      <c r="M126" s="15">
        <f t="shared" ref="M126:M143" si="44">L126*B126</f>
        <v>0</v>
      </c>
      <c r="N126" s="15">
        <f t="shared" ref="N126:N143" si="45">F126*0.0204</f>
        <v>41.794500000000006</v>
      </c>
      <c r="O126" s="18">
        <f t="shared" ref="O126:O143" si="46">N126*B126</f>
        <v>0</v>
      </c>
      <c r="P126" s="15">
        <f t="shared" si="36"/>
        <v>1.1889818187500001</v>
      </c>
      <c r="Q126" s="18">
        <f t="shared" ref="Q126:Q143" si="47">P126*B126</f>
        <v>0</v>
      </c>
      <c r="R126" s="220"/>
      <c r="S126" s="220"/>
    </row>
    <row r="127" spans="1:19" s="219" customFormat="1" ht="13.5" thickBot="1">
      <c r="A127" s="1358"/>
      <c r="B127" s="229"/>
      <c r="C127" s="230" t="s">
        <v>3736</v>
      </c>
      <c r="D127" s="225" t="s">
        <v>3668</v>
      </c>
      <c r="E127" s="231">
        <v>8800</v>
      </c>
      <c r="F127" s="79">
        <f t="shared" si="38"/>
        <v>4840</v>
      </c>
      <c r="G127" s="81">
        <f t="shared" si="39"/>
        <v>0</v>
      </c>
      <c r="H127" s="18">
        <f t="shared" si="40"/>
        <v>151.83080000000001</v>
      </c>
      <c r="I127" s="18">
        <f t="shared" si="41"/>
        <v>0</v>
      </c>
      <c r="J127" s="18">
        <f t="shared" si="42"/>
        <v>132.61600000000001</v>
      </c>
      <c r="K127" s="18">
        <f t="shared" si="43"/>
        <v>0</v>
      </c>
      <c r="L127" s="18">
        <f t="shared" si="37"/>
        <v>110.352</v>
      </c>
      <c r="M127" s="18">
        <f t="shared" si="44"/>
        <v>0</v>
      </c>
      <c r="N127" s="18">
        <f t="shared" si="45"/>
        <v>98.736000000000004</v>
      </c>
      <c r="O127" s="18">
        <f t="shared" si="46"/>
        <v>0</v>
      </c>
      <c r="P127" s="18">
        <f t="shared" si="36"/>
        <v>2.8088698000000001</v>
      </c>
      <c r="Q127" s="18">
        <f t="shared" si="47"/>
        <v>0</v>
      </c>
      <c r="R127" s="220"/>
      <c r="S127" s="220"/>
    </row>
    <row r="128" spans="1:19" s="219" customFormat="1" ht="13.5" thickBot="1">
      <c r="A128" s="1358"/>
      <c r="B128" s="221"/>
      <c r="C128" s="90" t="s">
        <v>803</v>
      </c>
      <c r="D128" s="235" t="s">
        <v>3673</v>
      </c>
      <c r="E128" s="236">
        <v>5045</v>
      </c>
      <c r="F128" s="13">
        <f t="shared" si="38"/>
        <v>2774.75</v>
      </c>
      <c r="G128" s="16">
        <f t="shared" si="39"/>
        <v>0</v>
      </c>
      <c r="H128" s="14">
        <f t="shared" si="40"/>
        <v>87.043907500000003</v>
      </c>
      <c r="I128" s="15">
        <f t="shared" si="41"/>
        <v>0</v>
      </c>
      <c r="J128" s="15">
        <f t="shared" si="42"/>
        <v>76.028149999999997</v>
      </c>
      <c r="K128" s="15">
        <f t="shared" si="43"/>
        <v>0</v>
      </c>
      <c r="L128" s="15">
        <f t="shared" si="37"/>
        <v>63.264300000000006</v>
      </c>
      <c r="M128" s="15">
        <f t="shared" si="44"/>
        <v>0</v>
      </c>
      <c r="N128" s="15">
        <f t="shared" si="45"/>
        <v>56.604900000000001</v>
      </c>
      <c r="O128" s="15">
        <f t="shared" si="46"/>
        <v>0</v>
      </c>
      <c r="P128" s="15">
        <f t="shared" si="36"/>
        <v>1.6103122887499999</v>
      </c>
      <c r="Q128" s="18">
        <f t="shared" si="47"/>
        <v>0</v>
      </c>
      <c r="R128" s="220"/>
      <c r="S128" s="220"/>
    </row>
    <row r="129" spans="1:19" s="219" customFormat="1" ht="13.5" thickBot="1">
      <c r="A129" s="1358"/>
      <c r="B129" s="221"/>
      <c r="C129" s="234" t="s">
        <v>3729</v>
      </c>
      <c r="D129" s="223" t="s">
        <v>538</v>
      </c>
      <c r="E129" s="224">
        <v>27825</v>
      </c>
      <c r="F129" s="13">
        <f t="shared" si="38"/>
        <v>15303.750000000002</v>
      </c>
      <c r="G129" s="16">
        <f t="shared" si="39"/>
        <v>0</v>
      </c>
      <c r="H129" s="14">
        <f t="shared" si="40"/>
        <v>480.07863750000007</v>
      </c>
      <c r="I129" s="15">
        <f t="shared" si="41"/>
        <v>0</v>
      </c>
      <c r="J129" s="15">
        <f t="shared" si="42"/>
        <v>419.32275000000004</v>
      </c>
      <c r="K129" s="15">
        <f t="shared" si="43"/>
        <v>0</v>
      </c>
      <c r="L129" s="15">
        <f t="shared" si="37"/>
        <v>348.92550000000006</v>
      </c>
      <c r="M129" s="15">
        <f t="shared" si="44"/>
        <v>0</v>
      </c>
      <c r="N129" s="15">
        <f t="shared" si="45"/>
        <v>312.19650000000007</v>
      </c>
      <c r="O129" s="15">
        <f t="shared" si="46"/>
        <v>0</v>
      </c>
      <c r="P129" s="15">
        <f t="shared" si="36"/>
        <v>8.8814547937500006</v>
      </c>
      <c r="Q129" s="18">
        <f t="shared" si="47"/>
        <v>0</v>
      </c>
      <c r="R129" s="220"/>
      <c r="S129" s="220"/>
    </row>
    <row r="130" spans="1:19" s="219" customFormat="1" ht="13.5" thickBot="1">
      <c r="A130" s="1358"/>
      <c r="B130" s="221"/>
      <c r="C130" s="222" t="s">
        <v>55</v>
      </c>
      <c r="D130" s="223" t="s">
        <v>124</v>
      </c>
      <c r="E130" s="224">
        <v>1977.43</v>
      </c>
      <c r="F130" s="13">
        <f t="shared" si="38"/>
        <v>1087.5865000000001</v>
      </c>
      <c r="G130" s="16">
        <f t="shared" si="39"/>
        <v>0</v>
      </c>
      <c r="H130" s="14">
        <f t="shared" si="40"/>
        <v>34.117588505000008</v>
      </c>
      <c r="I130" s="15">
        <f t="shared" si="41"/>
        <v>0</v>
      </c>
      <c r="J130" s="15">
        <f t="shared" si="42"/>
        <v>29.799870100000003</v>
      </c>
      <c r="K130" s="15">
        <f t="shared" si="43"/>
        <v>0</v>
      </c>
      <c r="L130" s="15">
        <f t="shared" si="37"/>
        <v>24.796972200000003</v>
      </c>
      <c r="M130" s="15">
        <f t="shared" si="44"/>
        <v>0</v>
      </c>
      <c r="N130" s="15">
        <f t="shared" si="45"/>
        <v>22.186764600000004</v>
      </c>
      <c r="O130" s="18">
        <f t="shared" si="46"/>
        <v>0</v>
      </c>
      <c r="P130" s="15">
        <f t="shared" si="36"/>
        <v>0.63117538734250012</v>
      </c>
      <c r="Q130" s="18">
        <f t="shared" si="47"/>
        <v>0</v>
      </c>
      <c r="R130" s="220"/>
      <c r="S130" s="220"/>
    </row>
    <row r="131" spans="1:19" s="219" customFormat="1" ht="13.5" thickBot="1">
      <c r="A131" s="1358"/>
      <c r="B131" s="221"/>
      <c r="C131" s="222" t="s">
        <v>3733</v>
      </c>
      <c r="D131" s="225" t="s">
        <v>539</v>
      </c>
      <c r="E131" s="224">
        <v>16215</v>
      </c>
      <c r="F131" s="13">
        <f t="shared" si="38"/>
        <v>8918.25</v>
      </c>
      <c r="G131" s="16">
        <f t="shared" si="39"/>
        <v>0</v>
      </c>
      <c r="H131" s="14">
        <f t="shared" si="40"/>
        <v>279.76550250000003</v>
      </c>
      <c r="I131" s="15">
        <f t="shared" si="41"/>
        <v>0</v>
      </c>
      <c r="J131" s="15">
        <f t="shared" si="42"/>
        <v>244.36005</v>
      </c>
      <c r="K131" s="15">
        <f t="shared" si="43"/>
        <v>0</v>
      </c>
      <c r="L131" s="15">
        <f t="shared" si="37"/>
        <v>203.33610000000002</v>
      </c>
      <c r="M131" s="15">
        <f t="shared" si="44"/>
        <v>0</v>
      </c>
      <c r="N131" s="15">
        <f t="shared" si="45"/>
        <v>181.93230000000003</v>
      </c>
      <c r="O131" s="18">
        <f t="shared" si="46"/>
        <v>0</v>
      </c>
      <c r="P131" s="15">
        <f t="shared" si="36"/>
        <v>5.17566179625</v>
      </c>
      <c r="Q131" s="18">
        <f t="shared" si="47"/>
        <v>0</v>
      </c>
      <c r="R131" s="220"/>
      <c r="S131" s="220"/>
    </row>
    <row r="132" spans="1:19" s="219" customFormat="1" ht="13.5" thickBot="1">
      <c r="A132" s="1358"/>
      <c r="B132" s="229"/>
      <c r="C132" s="230" t="s">
        <v>3735</v>
      </c>
      <c r="D132" s="225" t="s">
        <v>540</v>
      </c>
      <c r="E132" s="231">
        <v>16192.13</v>
      </c>
      <c r="F132" s="79">
        <f t="shared" si="38"/>
        <v>8905.6715000000004</v>
      </c>
      <c r="G132" s="80">
        <f t="shared" si="39"/>
        <v>0</v>
      </c>
      <c r="H132" s="79">
        <f t="shared" si="40"/>
        <v>279.37091495500005</v>
      </c>
      <c r="I132" s="18">
        <f t="shared" si="41"/>
        <v>0</v>
      </c>
      <c r="J132" s="18">
        <f t="shared" si="42"/>
        <v>244.01539910000002</v>
      </c>
      <c r="K132" s="18">
        <f t="shared" si="43"/>
        <v>0</v>
      </c>
      <c r="L132" s="18">
        <f t="shared" si="37"/>
        <v>203.04931020000001</v>
      </c>
      <c r="M132" s="18">
        <f t="shared" si="44"/>
        <v>0</v>
      </c>
      <c r="N132" s="18">
        <f t="shared" si="45"/>
        <v>181.67569860000003</v>
      </c>
      <c r="O132" s="18">
        <f t="shared" si="46"/>
        <v>0</v>
      </c>
      <c r="P132" s="18">
        <f t="shared" si="36"/>
        <v>5.1683619266675009</v>
      </c>
      <c r="Q132" s="18">
        <f t="shared" si="47"/>
        <v>0</v>
      </c>
      <c r="R132" s="220"/>
      <c r="S132" s="220"/>
    </row>
    <row r="133" spans="1:19" s="219" customFormat="1" ht="26.25" thickBot="1">
      <c r="A133" s="1358"/>
      <c r="B133" s="221"/>
      <c r="C133" s="222" t="s">
        <v>3711</v>
      </c>
      <c r="D133" s="223" t="s">
        <v>3647</v>
      </c>
      <c r="E133" s="224">
        <v>773</v>
      </c>
      <c r="F133" s="13">
        <f t="shared" si="38"/>
        <v>425.15000000000003</v>
      </c>
      <c r="G133" s="16">
        <f t="shared" si="39"/>
        <v>0</v>
      </c>
      <c r="H133" s="14">
        <f t="shared" si="40"/>
        <v>13.336955500000002</v>
      </c>
      <c r="I133" s="15">
        <f t="shared" si="41"/>
        <v>0</v>
      </c>
      <c r="J133" s="15">
        <f t="shared" si="42"/>
        <v>11.649110000000002</v>
      </c>
      <c r="K133" s="15">
        <f t="shared" si="43"/>
        <v>0</v>
      </c>
      <c r="L133" s="15">
        <f t="shared" si="37"/>
        <v>9.6934200000000015</v>
      </c>
      <c r="M133" s="15">
        <f t="shared" si="44"/>
        <v>0</v>
      </c>
      <c r="N133" s="15">
        <f t="shared" si="45"/>
        <v>8.6730600000000013</v>
      </c>
      <c r="O133" s="18">
        <f t="shared" si="46"/>
        <v>0</v>
      </c>
      <c r="P133" s="15">
        <f t="shared" si="36"/>
        <v>0.24673367675000002</v>
      </c>
      <c r="Q133" s="18">
        <f t="shared" si="47"/>
        <v>0</v>
      </c>
      <c r="R133" s="220"/>
      <c r="S133" s="220"/>
    </row>
    <row r="134" spans="1:19" s="219" customFormat="1" ht="13.5" thickBot="1">
      <c r="A134" s="1358"/>
      <c r="B134" s="221"/>
      <c r="C134" s="234" t="s">
        <v>804</v>
      </c>
      <c r="D134" s="223" t="s">
        <v>795</v>
      </c>
      <c r="E134" s="224">
        <v>16595</v>
      </c>
      <c r="F134" s="13">
        <f t="shared" si="38"/>
        <v>9127.25</v>
      </c>
      <c r="G134" s="16">
        <f t="shared" si="39"/>
        <v>0</v>
      </c>
      <c r="H134" s="14">
        <f t="shared" si="40"/>
        <v>286.32183250000003</v>
      </c>
      <c r="I134" s="15">
        <f t="shared" si="41"/>
        <v>0</v>
      </c>
      <c r="J134" s="15">
        <f t="shared" si="42"/>
        <v>250.08665000000002</v>
      </c>
      <c r="K134" s="15">
        <f t="shared" si="43"/>
        <v>0</v>
      </c>
      <c r="L134" s="15">
        <f t="shared" si="37"/>
        <v>208.10130000000001</v>
      </c>
      <c r="M134" s="15">
        <f t="shared" si="44"/>
        <v>0</v>
      </c>
      <c r="N134" s="15">
        <f t="shared" si="45"/>
        <v>186.19590000000002</v>
      </c>
      <c r="O134" s="15">
        <f t="shared" si="46"/>
        <v>0</v>
      </c>
      <c r="P134" s="15">
        <f t="shared" si="36"/>
        <v>5.2969539012500002</v>
      </c>
      <c r="Q134" s="18">
        <f t="shared" si="47"/>
        <v>0</v>
      </c>
      <c r="R134" s="220"/>
      <c r="S134" s="220"/>
    </row>
    <row r="135" spans="1:19" s="219" customFormat="1" ht="13.5" thickBot="1">
      <c r="A135" s="1358"/>
      <c r="B135" s="221"/>
      <c r="C135" s="226" t="s">
        <v>556</v>
      </c>
      <c r="D135" s="227" t="s">
        <v>3666</v>
      </c>
      <c r="E135" s="228">
        <v>15840</v>
      </c>
      <c r="F135" s="13">
        <f t="shared" si="38"/>
        <v>8712</v>
      </c>
      <c r="G135" s="16">
        <f t="shared" si="39"/>
        <v>0</v>
      </c>
      <c r="H135" s="14">
        <f t="shared" si="40"/>
        <v>273.29544000000004</v>
      </c>
      <c r="I135" s="15">
        <f t="shared" si="41"/>
        <v>0</v>
      </c>
      <c r="J135" s="15">
        <f t="shared" si="42"/>
        <v>238.7088</v>
      </c>
      <c r="K135" s="15">
        <f t="shared" si="43"/>
        <v>0</v>
      </c>
      <c r="L135" s="15">
        <f t="shared" si="37"/>
        <v>198.6336</v>
      </c>
      <c r="M135" s="15">
        <f t="shared" si="44"/>
        <v>0</v>
      </c>
      <c r="N135" s="15">
        <f t="shared" si="45"/>
        <v>177.72480000000002</v>
      </c>
      <c r="O135" s="18">
        <f t="shared" si="46"/>
        <v>0</v>
      </c>
      <c r="P135" s="15">
        <f t="shared" si="36"/>
        <v>5.0559656400000001</v>
      </c>
      <c r="Q135" s="18">
        <f t="shared" si="47"/>
        <v>0</v>
      </c>
      <c r="R135" s="220"/>
      <c r="S135" s="220"/>
    </row>
    <row r="136" spans="1:19" s="219" customFormat="1" ht="13.5" thickBot="1">
      <c r="A136" s="1358"/>
      <c r="B136" s="221"/>
      <c r="C136" s="90" t="s">
        <v>3744</v>
      </c>
      <c r="D136" s="235" t="s">
        <v>3678</v>
      </c>
      <c r="E136" s="236">
        <v>4945</v>
      </c>
      <c r="F136" s="13">
        <f t="shared" si="38"/>
        <v>2719.75</v>
      </c>
      <c r="G136" s="16">
        <f t="shared" si="39"/>
        <v>0</v>
      </c>
      <c r="H136" s="14">
        <f t="shared" si="40"/>
        <v>85.318557500000011</v>
      </c>
      <c r="I136" s="15">
        <f t="shared" si="41"/>
        <v>0</v>
      </c>
      <c r="J136" s="15">
        <f t="shared" si="42"/>
        <v>74.521150000000006</v>
      </c>
      <c r="K136" s="15">
        <f t="shared" si="43"/>
        <v>0</v>
      </c>
      <c r="L136" s="15">
        <f t="shared" si="37"/>
        <v>62.010300000000001</v>
      </c>
      <c r="M136" s="15">
        <f t="shared" si="44"/>
        <v>0</v>
      </c>
      <c r="N136" s="15">
        <f t="shared" si="45"/>
        <v>55.482900000000001</v>
      </c>
      <c r="O136" s="15">
        <f t="shared" si="46"/>
        <v>0</v>
      </c>
      <c r="P136" s="15">
        <f t="shared" si="36"/>
        <v>1.5783933137500001</v>
      </c>
      <c r="Q136" s="18">
        <f t="shared" si="47"/>
        <v>0</v>
      </c>
      <c r="R136" s="220"/>
      <c r="S136" s="220"/>
    </row>
    <row r="137" spans="1:19" s="219" customFormat="1" ht="13.5" thickBot="1">
      <c r="A137" s="1358"/>
      <c r="B137" s="221"/>
      <c r="C137" s="90" t="s">
        <v>3739</v>
      </c>
      <c r="D137" s="235" t="s">
        <v>3671</v>
      </c>
      <c r="E137" s="236">
        <v>28825</v>
      </c>
      <c r="F137" s="13">
        <f t="shared" si="38"/>
        <v>15853.750000000002</v>
      </c>
      <c r="G137" s="16">
        <f t="shared" si="39"/>
        <v>0</v>
      </c>
      <c r="H137" s="14">
        <f t="shared" si="40"/>
        <v>497.3321375000001</v>
      </c>
      <c r="I137" s="15">
        <f t="shared" si="41"/>
        <v>0</v>
      </c>
      <c r="J137" s="15">
        <f t="shared" si="42"/>
        <v>434.39275000000004</v>
      </c>
      <c r="K137" s="15">
        <f t="shared" si="43"/>
        <v>0</v>
      </c>
      <c r="L137" s="15">
        <f t="shared" si="37"/>
        <v>361.46550000000008</v>
      </c>
      <c r="M137" s="15">
        <f t="shared" si="44"/>
        <v>0</v>
      </c>
      <c r="N137" s="15">
        <f t="shared" si="45"/>
        <v>323.41650000000004</v>
      </c>
      <c r="O137" s="18">
        <f t="shared" si="46"/>
        <v>0</v>
      </c>
      <c r="P137" s="15">
        <f t="shared" si="36"/>
        <v>9.200644543750002</v>
      </c>
      <c r="Q137" s="18">
        <f t="shared" si="47"/>
        <v>0</v>
      </c>
      <c r="R137" s="220"/>
      <c r="S137" s="220"/>
    </row>
    <row r="138" spans="1:19" s="219" customFormat="1" ht="13.5" thickBot="1">
      <c r="A138" s="1358"/>
      <c r="B138" s="221"/>
      <c r="C138" s="234" t="s">
        <v>3754</v>
      </c>
      <c r="D138" s="223" t="s">
        <v>3689</v>
      </c>
      <c r="E138" s="224">
        <v>2500</v>
      </c>
      <c r="F138" s="13">
        <f t="shared" si="38"/>
        <v>1375</v>
      </c>
      <c r="G138" s="16">
        <f t="shared" si="39"/>
        <v>0</v>
      </c>
      <c r="H138" s="14">
        <f t="shared" si="40"/>
        <v>43.133750000000006</v>
      </c>
      <c r="I138" s="15">
        <f t="shared" si="41"/>
        <v>0</v>
      </c>
      <c r="J138" s="15">
        <f t="shared" si="42"/>
        <v>37.675000000000004</v>
      </c>
      <c r="K138" s="15">
        <f t="shared" si="43"/>
        <v>0</v>
      </c>
      <c r="L138" s="15">
        <f t="shared" si="37"/>
        <v>31.35</v>
      </c>
      <c r="M138" s="15">
        <f t="shared" si="44"/>
        <v>0</v>
      </c>
      <c r="N138" s="15">
        <f t="shared" si="45"/>
        <v>28.05</v>
      </c>
      <c r="O138" s="15">
        <f t="shared" si="46"/>
        <v>0</v>
      </c>
      <c r="P138" s="15">
        <f t="shared" si="36"/>
        <v>0.79797437500000012</v>
      </c>
      <c r="Q138" s="18">
        <f t="shared" si="47"/>
        <v>0</v>
      </c>
      <c r="R138" s="220"/>
      <c r="S138" s="220"/>
    </row>
    <row r="139" spans="1:19" s="219" customFormat="1" ht="13.5" thickBot="1">
      <c r="A139" s="1358"/>
      <c r="B139" s="221"/>
      <c r="C139" s="222" t="s">
        <v>3768</v>
      </c>
      <c r="D139" s="223" t="s">
        <v>3710</v>
      </c>
      <c r="E139" s="224">
        <v>13320</v>
      </c>
      <c r="F139" s="13">
        <f t="shared" si="38"/>
        <v>7326.0000000000009</v>
      </c>
      <c r="G139" s="16">
        <f t="shared" si="39"/>
        <v>0</v>
      </c>
      <c r="H139" s="14">
        <f t="shared" si="40"/>
        <v>229.81662000000006</v>
      </c>
      <c r="I139" s="15">
        <f t="shared" si="41"/>
        <v>0</v>
      </c>
      <c r="J139" s="15">
        <f t="shared" si="42"/>
        <v>200.73240000000004</v>
      </c>
      <c r="K139" s="15">
        <f t="shared" si="43"/>
        <v>0</v>
      </c>
      <c r="L139" s="15">
        <f t="shared" si="37"/>
        <v>167.03280000000004</v>
      </c>
      <c r="M139" s="15">
        <f t="shared" si="44"/>
        <v>0</v>
      </c>
      <c r="N139" s="15">
        <f t="shared" si="45"/>
        <v>149.45040000000003</v>
      </c>
      <c r="O139" s="15">
        <f t="shared" si="46"/>
        <v>0</v>
      </c>
      <c r="P139" s="15">
        <f t="shared" si="36"/>
        <v>4.2516074700000006</v>
      </c>
      <c r="Q139" s="18">
        <f t="shared" si="47"/>
        <v>0</v>
      </c>
      <c r="R139" s="220"/>
      <c r="S139" s="220"/>
    </row>
    <row r="140" spans="1:19" s="219" customFormat="1" ht="13.5" thickBot="1">
      <c r="A140" s="1358"/>
      <c r="B140" s="221"/>
      <c r="C140" s="90" t="s">
        <v>805</v>
      </c>
      <c r="D140" s="235" t="s">
        <v>3672</v>
      </c>
      <c r="E140" s="236">
        <v>8195</v>
      </c>
      <c r="F140" s="13">
        <f t="shared" si="38"/>
        <v>4507.25</v>
      </c>
      <c r="G140" s="16">
        <f t="shared" si="39"/>
        <v>0</v>
      </c>
      <c r="H140" s="14">
        <f t="shared" si="40"/>
        <v>141.39243250000001</v>
      </c>
      <c r="I140" s="15">
        <f t="shared" si="41"/>
        <v>0</v>
      </c>
      <c r="J140" s="15">
        <f t="shared" si="42"/>
        <v>123.49865</v>
      </c>
      <c r="K140" s="15">
        <f t="shared" si="43"/>
        <v>0</v>
      </c>
      <c r="L140" s="15">
        <f t="shared" si="37"/>
        <v>102.76530000000001</v>
      </c>
      <c r="M140" s="15">
        <f t="shared" si="44"/>
        <v>0</v>
      </c>
      <c r="N140" s="15">
        <f t="shared" si="45"/>
        <v>91.947900000000004</v>
      </c>
      <c r="O140" s="15">
        <f t="shared" si="46"/>
        <v>0</v>
      </c>
      <c r="P140" s="15">
        <f t="shared" si="36"/>
        <v>2.61576000125</v>
      </c>
      <c r="Q140" s="18">
        <f t="shared" si="47"/>
        <v>0</v>
      </c>
      <c r="R140" s="220"/>
      <c r="S140" s="220"/>
    </row>
    <row r="141" spans="1:19" s="219" customFormat="1" ht="26.25" thickBot="1">
      <c r="A141" s="1358"/>
      <c r="B141" s="221"/>
      <c r="C141" s="90" t="s">
        <v>3747</v>
      </c>
      <c r="D141" s="235" t="s">
        <v>3681</v>
      </c>
      <c r="E141" s="236">
        <v>3197.76</v>
      </c>
      <c r="F141" s="13">
        <f t="shared" si="38"/>
        <v>1758.7680000000003</v>
      </c>
      <c r="G141" s="16">
        <f t="shared" si="39"/>
        <v>0</v>
      </c>
      <c r="H141" s="14">
        <f t="shared" si="40"/>
        <v>55.172552160000009</v>
      </c>
      <c r="I141" s="15">
        <f t="shared" si="41"/>
        <v>0</v>
      </c>
      <c r="J141" s="15">
        <f t="shared" si="42"/>
        <v>48.190243200000012</v>
      </c>
      <c r="K141" s="15">
        <f t="shared" si="43"/>
        <v>0</v>
      </c>
      <c r="L141" s="15">
        <f t="shared" si="37"/>
        <v>40.099910400000006</v>
      </c>
      <c r="M141" s="15">
        <f t="shared" si="44"/>
        <v>0</v>
      </c>
      <c r="N141" s="15">
        <f t="shared" si="45"/>
        <v>35.878867200000009</v>
      </c>
      <c r="O141" s="15">
        <f t="shared" si="46"/>
        <v>0</v>
      </c>
      <c r="P141" s="15">
        <f t="shared" si="36"/>
        <v>1.0206922149600002</v>
      </c>
      <c r="Q141" s="18">
        <f t="shared" si="47"/>
        <v>0</v>
      </c>
      <c r="R141" s="220"/>
      <c r="S141" s="220"/>
    </row>
    <row r="142" spans="1:19" s="219" customFormat="1" ht="13.5" thickBot="1">
      <c r="A142" s="1358"/>
      <c r="B142" s="221"/>
      <c r="C142" s="222" t="s">
        <v>3765</v>
      </c>
      <c r="D142" s="223" t="s">
        <v>3707</v>
      </c>
      <c r="E142" s="224">
        <v>900</v>
      </c>
      <c r="F142" s="13">
        <f t="shared" si="38"/>
        <v>495.00000000000006</v>
      </c>
      <c r="G142" s="16">
        <f t="shared" si="39"/>
        <v>0</v>
      </c>
      <c r="H142" s="14">
        <f t="shared" si="40"/>
        <v>15.528150000000004</v>
      </c>
      <c r="I142" s="15">
        <f t="shared" si="41"/>
        <v>0</v>
      </c>
      <c r="J142" s="15">
        <f t="shared" si="42"/>
        <v>13.563000000000002</v>
      </c>
      <c r="K142" s="15">
        <f t="shared" si="43"/>
        <v>0</v>
      </c>
      <c r="L142" s="15">
        <f t="shared" si="37"/>
        <v>11.286000000000001</v>
      </c>
      <c r="M142" s="15">
        <f t="shared" si="44"/>
        <v>0</v>
      </c>
      <c r="N142" s="15">
        <f t="shared" si="45"/>
        <v>10.098000000000003</v>
      </c>
      <c r="O142" s="15">
        <f t="shared" si="46"/>
        <v>0</v>
      </c>
      <c r="P142" s="15">
        <f t="shared" si="36"/>
        <v>0.28727077500000003</v>
      </c>
      <c r="Q142" s="18">
        <f t="shared" si="47"/>
        <v>0</v>
      </c>
      <c r="R142" s="220"/>
      <c r="S142" s="220"/>
    </row>
    <row r="143" spans="1:19" s="219" customFormat="1" ht="13.5" thickBot="1">
      <c r="A143" s="1358"/>
      <c r="B143" s="221"/>
      <c r="C143" s="234" t="s">
        <v>3749</v>
      </c>
      <c r="D143" s="223" t="s">
        <v>3683</v>
      </c>
      <c r="E143" s="224">
        <v>1420</v>
      </c>
      <c r="F143" s="13">
        <f t="shared" si="38"/>
        <v>781.00000000000011</v>
      </c>
      <c r="G143" s="16">
        <f t="shared" si="39"/>
        <v>0</v>
      </c>
      <c r="H143" s="14">
        <f t="shared" si="40"/>
        <v>24.499970000000005</v>
      </c>
      <c r="I143" s="15">
        <f t="shared" si="41"/>
        <v>0</v>
      </c>
      <c r="J143" s="15">
        <f t="shared" si="42"/>
        <v>21.399400000000004</v>
      </c>
      <c r="K143" s="15">
        <f t="shared" si="43"/>
        <v>0</v>
      </c>
      <c r="L143" s="15">
        <f t="shared" si="37"/>
        <v>17.806800000000003</v>
      </c>
      <c r="M143" s="15">
        <f t="shared" si="44"/>
        <v>0</v>
      </c>
      <c r="N143" s="15">
        <f t="shared" si="45"/>
        <v>15.932400000000003</v>
      </c>
      <c r="O143" s="15">
        <f t="shared" si="46"/>
        <v>0</v>
      </c>
      <c r="P143" s="15">
        <f t="shared" si="36"/>
        <v>0.45324944500000008</v>
      </c>
      <c r="Q143" s="18">
        <f t="shared" si="47"/>
        <v>0</v>
      </c>
      <c r="R143" s="220"/>
      <c r="S143" s="220"/>
    </row>
    <row r="144" spans="1:19" s="239" customFormat="1">
      <c r="A144" s="238"/>
      <c r="D144" s="1342" t="s">
        <v>183</v>
      </c>
      <c r="E144" s="1343"/>
      <c r="F144" s="1343"/>
      <c r="G144" s="78">
        <f>SUM(G30:G143)+G27</f>
        <v>0</v>
      </c>
      <c r="H144" s="240" t="s">
        <v>201</v>
      </c>
      <c r="I144" s="78">
        <f>SUM(I30:I143)+I27</f>
        <v>0</v>
      </c>
      <c r="J144" s="240" t="s">
        <v>202</v>
      </c>
      <c r="K144" s="78">
        <f>SUM(K30:K143)+K27</f>
        <v>0</v>
      </c>
      <c r="L144" s="240" t="s">
        <v>203</v>
      </c>
      <c r="M144" s="78">
        <f>SUM(M30:M143)+M27</f>
        <v>0</v>
      </c>
      <c r="N144" s="240" t="s">
        <v>95</v>
      </c>
      <c r="O144" s="78">
        <f>SUM(O30:O143)+O27</f>
        <v>0</v>
      </c>
      <c r="P144" s="240" t="s">
        <v>888</v>
      </c>
      <c r="Q144" s="78">
        <f>SUM(Q30:Q143)+Q27</f>
        <v>0</v>
      </c>
    </row>
    <row r="145" spans="6:8" s="239" customFormat="1" ht="12.75">
      <c r="F145" s="241"/>
      <c r="G145" s="241"/>
      <c r="H145" s="242"/>
    </row>
    <row r="146" spans="6:8" s="239" customFormat="1" ht="12.75">
      <c r="F146" s="241"/>
      <c r="G146" s="241"/>
    </row>
    <row r="147" spans="6:8" s="239" customFormat="1" ht="12.75">
      <c r="F147" s="241"/>
      <c r="G147" s="241"/>
    </row>
    <row r="148" spans="6:8" s="239" customFormat="1" ht="12.75">
      <c r="F148" s="241"/>
      <c r="G148" s="241"/>
    </row>
    <row r="149" spans="6:8" s="239" customFormat="1" ht="12.75">
      <c r="F149" s="241"/>
      <c r="G149" s="241"/>
    </row>
    <row r="150" spans="6:8" s="239" customFormat="1" ht="12.75">
      <c r="F150" s="241"/>
      <c r="G150" s="241"/>
    </row>
    <row r="151" spans="6:8" s="239" customFormat="1" ht="12.75">
      <c r="F151" s="241"/>
      <c r="G151" s="241"/>
    </row>
    <row r="152" spans="6:8" s="239" customFormat="1" ht="12.75">
      <c r="F152" s="241"/>
      <c r="G152" s="241"/>
    </row>
    <row r="153" spans="6:8" s="239" customFormat="1" ht="12.75">
      <c r="F153" s="241"/>
      <c r="G153" s="241"/>
    </row>
    <row r="154" spans="6:8" s="239" customFormat="1" ht="12.75">
      <c r="F154" s="241"/>
      <c r="G154" s="241"/>
    </row>
    <row r="155" spans="6:8" s="239" customFormat="1" ht="12.75">
      <c r="F155" s="241"/>
      <c r="G155" s="241"/>
    </row>
    <row r="156" spans="6:8" s="239" customFormat="1" ht="12.75">
      <c r="F156" s="241"/>
      <c r="G156" s="241"/>
    </row>
    <row r="157" spans="6:8" s="239" customFormat="1" ht="12.75">
      <c r="F157" s="241"/>
      <c r="G157" s="241"/>
    </row>
    <row r="158" spans="6:8" s="239" customFormat="1" ht="12.75">
      <c r="F158" s="241"/>
      <c r="G158" s="241"/>
    </row>
    <row r="159" spans="6:8" s="239" customFormat="1" ht="12.75">
      <c r="F159" s="241"/>
      <c r="G159" s="241"/>
    </row>
    <row r="160" spans="6:8" s="239" customFormat="1" ht="12.75">
      <c r="F160" s="241"/>
      <c r="G160" s="241"/>
    </row>
    <row r="161" spans="2:7" s="239" customFormat="1" ht="12.75">
      <c r="B161" s="243"/>
      <c r="C161" s="243"/>
      <c r="F161" s="241"/>
      <c r="G161" s="241"/>
    </row>
    <row r="162" spans="2:7" s="239" customFormat="1" ht="12.75">
      <c r="F162" s="241"/>
      <c r="G162" s="241"/>
    </row>
    <row r="163" spans="2:7" s="239" customFormat="1" ht="12.75">
      <c r="F163" s="241"/>
      <c r="G163" s="241"/>
    </row>
    <row r="164" spans="2:7" s="239" customFormat="1" ht="12.75">
      <c r="F164" s="241"/>
      <c r="G164" s="241"/>
    </row>
    <row r="165" spans="2:7" s="239" customFormat="1" ht="12.75">
      <c r="F165" s="241"/>
      <c r="G165" s="241"/>
    </row>
    <row r="166" spans="2:7" s="239" customFormat="1" ht="12.75">
      <c r="F166" s="241"/>
      <c r="G166" s="241"/>
    </row>
    <row r="167" spans="2:7" s="239" customFormat="1" ht="12.75">
      <c r="F167" s="241"/>
      <c r="G167" s="241"/>
    </row>
    <row r="168" spans="2:7" s="239" customFormat="1" ht="12.75">
      <c r="F168" s="241"/>
      <c r="G168" s="241"/>
    </row>
    <row r="169" spans="2:7" s="239" customFormat="1" ht="12.75">
      <c r="F169" s="241"/>
      <c r="G169" s="241"/>
    </row>
    <row r="170" spans="2:7" s="239" customFormat="1" ht="12.75">
      <c r="F170" s="241"/>
      <c r="G170" s="241"/>
    </row>
    <row r="171" spans="2:7" s="239" customFormat="1" ht="12.75">
      <c r="F171" s="241"/>
      <c r="G171" s="241"/>
    </row>
    <row r="172" spans="2:7" s="239" customFormat="1" ht="12.75">
      <c r="F172" s="241"/>
      <c r="G172" s="241"/>
    </row>
    <row r="173" spans="2:7" s="239" customFormat="1" ht="12.75">
      <c r="F173" s="241"/>
      <c r="G173" s="241"/>
    </row>
    <row r="174" spans="2:7" s="239" customFormat="1" ht="12.75">
      <c r="F174" s="241"/>
      <c r="G174" s="241"/>
    </row>
    <row r="175" spans="2:7" s="239" customFormat="1" ht="12.75">
      <c r="F175" s="241"/>
      <c r="G175" s="241"/>
    </row>
    <row r="176" spans="2:7" s="239" customFormat="1" ht="12.75">
      <c r="F176" s="241"/>
      <c r="G176" s="241"/>
    </row>
    <row r="177" spans="6:7" s="239" customFormat="1" ht="12.75">
      <c r="F177" s="241"/>
      <c r="G177" s="241"/>
    </row>
    <row r="178" spans="6:7" s="239" customFormat="1" ht="12.75">
      <c r="F178" s="241"/>
      <c r="G178" s="241"/>
    </row>
    <row r="179" spans="6:7" s="239" customFormat="1" ht="12.75">
      <c r="F179" s="241"/>
      <c r="G179" s="241"/>
    </row>
    <row r="180" spans="6:7" s="239" customFormat="1" ht="12.75">
      <c r="F180" s="241"/>
      <c r="G180" s="241"/>
    </row>
    <row r="181" spans="6:7" s="239" customFormat="1" ht="12.75">
      <c r="F181" s="241"/>
      <c r="G181" s="241"/>
    </row>
    <row r="182" spans="6:7" s="239" customFormat="1" ht="12.75">
      <c r="F182" s="241"/>
      <c r="G182" s="241"/>
    </row>
    <row r="183" spans="6:7" s="239" customFormat="1" ht="12.75">
      <c r="F183" s="241"/>
      <c r="G183" s="241"/>
    </row>
    <row r="184" spans="6:7" s="239" customFormat="1" ht="12.75">
      <c r="F184" s="241"/>
      <c r="G184" s="241"/>
    </row>
    <row r="185" spans="6:7" s="239" customFormat="1" ht="12.75">
      <c r="F185" s="241"/>
      <c r="G185" s="241"/>
    </row>
    <row r="186" spans="6:7" s="239" customFormat="1" ht="12.75">
      <c r="F186" s="241"/>
      <c r="G186" s="241"/>
    </row>
    <row r="187" spans="6:7" s="239" customFormat="1" ht="12.75">
      <c r="F187" s="241"/>
      <c r="G187" s="241"/>
    </row>
    <row r="188" spans="6:7" s="239" customFormat="1" ht="12.75">
      <c r="F188" s="241"/>
      <c r="G188" s="241"/>
    </row>
    <row r="189" spans="6:7" s="239" customFormat="1" ht="12.75">
      <c r="F189" s="241"/>
      <c r="G189" s="241"/>
    </row>
    <row r="190" spans="6:7" s="239" customFormat="1" ht="12.75">
      <c r="F190" s="241"/>
      <c r="G190" s="241"/>
    </row>
    <row r="191" spans="6:7" s="239" customFormat="1" ht="12.75">
      <c r="F191" s="241"/>
      <c r="G191" s="241"/>
    </row>
    <row r="192" spans="6:7" s="239" customFormat="1" ht="12.75">
      <c r="F192" s="241"/>
      <c r="G192" s="241"/>
    </row>
    <row r="193" spans="6:7" s="239" customFormat="1" ht="12.75">
      <c r="F193" s="241"/>
      <c r="G193" s="241"/>
    </row>
    <row r="194" spans="6:7" s="239" customFormat="1" ht="12.75">
      <c r="F194" s="241"/>
      <c r="G194" s="241"/>
    </row>
    <row r="195" spans="6:7" s="239" customFormat="1" ht="12.75">
      <c r="F195" s="241"/>
      <c r="G195" s="241"/>
    </row>
    <row r="196" spans="6:7" s="239" customFormat="1" ht="12.75">
      <c r="F196" s="241"/>
      <c r="G196" s="241"/>
    </row>
    <row r="197" spans="6:7" s="239" customFormat="1" ht="12.75">
      <c r="F197" s="241"/>
      <c r="G197" s="241"/>
    </row>
    <row r="198" spans="6:7" s="239" customFormat="1" ht="12.75">
      <c r="F198" s="241"/>
      <c r="G198" s="241"/>
    </row>
    <row r="199" spans="6:7" s="239" customFormat="1" ht="12.75">
      <c r="F199" s="241"/>
      <c r="G199" s="241"/>
    </row>
    <row r="200" spans="6:7" s="239" customFormat="1" ht="12.75">
      <c r="F200" s="241"/>
      <c r="G200" s="241"/>
    </row>
    <row r="201" spans="6:7" s="239" customFormat="1" ht="12.75">
      <c r="F201" s="241"/>
      <c r="G201" s="241"/>
    </row>
    <row r="202" spans="6:7" s="239" customFormat="1" ht="12.75">
      <c r="F202" s="241"/>
      <c r="G202" s="241"/>
    </row>
    <row r="203" spans="6:7" s="239" customFormat="1" ht="12.75">
      <c r="F203" s="241"/>
      <c r="G203" s="241"/>
    </row>
    <row r="204" spans="6:7" s="239" customFormat="1" ht="12.75">
      <c r="F204" s="241"/>
      <c r="G204" s="241"/>
    </row>
    <row r="205" spans="6:7" s="239" customFormat="1" ht="12.75">
      <c r="F205" s="241"/>
      <c r="G205" s="241"/>
    </row>
    <row r="206" spans="6:7" s="239" customFormat="1" ht="12.75">
      <c r="F206" s="241"/>
      <c r="G206" s="241"/>
    </row>
    <row r="207" spans="6:7" s="239" customFormat="1" ht="12.75">
      <c r="F207" s="241"/>
      <c r="G207" s="241"/>
    </row>
    <row r="208" spans="6:7" s="239" customFormat="1" ht="12.75">
      <c r="F208" s="241"/>
      <c r="G208" s="241"/>
    </row>
    <row r="209" spans="6:7" s="239" customFormat="1" ht="12.75">
      <c r="F209" s="241"/>
      <c r="G209" s="241"/>
    </row>
    <row r="210" spans="6:7" s="239" customFormat="1" ht="12.75">
      <c r="F210" s="241"/>
      <c r="G210" s="241"/>
    </row>
    <row r="211" spans="6:7" s="239" customFormat="1" ht="12.75">
      <c r="F211" s="241"/>
      <c r="G211" s="241"/>
    </row>
    <row r="212" spans="6:7" s="239" customFormat="1" ht="12.75">
      <c r="F212" s="241"/>
      <c r="G212" s="241"/>
    </row>
    <row r="213" spans="6:7" s="239" customFormat="1" ht="12.75">
      <c r="F213" s="241"/>
      <c r="G213" s="241"/>
    </row>
    <row r="214" spans="6:7" s="239" customFormat="1" ht="12.75">
      <c r="F214" s="241"/>
      <c r="G214" s="241"/>
    </row>
    <row r="215" spans="6:7" s="239" customFormat="1" ht="12.75">
      <c r="F215" s="241"/>
      <c r="G215" s="241"/>
    </row>
    <row r="216" spans="6:7" s="239" customFormat="1" ht="12.75">
      <c r="F216" s="241"/>
      <c r="G216" s="241"/>
    </row>
    <row r="217" spans="6:7" s="239" customFormat="1" ht="12.75">
      <c r="F217" s="241"/>
      <c r="G217" s="241"/>
    </row>
    <row r="218" spans="6:7" s="239" customFormat="1" ht="12.75">
      <c r="F218" s="241"/>
      <c r="G218" s="241"/>
    </row>
    <row r="219" spans="6:7" s="239" customFormat="1" ht="12.75">
      <c r="F219" s="241"/>
      <c r="G219" s="241"/>
    </row>
    <row r="220" spans="6:7" s="239" customFormat="1" ht="12.75">
      <c r="F220" s="241"/>
      <c r="G220" s="241"/>
    </row>
    <row r="221" spans="6:7" s="239" customFormat="1" ht="12.75">
      <c r="F221" s="241"/>
      <c r="G221" s="241"/>
    </row>
    <row r="222" spans="6:7" s="239" customFormat="1" ht="12.75">
      <c r="F222" s="241"/>
      <c r="G222" s="241"/>
    </row>
    <row r="223" spans="6:7" s="239" customFormat="1" ht="12.75">
      <c r="F223" s="241"/>
      <c r="G223" s="241"/>
    </row>
    <row r="224" spans="6:7" s="239" customFormat="1" ht="12.75">
      <c r="F224" s="241"/>
      <c r="G224" s="241"/>
    </row>
    <row r="225" spans="6:7" s="239" customFormat="1" ht="12.75">
      <c r="F225" s="241"/>
      <c r="G225" s="241"/>
    </row>
    <row r="226" spans="6:7" s="239" customFormat="1" ht="12.75">
      <c r="F226" s="241"/>
      <c r="G226" s="241"/>
    </row>
    <row r="227" spans="6:7" s="239" customFormat="1" ht="12.75">
      <c r="F227" s="241"/>
      <c r="G227" s="241"/>
    </row>
    <row r="228" spans="6:7" s="239" customFormat="1" ht="12.75">
      <c r="F228" s="241"/>
      <c r="G228" s="241"/>
    </row>
    <row r="229" spans="6:7" s="239" customFormat="1" ht="12.75">
      <c r="F229" s="241"/>
      <c r="G229" s="241"/>
    </row>
    <row r="230" spans="6:7" s="239" customFormat="1" ht="12.75">
      <c r="F230" s="241"/>
      <c r="G230" s="241"/>
    </row>
    <row r="231" spans="6:7" s="239" customFormat="1" ht="12.75">
      <c r="F231" s="241"/>
      <c r="G231" s="241"/>
    </row>
    <row r="232" spans="6:7" s="239" customFormat="1" ht="12.75">
      <c r="F232" s="241"/>
      <c r="G232" s="241"/>
    </row>
    <row r="233" spans="6:7" s="239" customFormat="1" ht="12.75">
      <c r="F233" s="241"/>
      <c r="G233" s="241"/>
    </row>
    <row r="234" spans="6:7" s="239" customFormat="1" ht="12.75">
      <c r="F234" s="241"/>
      <c r="G234" s="241"/>
    </row>
    <row r="235" spans="6:7" s="239" customFormat="1" ht="12.75">
      <c r="F235" s="241"/>
      <c r="G235" s="241"/>
    </row>
    <row r="236" spans="6:7" s="239" customFormat="1" ht="12.75">
      <c r="F236" s="241"/>
      <c r="G236" s="241"/>
    </row>
    <row r="237" spans="6:7" s="239" customFormat="1" ht="12.75">
      <c r="F237" s="241"/>
      <c r="G237" s="241"/>
    </row>
    <row r="238" spans="6:7" s="239" customFormat="1" ht="12.75">
      <c r="F238" s="241"/>
      <c r="G238" s="241"/>
    </row>
    <row r="239" spans="6:7" s="239" customFormat="1" ht="12.75">
      <c r="F239" s="241"/>
      <c r="G239" s="241"/>
    </row>
    <row r="240" spans="6:7" s="239" customFormat="1" ht="12.75">
      <c r="F240" s="241"/>
      <c r="G240" s="241"/>
    </row>
    <row r="241" spans="1:17" s="239" customFormat="1" ht="12.75">
      <c r="F241" s="241"/>
      <c r="G241" s="241"/>
    </row>
    <row r="242" spans="1:17" s="239" customFormat="1" ht="12.75">
      <c r="F242" s="241"/>
      <c r="G242" s="241"/>
    </row>
    <row r="243" spans="1:17" s="239" customFormat="1" ht="12.75">
      <c r="F243" s="241"/>
      <c r="G243" s="241"/>
    </row>
    <row r="244" spans="1:17" s="239" customFormat="1" ht="12.75">
      <c r="F244" s="241"/>
      <c r="G244" s="241"/>
    </row>
    <row r="245" spans="1:17">
      <c r="A245" s="239"/>
      <c r="B245" s="239"/>
      <c r="C245" s="239"/>
      <c r="D245" s="239"/>
      <c r="E245" s="239"/>
      <c r="F245" s="241"/>
      <c r="G245" s="241"/>
      <c r="H245" s="239"/>
      <c r="I245" s="239"/>
      <c r="J245" s="239"/>
      <c r="K245" s="239"/>
      <c r="L245" s="239"/>
      <c r="M245" s="239"/>
      <c r="N245" s="239"/>
      <c r="O245" s="239"/>
      <c r="P245" s="239"/>
      <c r="Q245" s="239"/>
    </row>
    <row r="246" spans="1:17">
      <c r="A246" s="239"/>
      <c r="B246" s="239"/>
      <c r="C246" s="239"/>
      <c r="D246" s="239"/>
      <c r="E246" s="239"/>
      <c r="F246" s="241"/>
      <c r="G246" s="241"/>
      <c r="H246" s="239"/>
      <c r="I246" s="239"/>
      <c r="J246" s="239"/>
      <c r="K246" s="239"/>
      <c r="L246" s="239"/>
      <c r="M246" s="239"/>
      <c r="N246" s="239"/>
      <c r="O246" s="239"/>
      <c r="P246" s="239"/>
      <c r="Q246" s="239"/>
    </row>
    <row r="247" spans="1:17">
      <c r="A247" s="239"/>
      <c r="B247" s="239"/>
      <c r="C247" s="239"/>
      <c r="D247" s="239"/>
      <c r="E247" s="239"/>
      <c r="F247" s="241"/>
      <c r="G247" s="241"/>
      <c r="I247" s="239"/>
      <c r="J247" s="239"/>
      <c r="K247" s="239"/>
      <c r="L247" s="239"/>
      <c r="M247" s="239"/>
      <c r="N247" s="239"/>
      <c r="O247" s="239"/>
      <c r="P247" s="239"/>
      <c r="Q247" s="239"/>
    </row>
  </sheetData>
  <mergeCells count="18">
    <mergeCell ref="A29:Q29"/>
    <mergeCell ref="A30:A143"/>
    <mergeCell ref="D144:F144"/>
    <mergeCell ref="A27:A28"/>
    <mergeCell ref="B27:B28"/>
    <mergeCell ref="G27:G28"/>
    <mergeCell ref="I27:I28"/>
    <mergeCell ref="K27:K28"/>
    <mergeCell ref="M27:M28"/>
    <mergeCell ref="O27:O28"/>
    <mergeCell ref="Q27:Q28"/>
    <mergeCell ref="F25:G25"/>
    <mergeCell ref="H25:Q25"/>
    <mergeCell ref="A4:O4"/>
    <mergeCell ref="A5:O5"/>
    <mergeCell ref="F8:I8"/>
    <mergeCell ref="A21:S21"/>
    <mergeCell ref="A22:S22"/>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6">
    <tabColor rgb="FF333399"/>
  </sheetPr>
  <dimension ref="A1:P48"/>
  <sheetViews>
    <sheetView zoomScale="79" zoomScaleNormal="79" workbookViewId="0">
      <selection activeCell="A4" sqref="A4:O4"/>
    </sheetView>
  </sheetViews>
  <sheetFormatPr defaultColWidth="8.85546875" defaultRowHeight="12.75"/>
  <cols>
    <col min="1" max="1" width="15.28515625" style="104" customWidth="1"/>
    <col min="2" max="2" width="9.140625" style="104" customWidth="1"/>
    <col min="3" max="3" width="16.7109375" style="104" customWidth="1"/>
    <col min="4" max="4" width="40.85546875" style="104" customWidth="1"/>
    <col min="5" max="5" width="15.7109375" style="104" customWidth="1"/>
    <col min="6" max="6" width="18.28515625" style="165" customWidth="1"/>
    <col min="7" max="7" width="23.140625" style="165" customWidth="1"/>
    <col min="8" max="8" width="22.42578125" style="104" customWidth="1"/>
    <col min="9" max="9" width="20.85546875" style="104" customWidth="1"/>
    <col min="10" max="10" width="23" style="104" customWidth="1"/>
    <col min="11" max="11" width="20.42578125" style="104" customWidth="1"/>
    <col min="12" max="12" width="23.28515625" style="104" customWidth="1"/>
    <col min="13" max="13" width="20.85546875" style="104" customWidth="1"/>
    <col min="14" max="14" width="23.5703125" style="104" customWidth="1"/>
    <col min="15" max="15" width="20.85546875" style="104" customWidth="1"/>
    <col min="16" max="16384" width="8.85546875" style="104"/>
  </cols>
  <sheetData>
    <row r="1" spans="1:15" ht="13.5" thickBot="1">
      <c r="B1" s="105"/>
      <c r="C1" s="105"/>
      <c r="D1" s="106"/>
      <c r="E1" s="106"/>
      <c r="F1" s="107"/>
      <c r="G1" s="107"/>
      <c r="H1" s="107"/>
      <c r="I1" s="107"/>
      <c r="J1" s="107"/>
      <c r="K1" s="107"/>
      <c r="L1" s="107"/>
    </row>
    <row r="2" spans="1:15" ht="9" customHeight="1">
      <c r="A2" s="108"/>
      <c r="B2" s="109"/>
      <c r="C2" s="109"/>
      <c r="D2" s="110"/>
      <c r="E2" s="110"/>
      <c r="F2" s="111"/>
      <c r="G2" s="111"/>
      <c r="H2" s="111"/>
      <c r="I2" s="112"/>
      <c r="J2" s="112"/>
      <c r="K2" s="112"/>
      <c r="L2" s="112"/>
      <c r="M2" s="108"/>
      <c r="N2" s="108"/>
      <c r="O2" s="108"/>
    </row>
    <row r="3" spans="1:15" ht="10.5" customHeight="1">
      <c r="B3" s="105"/>
      <c r="C3" s="105"/>
      <c r="D3" s="106"/>
      <c r="E3" s="106"/>
      <c r="F3" s="107"/>
      <c r="G3" s="107"/>
      <c r="H3" s="107"/>
      <c r="I3" s="113"/>
      <c r="J3" s="113"/>
      <c r="K3" s="113"/>
      <c r="L3" s="113"/>
    </row>
    <row r="4" spans="1:15" ht="27">
      <c r="A4" s="1329" t="s">
        <v>3455</v>
      </c>
      <c r="B4" s="1023"/>
      <c r="C4" s="1023"/>
      <c r="D4" s="1023"/>
      <c r="E4" s="1023"/>
      <c r="F4" s="1023"/>
      <c r="G4" s="1023"/>
      <c r="H4" s="1023"/>
      <c r="I4" s="1023"/>
      <c r="J4" s="1023"/>
      <c r="K4" s="1023"/>
      <c r="L4" s="1023"/>
      <c r="M4" s="1023"/>
      <c r="N4" s="1023"/>
      <c r="O4" s="1023"/>
    </row>
    <row r="5" spans="1:15" s="114" customFormat="1" ht="38.25" customHeight="1">
      <c r="A5" s="1330" t="s">
        <v>3456</v>
      </c>
      <c r="B5" s="1025"/>
      <c r="C5" s="1025"/>
      <c r="D5" s="1025"/>
      <c r="E5" s="1025"/>
      <c r="F5" s="1025"/>
      <c r="G5" s="1025"/>
      <c r="H5" s="1025"/>
      <c r="I5" s="1025"/>
      <c r="J5" s="1025"/>
      <c r="K5" s="1025"/>
      <c r="L5" s="1025"/>
      <c r="M5" s="1025"/>
      <c r="N5" s="1025"/>
      <c r="O5" s="1025"/>
    </row>
    <row r="6" spans="1:15" ht="9" customHeight="1" thickBot="1">
      <c r="A6" s="115"/>
      <c r="B6" s="116"/>
      <c r="C6" s="116"/>
      <c r="D6" s="117"/>
      <c r="E6" s="117"/>
      <c r="F6" s="118"/>
      <c r="G6" s="118"/>
      <c r="H6" s="118"/>
      <c r="I6" s="119"/>
      <c r="J6" s="119"/>
      <c r="K6" s="119"/>
      <c r="L6" s="119"/>
      <c r="M6" s="115"/>
      <c r="N6" s="115"/>
      <c r="O6" s="115"/>
    </row>
    <row r="9" spans="1:15" s="113" customFormat="1" ht="14.25">
      <c r="B9" s="120"/>
      <c r="C9" s="120"/>
      <c r="D9" s="121"/>
      <c r="E9" s="121"/>
      <c r="F9" s="121"/>
      <c r="G9" s="121"/>
      <c r="H9" s="121"/>
      <c r="I9" s="121"/>
      <c r="J9" s="121"/>
      <c r="K9" s="121"/>
      <c r="L9" s="121"/>
    </row>
    <row r="10" spans="1:15" s="113" customFormat="1" ht="14.25">
      <c r="F10" s="1275"/>
      <c r="G10" s="1275"/>
      <c r="H10" s="1275"/>
      <c r="I10" s="1275"/>
    </row>
    <row r="11" spans="1:15" s="113" customFormat="1" ht="14.25">
      <c r="G11" s="122"/>
    </row>
    <row r="12" spans="1:15" s="113" customFormat="1" ht="15.75" customHeight="1">
      <c r="D12" s="136"/>
      <c r="E12" s="136"/>
      <c r="F12" s="135"/>
      <c r="G12" s="123"/>
    </row>
    <row r="13" spans="1:15" s="113" customFormat="1" ht="12.75" customHeight="1">
      <c r="D13" s="136"/>
      <c r="E13" s="136"/>
      <c r="F13" s="135"/>
      <c r="G13" s="123"/>
    </row>
    <row r="14" spans="1:15" s="113" customFormat="1" ht="12.75" customHeight="1">
      <c r="D14" s="136"/>
      <c r="E14" s="136"/>
      <c r="F14" s="135"/>
      <c r="G14" s="123"/>
    </row>
    <row r="15" spans="1:15" s="113" customFormat="1" ht="12.75" customHeight="1" thickBot="1">
      <c r="D15" s="136"/>
      <c r="E15" s="136"/>
      <c r="F15" s="978"/>
      <c r="G15" s="979"/>
    </row>
    <row r="16" spans="1:15" s="113" customFormat="1" ht="14.25">
      <c r="A16" s="1360" t="s">
        <v>23</v>
      </c>
      <c r="B16" s="999"/>
      <c r="C16" s="999"/>
      <c r="D16" s="999"/>
      <c r="E16" s="999"/>
      <c r="F16" s="999"/>
      <c r="G16" s="999"/>
      <c r="H16" s="999"/>
      <c r="I16" s="999"/>
      <c r="J16" s="999"/>
      <c r="K16" s="999"/>
      <c r="L16" s="999"/>
      <c r="M16" s="999"/>
      <c r="N16" s="999"/>
      <c r="O16" s="1069"/>
    </row>
    <row r="17" spans="1:16" s="113" customFormat="1" ht="14.25">
      <c r="A17" s="992" t="s">
        <v>3443</v>
      </c>
      <c r="B17" s="1087"/>
      <c r="C17" s="1087"/>
      <c r="D17" s="1087"/>
      <c r="E17" s="1087"/>
      <c r="F17" s="1087"/>
      <c r="G17" s="1087"/>
      <c r="H17" s="1087"/>
      <c r="I17" s="1087"/>
      <c r="J17" s="1087"/>
      <c r="K17" s="1087"/>
      <c r="L17" s="1087"/>
      <c r="M17" s="1087"/>
      <c r="N17" s="1087"/>
      <c r="O17" s="1361"/>
    </row>
    <row r="18" spans="1:16" s="113" customFormat="1" ht="12.75" customHeight="1">
      <c r="A18" s="994" t="s">
        <v>160</v>
      </c>
      <c r="B18" s="1073"/>
      <c r="C18" s="1073"/>
      <c r="D18" s="1073"/>
      <c r="E18" s="1073"/>
      <c r="F18" s="1073"/>
      <c r="G18" s="1073"/>
      <c r="H18" s="1073"/>
      <c r="I18" s="1078" t="s">
        <v>161</v>
      </c>
      <c r="J18" s="1078"/>
      <c r="K18" s="1078"/>
      <c r="L18" s="1078"/>
      <c r="M18" s="1078"/>
      <c r="N18" s="1078"/>
      <c r="O18" s="1173"/>
    </row>
    <row r="19" spans="1:16" s="113" customFormat="1" ht="12.75" customHeight="1" thickBot="1">
      <c r="A19" s="1012" t="s">
        <v>163</v>
      </c>
      <c r="B19" s="1081"/>
      <c r="C19" s="1081"/>
      <c r="D19" s="1081"/>
      <c r="E19" s="1081"/>
      <c r="F19" s="1081"/>
      <c r="G19" s="1081"/>
      <c r="H19" s="1081"/>
      <c r="I19" s="1362">
        <v>0</v>
      </c>
      <c r="J19" s="1362"/>
      <c r="K19" s="1362"/>
      <c r="L19" s="1362"/>
      <c r="M19" s="1362"/>
      <c r="N19" s="1362"/>
      <c r="O19" s="1363"/>
    </row>
    <row r="20" spans="1:16" s="113" customFormat="1" ht="12.75" customHeight="1">
      <c r="B20" s="140"/>
      <c r="C20" s="140"/>
      <c r="D20" s="136"/>
      <c r="E20" s="136"/>
      <c r="F20" s="136"/>
      <c r="G20" s="136"/>
      <c r="H20" s="136"/>
      <c r="I20" s="136"/>
      <c r="J20" s="135"/>
      <c r="K20" s="135"/>
      <c r="L20" s="141"/>
      <c r="M20" s="142"/>
      <c r="N20" s="142"/>
    </row>
    <row r="21" spans="1:16" s="113" customFormat="1" ht="12.75" customHeight="1">
      <c r="D21" s="136"/>
      <c r="E21" s="136"/>
      <c r="F21" s="143"/>
      <c r="G21" s="104"/>
      <c r="H21" s="104"/>
      <c r="I21" s="104"/>
      <c r="J21" s="104"/>
      <c r="K21" s="144"/>
      <c r="L21" s="144"/>
      <c r="M21" s="123"/>
    </row>
    <row r="22" spans="1:16" s="113" customFormat="1" ht="12.75" customHeight="1">
      <c r="D22" s="136"/>
      <c r="E22" s="136"/>
      <c r="F22" s="143"/>
      <c r="G22" s="104"/>
      <c r="H22" s="104"/>
      <c r="I22" s="104"/>
      <c r="J22" s="104"/>
      <c r="K22" s="145"/>
      <c r="L22" s="145"/>
      <c r="M22" s="123"/>
    </row>
    <row r="23" spans="1:16" s="113" customFormat="1" ht="18" customHeight="1" thickBot="1">
      <c r="C23" s="136"/>
      <c r="D23" s="135"/>
      <c r="E23" s="146"/>
      <c r="F23" s="104"/>
      <c r="G23" s="1013"/>
      <c r="H23" s="998"/>
      <c r="I23" s="149"/>
      <c r="J23" s="150"/>
    </row>
    <row r="24" spans="1:16" s="113" customFormat="1" ht="15.75" customHeight="1" thickBot="1">
      <c r="F24" s="1007" t="s">
        <v>167</v>
      </c>
      <c r="G24" s="1008"/>
      <c r="H24" s="1009" t="s">
        <v>168</v>
      </c>
      <c r="I24" s="1010"/>
      <c r="J24" s="1010"/>
      <c r="K24" s="1002"/>
      <c r="L24" s="1002"/>
      <c r="M24" s="1002"/>
      <c r="N24" s="1002"/>
      <c r="O24" s="1003"/>
    </row>
    <row r="25" spans="1:16" s="151" customFormat="1" ht="54" customHeight="1" thickBot="1">
      <c r="A25" s="82" t="s">
        <v>122</v>
      </c>
      <c r="B25" s="82" t="s">
        <v>169</v>
      </c>
      <c r="C25" s="83" t="s">
        <v>170</v>
      </c>
      <c r="D25" s="83" t="s">
        <v>171</v>
      </c>
      <c r="E25" s="83" t="s">
        <v>172</v>
      </c>
      <c r="F25" s="83" t="s">
        <v>173</v>
      </c>
      <c r="G25" s="82" t="s">
        <v>174</v>
      </c>
      <c r="H25" s="84" t="s">
        <v>175</v>
      </c>
      <c r="I25" s="85" t="s">
        <v>174</v>
      </c>
      <c r="J25" s="84" t="s">
        <v>176</v>
      </c>
      <c r="K25" s="85" t="s">
        <v>174</v>
      </c>
      <c r="L25" s="84" t="s">
        <v>177</v>
      </c>
      <c r="M25" s="85" t="s">
        <v>174</v>
      </c>
      <c r="N25" s="84" t="s">
        <v>178</v>
      </c>
      <c r="O25" s="85" t="s">
        <v>174</v>
      </c>
    </row>
    <row r="26" spans="1:16" s="155" customFormat="1" ht="30.75" customHeight="1" thickBot="1">
      <c r="A26" s="984">
        <v>52</v>
      </c>
      <c r="B26" s="984"/>
      <c r="C26" s="86" t="s">
        <v>3444</v>
      </c>
      <c r="D26" s="152" t="s">
        <v>3455</v>
      </c>
      <c r="E26" s="153">
        <v>1524</v>
      </c>
      <c r="F26" s="1">
        <f>SUM(E26:E27)*(1-2%)</f>
        <v>1567.02</v>
      </c>
      <c r="G26" s="987">
        <f>F26*B26</f>
        <v>0</v>
      </c>
      <c r="H26" s="987">
        <f>F26*0.0832</f>
        <v>130.37606399999999</v>
      </c>
      <c r="I26" s="987">
        <f>H26*B26</f>
        <v>0</v>
      </c>
      <c r="J26" s="987">
        <f>F26*0.0313</f>
        <v>49.047726000000004</v>
      </c>
      <c r="K26" s="987">
        <f>J26*B26</f>
        <v>0</v>
      </c>
      <c r="L26" s="987">
        <f>F26*0.0256</f>
        <v>40.115712000000002</v>
      </c>
      <c r="M26" s="987">
        <f>L26*B26</f>
        <v>0</v>
      </c>
      <c r="N26" s="987">
        <f>F26*0.0213</f>
        <v>33.377525999999996</v>
      </c>
      <c r="O26" s="987">
        <f>N26*B26</f>
        <v>0</v>
      </c>
      <c r="P26" s="154"/>
    </row>
    <row r="27" spans="1:16" s="151" customFormat="1" ht="13.5" thickBot="1">
      <c r="A27" s="985"/>
      <c r="B27" s="986"/>
      <c r="C27" s="90" t="s">
        <v>179</v>
      </c>
      <c r="D27" s="91" t="s">
        <v>180</v>
      </c>
      <c r="E27" s="92">
        <v>75</v>
      </c>
      <c r="F27" s="93" t="s">
        <v>162</v>
      </c>
      <c r="G27" s="988"/>
      <c r="H27" s="1000"/>
      <c r="I27" s="988"/>
      <c r="J27" s="1000"/>
      <c r="K27" s="988"/>
      <c r="L27" s="1000"/>
      <c r="M27" s="988"/>
      <c r="N27" s="1000"/>
      <c r="O27" s="988"/>
    </row>
    <row r="28" spans="1:16" s="156" customFormat="1" ht="13.5" customHeight="1" thickBot="1">
      <c r="A28" s="1001" t="s">
        <v>182</v>
      </c>
      <c r="B28" s="1002"/>
      <c r="C28" s="1002"/>
      <c r="D28" s="1002"/>
      <c r="E28" s="1002"/>
      <c r="F28" s="1002"/>
      <c r="G28" s="1002"/>
      <c r="H28" s="1002"/>
      <c r="I28" s="1002"/>
      <c r="J28" s="1002"/>
      <c r="K28" s="1002"/>
      <c r="L28" s="1002"/>
      <c r="M28" s="1002"/>
      <c r="N28" s="1002"/>
      <c r="O28" s="1003"/>
    </row>
    <row r="29" spans="1:16" s="151" customFormat="1" ht="26.1" customHeight="1" thickBot="1">
      <c r="A29" s="1004"/>
      <c r="B29" s="600"/>
      <c r="C29" s="158" t="s">
        <v>3445</v>
      </c>
      <c r="D29" s="606" t="s">
        <v>3450</v>
      </c>
      <c r="E29" s="601">
        <v>24.99</v>
      </c>
      <c r="F29" s="602">
        <f>E29*(1-20%)</f>
        <v>19.992000000000001</v>
      </c>
      <c r="G29" s="602">
        <f>F29*B29</f>
        <v>0</v>
      </c>
      <c r="H29" s="603">
        <f>F29*0.0832</f>
        <v>1.6633344000000001</v>
      </c>
      <c r="I29" s="603">
        <f>H29*B29</f>
        <v>0</v>
      </c>
      <c r="J29" s="603">
        <f>F29*0.0313</f>
        <v>0.62574960000000002</v>
      </c>
      <c r="K29" s="603">
        <f>J29*B29</f>
        <v>0</v>
      </c>
      <c r="L29" s="603">
        <f>F29*0.0256</f>
        <v>0.51179520000000001</v>
      </c>
      <c r="M29" s="603">
        <f>L29*B29</f>
        <v>0</v>
      </c>
      <c r="N29" s="603">
        <f>F29*0.0213</f>
        <v>0.42582960000000003</v>
      </c>
      <c r="O29" s="603">
        <f>N29*B29</f>
        <v>0</v>
      </c>
    </row>
    <row r="30" spans="1:16" s="151" customFormat="1" ht="26.1" customHeight="1" thickBot="1">
      <c r="A30" s="1005"/>
      <c r="B30" s="501"/>
      <c r="C30" s="158" t="s">
        <v>3446</v>
      </c>
      <c r="D30" s="606" t="s">
        <v>3451</v>
      </c>
      <c r="E30" s="601">
        <v>24.99</v>
      </c>
      <c r="F30" s="602">
        <f>E30*(1-20%)</f>
        <v>19.992000000000001</v>
      </c>
      <c r="G30" s="604">
        <f>F30*B30</f>
        <v>0</v>
      </c>
      <c r="H30" s="603">
        <f>F30*0.0832</f>
        <v>1.6633344000000001</v>
      </c>
      <c r="I30" s="605">
        <f>H30*B30</f>
        <v>0</v>
      </c>
      <c r="J30" s="603">
        <f>F30*0.0313</f>
        <v>0.62574960000000002</v>
      </c>
      <c r="K30" s="605">
        <f>J30*B30</f>
        <v>0</v>
      </c>
      <c r="L30" s="603">
        <f>F30*0.0256</f>
        <v>0.51179520000000001</v>
      </c>
      <c r="M30" s="603">
        <f>L30*B30</f>
        <v>0</v>
      </c>
      <c r="N30" s="603">
        <f>F30*0.0213</f>
        <v>0.42582960000000003</v>
      </c>
      <c r="O30" s="603">
        <f>N30*B30</f>
        <v>0</v>
      </c>
    </row>
    <row r="31" spans="1:16" s="151" customFormat="1" ht="57" customHeight="1" thickBot="1">
      <c r="A31" s="1005"/>
      <c r="B31" s="501"/>
      <c r="C31" s="158" t="s">
        <v>3447</v>
      </c>
      <c r="D31" s="606" t="s">
        <v>3452</v>
      </c>
      <c r="E31" s="601">
        <v>64.989999999999995</v>
      </c>
      <c r="F31" s="602">
        <f>E31*(1-20%)</f>
        <v>51.991999999999997</v>
      </c>
      <c r="G31" s="604">
        <f>F31*B31</f>
        <v>0</v>
      </c>
      <c r="H31" s="603">
        <f>F31*0.0832</f>
        <v>4.3257344</v>
      </c>
      <c r="I31" s="605">
        <f>H31*B31</f>
        <v>0</v>
      </c>
      <c r="J31" s="603">
        <f>F31*0.0313</f>
        <v>1.6273496000000001</v>
      </c>
      <c r="K31" s="605">
        <f>J31*B31</f>
        <v>0</v>
      </c>
      <c r="L31" s="603">
        <f>F31*0.0256</f>
        <v>1.3309952</v>
      </c>
      <c r="M31" s="603">
        <f>L31*B31</f>
        <v>0</v>
      </c>
      <c r="N31" s="603">
        <f>F31*0.0213</f>
        <v>1.1074295999999999</v>
      </c>
      <c r="O31" s="603">
        <f>N31*B31</f>
        <v>0</v>
      </c>
    </row>
    <row r="32" spans="1:16" s="151" customFormat="1" ht="38.1" customHeight="1" thickBot="1">
      <c r="A32" s="1005"/>
      <c r="B32" s="501"/>
      <c r="C32" s="158" t="s">
        <v>3448</v>
      </c>
      <c r="D32" s="606" t="s">
        <v>3453</v>
      </c>
      <c r="E32" s="601">
        <v>24.99</v>
      </c>
      <c r="F32" s="602">
        <f>E32*(1-20%)</f>
        <v>19.992000000000001</v>
      </c>
      <c r="G32" s="604">
        <f>F32*B32</f>
        <v>0</v>
      </c>
      <c r="H32" s="603">
        <f>F32*0.0832</f>
        <v>1.6633344000000001</v>
      </c>
      <c r="I32" s="605">
        <f>H32*B32</f>
        <v>0</v>
      </c>
      <c r="J32" s="603">
        <f>F32*0.0313</f>
        <v>0.62574960000000002</v>
      </c>
      <c r="K32" s="605">
        <f>J32*B32</f>
        <v>0</v>
      </c>
      <c r="L32" s="603">
        <f>F32*0.0256</f>
        <v>0.51179520000000001</v>
      </c>
      <c r="M32" s="603">
        <f>L32*B32</f>
        <v>0</v>
      </c>
      <c r="N32" s="603">
        <f>F32*0.0213</f>
        <v>0.42582960000000003</v>
      </c>
      <c r="O32" s="603">
        <f>N32*B32</f>
        <v>0</v>
      </c>
    </row>
    <row r="33" spans="1:15" s="151" customFormat="1" ht="26.1" customHeight="1" thickBot="1">
      <c r="A33" s="1006"/>
      <c r="B33" s="501"/>
      <c r="C33" s="158" t="s">
        <v>3449</v>
      </c>
      <c r="D33" s="606" t="s">
        <v>3454</v>
      </c>
      <c r="E33" s="601">
        <v>24.99</v>
      </c>
      <c r="F33" s="602">
        <f>E33*(1-20%)</f>
        <v>19.992000000000001</v>
      </c>
      <c r="G33" s="604">
        <f>F33*B33</f>
        <v>0</v>
      </c>
      <c r="H33" s="603">
        <f>F33*0.0832</f>
        <v>1.6633344000000001</v>
      </c>
      <c r="I33" s="605">
        <f>H33*B33</f>
        <v>0</v>
      </c>
      <c r="J33" s="603">
        <f>F33*0.0313</f>
        <v>0.62574960000000002</v>
      </c>
      <c r="K33" s="605">
        <f>J33*B33</f>
        <v>0</v>
      </c>
      <c r="L33" s="603">
        <f>F33*0.0256</f>
        <v>0.51179520000000001</v>
      </c>
      <c r="M33" s="603">
        <f>L33*B33</f>
        <v>0</v>
      </c>
      <c r="N33" s="603">
        <f>F33*0.0213</f>
        <v>0.42582960000000003</v>
      </c>
      <c r="O33" s="603">
        <f>N33*B33</f>
        <v>0</v>
      </c>
    </row>
    <row r="34" spans="1:15" s="162" customFormat="1" ht="15">
      <c r="B34" s="163"/>
      <c r="C34" s="163"/>
      <c r="D34" s="997" t="s">
        <v>183</v>
      </c>
      <c r="E34" s="998"/>
      <c r="F34" s="999"/>
      <c r="G34" s="103">
        <f>SUM(G29:G33)+G26</f>
        <v>0</v>
      </c>
      <c r="H34" s="164" t="s">
        <v>184</v>
      </c>
      <c r="I34" s="103">
        <f>SUM(I29:I33)+I26</f>
        <v>0</v>
      </c>
      <c r="J34" s="164" t="s">
        <v>185</v>
      </c>
      <c r="K34" s="103">
        <f>SUM(K29:K33)+K26</f>
        <v>0</v>
      </c>
      <c r="L34" s="164" t="s">
        <v>186</v>
      </c>
      <c r="M34" s="103">
        <f>SUM(M29:M33)+M26</f>
        <v>0</v>
      </c>
      <c r="N34" s="164" t="s">
        <v>187</v>
      </c>
      <c r="O34" s="103">
        <f>SUM(O29:O33)+O26</f>
        <v>0</v>
      </c>
    </row>
    <row r="39" spans="1:15" ht="15.75">
      <c r="C39" s="166"/>
      <c r="D39" s="167"/>
      <c r="E39" s="168"/>
      <c r="F39" s="168"/>
      <c r="L39" s="104">
        <f>F39*0.0256</f>
        <v>0</v>
      </c>
    </row>
    <row r="40" spans="1:15" ht="15.75">
      <c r="C40" s="166"/>
      <c r="D40" s="167"/>
      <c r="E40" s="168"/>
      <c r="F40" s="168"/>
    </row>
    <row r="41" spans="1:15" ht="15.75">
      <c r="C41" s="166"/>
      <c r="D41" s="167"/>
      <c r="E41" s="168"/>
      <c r="F41" s="168"/>
    </row>
    <row r="42" spans="1:15" ht="15.75">
      <c r="C42" s="166"/>
      <c r="D42" s="167"/>
      <c r="E42" s="168"/>
      <c r="F42" s="168"/>
    </row>
    <row r="43" spans="1:15" ht="15.75">
      <c r="C43" s="166"/>
      <c r="D43" s="167"/>
      <c r="E43" s="168"/>
      <c r="F43" s="168"/>
    </row>
    <row r="44" spans="1:15" ht="15.75">
      <c r="C44" s="166"/>
      <c r="D44" s="167"/>
      <c r="E44" s="168"/>
      <c r="F44" s="168"/>
    </row>
    <row r="48" spans="1:15">
      <c r="B48" s="106"/>
      <c r="C48" s="106"/>
    </row>
  </sheetData>
  <mergeCells count="27">
    <mergeCell ref="A29:A33"/>
    <mergeCell ref="D34:F34"/>
    <mergeCell ref="J26:J27"/>
    <mergeCell ref="K26:K27"/>
    <mergeCell ref="L26:L27"/>
    <mergeCell ref="A28:O28"/>
    <mergeCell ref="N26:N27"/>
    <mergeCell ref="O26:O27"/>
    <mergeCell ref="M26:M27"/>
    <mergeCell ref="A26:A27"/>
    <mergeCell ref="B26:B27"/>
    <mergeCell ref="G26:G27"/>
    <mergeCell ref="H26:H27"/>
    <mergeCell ref="I26:I27"/>
    <mergeCell ref="F24:G24"/>
    <mergeCell ref="H24:O24"/>
    <mergeCell ref="A4:O4"/>
    <mergeCell ref="A5:O5"/>
    <mergeCell ref="F10:I10"/>
    <mergeCell ref="F15:G15"/>
    <mergeCell ref="A16:O16"/>
    <mergeCell ref="A17:O17"/>
    <mergeCell ref="A18:H18"/>
    <mergeCell ref="I18:O18"/>
    <mergeCell ref="A19:H19"/>
    <mergeCell ref="I19:O19"/>
    <mergeCell ref="G23:H23"/>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
    <tabColor rgb="FFFF0000"/>
  </sheetPr>
  <dimension ref="A1:Q63"/>
  <sheetViews>
    <sheetView zoomScale="79" zoomScaleNormal="79" workbookViewId="0">
      <selection activeCell="D41" sqref="D41"/>
    </sheetView>
  </sheetViews>
  <sheetFormatPr defaultColWidth="8.85546875" defaultRowHeight="12.75"/>
  <cols>
    <col min="1" max="1" width="15.28515625" style="104" customWidth="1"/>
    <col min="2" max="2" width="9.140625" style="104" customWidth="1"/>
    <col min="3" max="3" width="14" style="104" customWidth="1"/>
    <col min="4" max="4" width="33.140625" style="104" customWidth="1"/>
    <col min="5" max="5" width="15.7109375" style="104" customWidth="1"/>
    <col min="6" max="6" width="18.28515625" style="165" customWidth="1"/>
    <col min="7" max="7" width="23.140625" style="165" customWidth="1"/>
    <col min="8" max="8" width="22.42578125" style="104" customWidth="1"/>
    <col min="9" max="9" width="20.85546875" style="104" customWidth="1"/>
    <col min="10" max="10" width="23" style="104" customWidth="1"/>
    <col min="11" max="11" width="20.42578125" style="104" customWidth="1"/>
    <col min="12" max="12" width="23.28515625" style="104" customWidth="1"/>
    <col min="13" max="13" width="20.85546875" style="104" customWidth="1"/>
    <col min="14" max="14" width="23.5703125" style="104" customWidth="1"/>
    <col min="15" max="15" width="20.85546875" style="104" customWidth="1"/>
    <col min="16" max="16384" width="8.85546875" style="104"/>
  </cols>
  <sheetData>
    <row r="1" spans="1:17" ht="13.5" thickBot="1">
      <c r="B1" s="105"/>
      <c r="C1" s="105"/>
      <c r="D1" s="106"/>
      <c r="E1" s="106"/>
      <c r="F1" s="107"/>
      <c r="G1" s="107"/>
      <c r="H1" s="107"/>
      <c r="I1" s="107"/>
      <c r="J1" s="107"/>
      <c r="K1" s="107"/>
      <c r="L1" s="107"/>
    </row>
    <row r="2" spans="1:17" ht="9" customHeight="1">
      <c r="A2" s="108"/>
      <c r="B2" s="109"/>
      <c r="C2" s="109"/>
      <c r="D2" s="110"/>
      <c r="E2" s="110"/>
      <c r="F2" s="111"/>
      <c r="G2" s="111"/>
      <c r="H2" s="111"/>
      <c r="I2" s="112"/>
      <c r="J2" s="112"/>
      <c r="K2" s="112"/>
      <c r="L2" s="112"/>
      <c r="M2" s="108"/>
      <c r="N2" s="108"/>
      <c r="O2" s="108"/>
    </row>
    <row r="3" spans="1:17" ht="10.5" customHeight="1">
      <c r="B3" s="105"/>
      <c r="C3" s="105"/>
      <c r="D3" s="106"/>
      <c r="E3" s="106"/>
      <c r="F3" s="107"/>
      <c r="G3" s="107"/>
      <c r="H3" s="107"/>
      <c r="I3" s="113"/>
      <c r="J3" s="113"/>
      <c r="K3" s="113"/>
      <c r="L3" s="113"/>
    </row>
    <row r="4" spans="1:17" ht="30">
      <c r="A4" s="981" t="s">
        <v>1183</v>
      </c>
      <c r="B4" s="979"/>
      <c r="C4" s="979"/>
      <c r="D4" s="979"/>
      <c r="E4" s="979"/>
      <c r="F4" s="979"/>
      <c r="G4" s="979"/>
      <c r="H4" s="979"/>
      <c r="I4" s="979"/>
      <c r="J4" s="979"/>
      <c r="K4" s="979"/>
      <c r="L4" s="979"/>
      <c r="M4" s="979"/>
      <c r="N4" s="979"/>
      <c r="O4" s="979"/>
    </row>
    <row r="5" spans="1:17" s="114" customFormat="1" ht="38.25" customHeight="1">
      <c r="A5" s="982" t="s">
        <v>1184</v>
      </c>
      <c r="B5" s="983"/>
      <c r="C5" s="983"/>
      <c r="D5" s="983"/>
      <c r="E5" s="983"/>
      <c r="F5" s="983"/>
      <c r="G5" s="983"/>
      <c r="H5" s="983"/>
      <c r="I5" s="983"/>
      <c r="J5" s="983"/>
      <c r="K5" s="983"/>
      <c r="L5" s="983"/>
      <c r="M5" s="983"/>
      <c r="N5" s="983"/>
      <c r="O5" s="983"/>
    </row>
    <row r="6" spans="1:17" ht="9" customHeight="1" thickBot="1">
      <c r="A6" s="115"/>
      <c r="B6" s="116"/>
      <c r="C6" s="116"/>
      <c r="D6" s="117"/>
      <c r="E6" s="117"/>
      <c r="F6" s="118"/>
      <c r="G6" s="118"/>
      <c r="H6" s="118"/>
      <c r="I6" s="119"/>
      <c r="J6" s="119"/>
      <c r="K6" s="119"/>
      <c r="L6" s="119"/>
      <c r="M6" s="115"/>
      <c r="N6" s="115"/>
      <c r="O6" s="115"/>
    </row>
    <row r="9" spans="1:17" s="113" customFormat="1" ht="14.25">
      <c r="B9" s="120"/>
      <c r="C9" s="120"/>
      <c r="D9" s="121"/>
      <c r="E9" s="121"/>
      <c r="F9" s="121"/>
      <c r="G9" s="121"/>
      <c r="H9" s="121"/>
      <c r="I9" s="121"/>
      <c r="J9" s="121"/>
      <c r="K9" s="121"/>
      <c r="L9" s="121"/>
    </row>
    <row r="10" spans="1:17" s="113" customFormat="1" ht="14.25">
      <c r="F10" s="980" t="s">
        <v>3</v>
      </c>
      <c r="G10" s="980"/>
      <c r="H10" s="980"/>
      <c r="I10" s="980"/>
    </row>
    <row r="11" spans="1:17" s="113" customFormat="1" ht="14.25">
      <c r="G11" s="122" t="s">
        <v>4</v>
      </c>
      <c r="H11" s="113" t="s">
        <v>261</v>
      </c>
    </row>
    <row r="12" spans="1:17" s="113" customFormat="1" ht="14.25">
      <c r="F12" s="125"/>
      <c r="G12" s="126" t="s">
        <v>6</v>
      </c>
      <c r="H12" s="127" t="s">
        <v>7</v>
      </c>
      <c r="I12" s="127"/>
      <c r="K12" s="127"/>
      <c r="L12" s="128"/>
      <c r="M12" s="104"/>
      <c r="N12" s="104"/>
      <c r="O12" s="104"/>
      <c r="P12" s="104"/>
      <c r="Q12" s="104"/>
    </row>
    <row r="13" spans="1:17" s="113" customFormat="1">
      <c r="F13" s="125"/>
      <c r="G13" s="123" t="s">
        <v>8</v>
      </c>
      <c r="H13" s="129">
        <v>80000</v>
      </c>
      <c r="I13" s="129"/>
      <c r="K13" s="129"/>
      <c r="L13" s="130"/>
      <c r="M13" s="104"/>
      <c r="N13" s="104"/>
      <c r="O13" s="104"/>
      <c r="Q13" s="104"/>
    </row>
    <row r="14" spans="1:17" s="113" customFormat="1">
      <c r="F14" s="125"/>
      <c r="G14" s="123" t="s">
        <v>9</v>
      </c>
      <c r="H14" s="113" t="s">
        <v>266</v>
      </c>
      <c r="L14" s="130"/>
      <c r="M14" s="104"/>
      <c r="N14" s="104"/>
      <c r="O14" s="104"/>
      <c r="P14" s="131"/>
      <c r="Q14" s="104"/>
    </row>
    <row r="15" spans="1:17" s="113" customFormat="1" ht="14.25">
      <c r="A15" s="128"/>
      <c r="B15" s="104"/>
      <c r="C15" s="104"/>
      <c r="D15" s="104"/>
      <c r="E15" s="104"/>
      <c r="F15" s="104"/>
      <c r="G15" s="123" t="s">
        <v>10</v>
      </c>
      <c r="H15" s="113" t="s">
        <v>257</v>
      </c>
      <c r="L15" s="130"/>
      <c r="M15" s="104"/>
      <c r="N15" s="104"/>
      <c r="O15" s="104"/>
    </row>
    <row r="16" spans="1:17" s="113" customFormat="1">
      <c r="A16" s="130"/>
      <c r="B16" s="104"/>
      <c r="C16" s="104"/>
      <c r="E16" s="104"/>
      <c r="F16" s="104"/>
      <c r="G16" s="123" t="s">
        <v>12</v>
      </c>
      <c r="H16" s="113" t="s">
        <v>1226</v>
      </c>
      <c r="L16" s="130"/>
      <c r="M16" s="104"/>
      <c r="N16" s="104"/>
      <c r="O16" s="104"/>
    </row>
    <row r="17" spans="1:16" s="113" customFormat="1">
      <c r="A17" s="130"/>
      <c r="B17" s="104"/>
      <c r="C17" s="104"/>
      <c r="D17" s="132"/>
      <c r="E17" s="133"/>
      <c r="F17" s="133"/>
      <c r="G17" s="123" t="s">
        <v>13</v>
      </c>
      <c r="H17" s="113" t="s">
        <v>14</v>
      </c>
    </row>
    <row r="18" spans="1:16" s="113" customFormat="1">
      <c r="F18" s="125"/>
      <c r="G18" s="123" t="s">
        <v>15</v>
      </c>
      <c r="H18" s="113" t="s">
        <v>1192</v>
      </c>
    </row>
    <row r="19" spans="1:16" s="113" customFormat="1">
      <c r="F19" s="125"/>
      <c r="G19" s="123" t="s">
        <v>16</v>
      </c>
      <c r="H19" s="113" t="s">
        <v>17</v>
      </c>
    </row>
    <row r="20" spans="1:16" s="113" customFormat="1" ht="14.25">
      <c r="C20" s="134"/>
      <c r="F20" s="135"/>
      <c r="G20" s="123" t="s">
        <v>19</v>
      </c>
      <c r="H20" s="113" t="s">
        <v>1191</v>
      </c>
      <c r="K20" s="124"/>
    </row>
    <row r="21" spans="1:16" s="113" customFormat="1" ht="15.75" customHeight="1">
      <c r="D21" s="136"/>
      <c r="E21" s="136"/>
      <c r="F21" s="135"/>
      <c r="G21" s="123" t="s">
        <v>20</v>
      </c>
      <c r="H21" s="113" t="s">
        <v>1193</v>
      </c>
    </row>
    <row r="22" spans="1:16" s="113" customFormat="1" ht="12.75" customHeight="1">
      <c r="D22" s="136"/>
      <c r="E22" s="136"/>
      <c r="F22" s="135"/>
      <c r="G22" s="123" t="s">
        <v>21</v>
      </c>
      <c r="H22" s="113" t="s">
        <v>1195</v>
      </c>
    </row>
    <row r="23" spans="1:16" s="113" customFormat="1" ht="12.75" customHeight="1">
      <c r="D23" s="136"/>
      <c r="E23" s="136"/>
      <c r="F23" s="135"/>
      <c r="G23" s="123" t="s">
        <v>22</v>
      </c>
      <c r="H23" s="113" t="s">
        <v>1194</v>
      </c>
    </row>
    <row r="24" spans="1:16" s="113" customFormat="1" ht="12.75" customHeight="1" thickBot="1">
      <c r="D24" s="136"/>
      <c r="E24" s="136"/>
      <c r="F24" s="978"/>
      <c r="G24" s="979"/>
    </row>
    <row r="25" spans="1:16" s="113" customFormat="1" ht="15" thickBot="1">
      <c r="A25" s="1373" t="s">
        <v>23</v>
      </c>
      <c r="B25" s="1002"/>
      <c r="C25" s="1002"/>
      <c r="D25" s="1002"/>
      <c r="E25" s="1002"/>
      <c r="F25" s="1002"/>
      <c r="G25" s="1002"/>
      <c r="H25" s="1002"/>
      <c r="I25" s="1002"/>
      <c r="J25" s="1002"/>
      <c r="K25" s="1002"/>
      <c r="L25" s="1002"/>
      <c r="M25" s="1002"/>
      <c r="N25" s="1002"/>
      <c r="O25" s="1003"/>
    </row>
    <row r="26" spans="1:16" s="113" customFormat="1" ht="14.25">
      <c r="A26" s="992" t="s">
        <v>1181</v>
      </c>
      <c r="B26" s="979"/>
      <c r="C26" s="979"/>
      <c r="D26" s="979"/>
      <c r="E26" s="979"/>
      <c r="F26" s="979"/>
      <c r="G26" s="979"/>
      <c r="H26" s="991"/>
      <c r="I26" s="993" t="s">
        <v>1182</v>
      </c>
      <c r="J26" s="979"/>
      <c r="K26" s="979"/>
      <c r="L26" s="979"/>
      <c r="M26" s="979"/>
      <c r="N26" s="979"/>
      <c r="O26" s="991"/>
    </row>
    <row r="27" spans="1:16" s="113" customFormat="1" ht="12.75" customHeight="1">
      <c r="A27" s="994" t="s">
        <v>160</v>
      </c>
      <c r="B27" s="979"/>
      <c r="C27" s="979"/>
      <c r="D27" s="979"/>
      <c r="E27" s="979" t="s">
        <v>161</v>
      </c>
      <c r="F27" s="979"/>
      <c r="G27" s="979"/>
      <c r="H27" s="137"/>
      <c r="I27" s="994" t="s">
        <v>160</v>
      </c>
      <c r="J27" s="979"/>
      <c r="K27" s="979"/>
      <c r="L27" s="979"/>
      <c r="M27" s="979" t="s">
        <v>162</v>
      </c>
      <c r="N27" s="979"/>
      <c r="O27" s="991"/>
    </row>
    <row r="28" spans="1:16" s="113" customFormat="1" ht="12.75" customHeight="1">
      <c r="A28" s="994" t="s">
        <v>163</v>
      </c>
      <c r="B28" s="979"/>
      <c r="C28" s="979"/>
      <c r="D28" s="979"/>
      <c r="E28" s="989">
        <v>0</v>
      </c>
      <c r="F28" s="989"/>
      <c r="G28" s="989"/>
      <c r="H28" s="137"/>
      <c r="I28" s="994" t="s">
        <v>163</v>
      </c>
      <c r="J28" s="979"/>
      <c r="K28" s="979"/>
      <c r="L28" s="979"/>
      <c r="M28" s="989">
        <v>65</v>
      </c>
      <c r="N28" s="989"/>
      <c r="O28" s="1011"/>
    </row>
    <row r="29" spans="1:16" s="113" customFormat="1" ht="12.75" customHeight="1">
      <c r="A29" s="994" t="s">
        <v>3465</v>
      </c>
      <c r="B29" s="979"/>
      <c r="C29" s="979"/>
      <c r="D29" s="979"/>
      <c r="E29" s="979" t="s">
        <v>165</v>
      </c>
      <c r="F29" s="979"/>
      <c r="G29" s="979"/>
      <c r="H29" s="137"/>
      <c r="I29" s="994" t="s">
        <v>3465</v>
      </c>
      <c r="J29" s="979"/>
      <c r="K29" s="979"/>
      <c r="L29" s="979"/>
      <c r="M29" s="1014" t="s">
        <v>258</v>
      </c>
      <c r="N29" s="979"/>
      <c r="O29" s="991"/>
    </row>
    <row r="30" spans="1:16" s="113" customFormat="1" ht="12.75" customHeight="1">
      <c r="A30" s="994" t="s">
        <v>3481</v>
      </c>
      <c r="B30" s="979"/>
      <c r="C30" s="979"/>
      <c r="D30" s="979"/>
      <c r="E30" s="1014" t="s">
        <v>224</v>
      </c>
      <c r="F30" s="979"/>
      <c r="G30" s="979"/>
      <c r="H30" s="137"/>
      <c r="I30" s="994" t="s">
        <v>3481</v>
      </c>
      <c r="J30" s="979"/>
      <c r="K30" s="979"/>
      <c r="L30" s="979"/>
      <c r="M30" s="1014" t="s">
        <v>48</v>
      </c>
      <c r="N30" s="979"/>
      <c r="O30" s="991"/>
    </row>
    <row r="31" spans="1:16" s="113" customFormat="1" ht="12.75" customHeight="1">
      <c r="A31" s="1368" t="s">
        <v>62</v>
      </c>
      <c r="B31" s="1369"/>
      <c r="C31" s="1369"/>
      <c r="D31" s="1369"/>
      <c r="E31" s="1369" t="s">
        <v>165</v>
      </c>
      <c r="F31" s="1369"/>
      <c r="G31" s="1369"/>
      <c r="H31" s="657"/>
      <c r="I31" s="1368" t="s">
        <v>3465</v>
      </c>
      <c r="J31" s="1369"/>
      <c r="K31" s="1369"/>
      <c r="L31" s="1369"/>
      <c r="M31" s="1370" t="s">
        <v>260</v>
      </c>
      <c r="N31" s="1369"/>
      <c r="O31" s="1372"/>
    </row>
    <row r="32" spans="1:16" s="113" customFormat="1" ht="12.6" customHeight="1">
      <c r="A32" s="1368" t="s">
        <v>3466</v>
      </c>
      <c r="B32" s="1369"/>
      <c r="C32" s="1369"/>
      <c r="D32" s="1369"/>
      <c r="E32" s="1370" t="s">
        <v>3486</v>
      </c>
      <c r="F32" s="1370"/>
      <c r="G32" s="1370"/>
      <c r="H32" s="1371"/>
      <c r="I32" s="1368" t="s">
        <v>3466</v>
      </c>
      <c r="J32" s="1369"/>
      <c r="K32" s="1369"/>
      <c r="L32" s="1369"/>
      <c r="M32" s="1370" t="s">
        <v>3486</v>
      </c>
      <c r="N32" s="1370"/>
      <c r="O32" s="1371"/>
      <c r="P32" s="519"/>
    </row>
    <row r="33" spans="1:16" s="113" customFormat="1" ht="12.6" customHeight="1">
      <c r="A33" s="1368" t="s">
        <v>3467</v>
      </c>
      <c r="B33" s="1369"/>
      <c r="C33" s="1369"/>
      <c r="D33" s="1369"/>
      <c r="E33" s="1370" t="s">
        <v>3478</v>
      </c>
      <c r="F33" s="1370"/>
      <c r="G33" s="1370"/>
      <c r="H33" s="1371"/>
      <c r="I33" s="1368" t="s">
        <v>3467</v>
      </c>
      <c r="J33" s="1369"/>
      <c r="K33" s="1369"/>
      <c r="L33" s="1369"/>
      <c r="M33" s="1370" t="s">
        <v>3478</v>
      </c>
      <c r="N33" s="1370"/>
      <c r="O33" s="1371"/>
      <c r="P33" s="519"/>
    </row>
    <row r="34" spans="1:16" s="113" customFormat="1" ht="12.6" customHeight="1" thickBot="1">
      <c r="A34" s="1364" t="s">
        <v>3468</v>
      </c>
      <c r="B34" s="1365"/>
      <c r="C34" s="1365"/>
      <c r="D34" s="1365"/>
      <c r="E34" s="1366" t="s">
        <v>3485</v>
      </c>
      <c r="F34" s="1366"/>
      <c r="G34" s="1366"/>
      <c r="H34" s="1367"/>
      <c r="I34" s="1364" t="s">
        <v>3468</v>
      </c>
      <c r="J34" s="1365"/>
      <c r="K34" s="1365"/>
      <c r="L34" s="1365"/>
      <c r="M34" s="1366" t="s">
        <v>3485</v>
      </c>
      <c r="N34" s="1366"/>
      <c r="O34" s="1367"/>
      <c r="P34" s="519"/>
    </row>
    <row r="35" spans="1:16" s="113" customFormat="1" ht="12.75" customHeight="1">
      <c r="B35" s="140"/>
      <c r="C35" s="140"/>
      <c r="D35" s="136"/>
      <c r="E35" s="136"/>
      <c r="F35" s="136"/>
      <c r="G35" s="136"/>
      <c r="H35" s="136"/>
      <c r="I35" s="136"/>
      <c r="J35" s="135"/>
      <c r="K35" s="135"/>
      <c r="L35" s="141"/>
      <c r="M35" s="142"/>
      <c r="N35" s="142"/>
    </row>
    <row r="36" spans="1:16" s="113" customFormat="1" ht="12.75" customHeight="1">
      <c r="D36" s="136"/>
      <c r="E36" s="136"/>
      <c r="F36" s="143"/>
      <c r="G36" s="104"/>
      <c r="H36" s="104"/>
      <c r="I36" s="104"/>
      <c r="J36" s="104"/>
      <c r="K36" s="144"/>
      <c r="L36" s="144"/>
      <c r="M36" s="123"/>
    </row>
    <row r="37" spans="1:16" s="113" customFormat="1" ht="12.75" customHeight="1">
      <c r="D37" s="136"/>
      <c r="E37" s="136"/>
      <c r="F37" s="143"/>
      <c r="G37" s="104"/>
      <c r="H37" s="104"/>
      <c r="I37" s="104"/>
      <c r="J37" s="104"/>
      <c r="K37" s="145"/>
      <c r="L37" s="145"/>
      <c r="M37" s="123"/>
    </row>
    <row r="38" spans="1:16" s="113" customFormat="1" ht="18" customHeight="1" thickBot="1">
      <c r="C38" s="136"/>
      <c r="D38" s="135"/>
      <c r="E38" s="146"/>
      <c r="F38" s="104"/>
      <c r="G38" s="1013"/>
      <c r="H38" s="998"/>
      <c r="I38" s="149"/>
      <c r="J38" s="150"/>
    </row>
    <row r="39" spans="1:16" s="113" customFormat="1" ht="15.75" customHeight="1" thickBot="1">
      <c r="F39" s="1007" t="s">
        <v>167</v>
      </c>
      <c r="G39" s="1008"/>
      <c r="H39" s="1009" t="s">
        <v>168</v>
      </c>
      <c r="I39" s="1010"/>
      <c r="J39" s="1010"/>
      <c r="K39" s="1002"/>
      <c r="L39" s="1002"/>
      <c r="M39" s="1002"/>
      <c r="N39" s="1002"/>
      <c r="O39" s="1003"/>
    </row>
    <row r="40" spans="1:16" s="151" customFormat="1" ht="54" customHeight="1" thickBot="1">
      <c r="A40" s="82" t="s">
        <v>122</v>
      </c>
      <c r="B40" s="82" t="s">
        <v>169</v>
      </c>
      <c r="C40" s="83" t="s">
        <v>170</v>
      </c>
      <c r="D40" s="83" t="s">
        <v>171</v>
      </c>
      <c r="E40" s="83" t="s">
        <v>172</v>
      </c>
      <c r="F40" s="83" t="s">
        <v>173</v>
      </c>
      <c r="G40" s="82" t="s">
        <v>174</v>
      </c>
      <c r="H40" s="84" t="s">
        <v>175</v>
      </c>
      <c r="I40" s="85" t="s">
        <v>174</v>
      </c>
      <c r="J40" s="84" t="s">
        <v>176</v>
      </c>
      <c r="K40" s="85" t="s">
        <v>174</v>
      </c>
      <c r="L40" s="84" t="s">
        <v>177</v>
      </c>
      <c r="M40" s="85" t="s">
        <v>174</v>
      </c>
      <c r="N40" s="84" t="s">
        <v>178</v>
      </c>
      <c r="O40" s="85" t="s">
        <v>174</v>
      </c>
    </row>
    <row r="41" spans="1:16" s="155" customFormat="1" ht="30.75" customHeight="1" thickBot="1">
      <c r="A41" s="984">
        <v>54</v>
      </c>
      <c r="B41" s="984"/>
      <c r="C41" s="86" t="s">
        <v>1186</v>
      </c>
      <c r="D41" s="152" t="s">
        <v>1185</v>
      </c>
      <c r="E41" s="153">
        <v>2746.71</v>
      </c>
      <c r="F41" s="1">
        <f>SUM(E41:E42)*(1-60%)</f>
        <v>1128.684</v>
      </c>
      <c r="G41" s="987">
        <f>F41*B41</f>
        <v>0</v>
      </c>
      <c r="H41" s="987">
        <f>F41*0.0832</f>
        <v>93.906508799999997</v>
      </c>
      <c r="I41" s="987">
        <f>H41*B41</f>
        <v>0</v>
      </c>
      <c r="J41" s="987">
        <f>F41*0.0313</f>
        <v>35.327809199999997</v>
      </c>
      <c r="K41" s="987">
        <f>J41*B41</f>
        <v>0</v>
      </c>
      <c r="L41" s="987">
        <f>F41*0.0256</f>
        <v>28.894310400000002</v>
      </c>
      <c r="M41" s="987">
        <f>L41*B41</f>
        <v>0</v>
      </c>
      <c r="N41" s="987">
        <f>F41*0.0213</f>
        <v>24.040969199999999</v>
      </c>
      <c r="O41" s="987">
        <f>N41*B41</f>
        <v>0</v>
      </c>
      <c r="P41" s="154"/>
    </row>
    <row r="42" spans="1:16" s="151" customFormat="1" ht="13.5" thickBot="1">
      <c r="A42" s="985"/>
      <c r="B42" s="986"/>
      <c r="C42" s="90" t="s">
        <v>179</v>
      </c>
      <c r="D42" s="91" t="s">
        <v>180</v>
      </c>
      <c r="E42" s="92">
        <v>75</v>
      </c>
      <c r="F42" s="93" t="s">
        <v>162</v>
      </c>
      <c r="G42" s="988"/>
      <c r="H42" s="1000"/>
      <c r="I42" s="988"/>
      <c r="J42" s="1000"/>
      <c r="K42" s="988"/>
      <c r="L42" s="1000"/>
      <c r="M42" s="988"/>
      <c r="N42" s="1000"/>
      <c r="O42" s="988"/>
    </row>
    <row r="43" spans="1:16" s="156" customFormat="1" ht="13.5" thickBot="1">
      <c r="A43" s="94"/>
      <c r="B43" s="95"/>
      <c r="C43" s="96"/>
      <c r="D43" s="97"/>
      <c r="E43" s="98"/>
      <c r="F43" s="99"/>
      <c r="G43" s="95"/>
      <c r="H43" s="100"/>
      <c r="I43" s="95"/>
      <c r="J43" s="100"/>
      <c r="K43" s="101"/>
      <c r="L43" s="100"/>
      <c r="M43" s="95"/>
      <c r="N43" s="100"/>
      <c r="O43" s="101"/>
    </row>
    <row r="44" spans="1:16" s="155" customFormat="1" ht="30.75" customHeight="1" thickBot="1">
      <c r="A44" s="984" t="s">
        <v>1196</v>
      </c>
      <c r="B44" s="984"/>
      <c r="C44" s="86" t="s">
        <v>1186</v>
      </c>
      <c r="D44" s="152" t="s">
        <v>1185</v>
      </c>
      <c r="E44" s="153">
        <v>2746.71</v>
      </c>
      <c r="F44" s="1">
        <f>SUM(E44:E45)*(1-60%)</f>
        <v>1128.684</v>
      </c>
      <c r="G44" s="987">
        <f>F44*B44</f>
        <v>0</v>
      </c>
      <c r="H44" s="987">
        <f>F44*0.0832+M28/12</f>
        <v>99.323175466666669</v>
      </c>
      <c r="I44" s="987">
        <f>H44*B44</f>
        <v>0</v>
      </c>
      <c r="J44" s="987">
        <f>F44*0.0313+M28/12</f>
        <v>40.744475866666662</v>
      </c>
      <c r="K44" s="987">
        <f>J44*B44</f>
        <v>0</v>
      </c>
      <c r="L44" s="987">
        <f>F44*0.0256+M28/12</f>
        <v>34.310977066666666</v>
      </c>
      <c r="M44" s="987">
        <f>L44*B44</f>
        <v>0</v>
      </c>
      <c r="N44" s="987">
        <f>F44*0.0213+M28/12</f>
        <v>29.457635866666667</v>
      </c>
      <c r="O44" s="987">
        <f>N44*B44</f>
        <v>0</v>
      </c>
      <c r="P44" s="154"/>
    </row>
    <row r="45" spans="1:16" s="151" customFormat="1" ht="13.5" thickBot="1">
      <c r="A45" s="985"/>
      <c r="B45" s="986"/>
      <c r="C45" s="90" t="s">
        <v>179</v>
      </c>
      <c r="D45" s="91" t="s">
        <v>180</v>
      </c>
      <c r="E45" s="92">
        <v>75</v>
      </c>
      <c r="F45" s="93" t="s">
        <v>162</v>
      </c>
      <c r="G45" s="988"/>
      <c r="H45" s="1000"/>
      <c r="I45" s="988"/>
      <c r="J45" s="1000"/>
      <c r="K45" s="988"/>
      <c r="L45" s="1000"/>
      <c r="M45" s="988"/>
      <c r="N45" s="1000"/>
      <c r="O45" s="988"/>
    </row>
    <row r="46" spans="1:16" s="156" customFormat="1" ht="13.5" customHeight="1" thickBot="1">
      <c r="A46" s="1001" t="s">
        <v>182</v>
      </c>
      <c r="B46" s="1002"/>
      <c r="C46" s="1002"/>
      <c r="D46" s="1002"/>
      <c r="E46" s="1002"/>
      <c r="F46" s="1002"/>
      <c r="G46" s="1002"/>
      <c r="H46" s="1002"/>
      <c r="I46" s="1002"/>
      <c r="J46" s="1002"/>
      <c r="K46" s="1002"/>
      <c r="L46" s="1002"/>
      <c r="M46" s="1002"/>
      <c r="N46" s="1002"/>
      <c r="O46" s="1003"/>
    </row>
    <row r="47" spans="1:16" s="151" customFormat="1" ht="26.1" customHeight="1" thickBot="1">
      <c r="A47" s="1004"/>
      <c r="B47" s="600"/>
      <c r="C47" s="158" t="s">
        <v>1189</v>
      </c>
      <c r="D47" s="606" t="s">
        <v>1187</v>
      </c>
      <c r="E47" s="601">
        <v>296.54000000000002</v>
      </c>
      <c r="F47" s="602">
        <f>E47*(1-40%)</f>
        <v>177.92400000000001</v>
      </c>
      <c r="G47" s="602">
        <f>F47*B47</f>
        <v>0</v>
      </c>
      <c r="H47" s="603">
        <f>F47*0.0832</f>
        <v>14.803276799999999</v>
      </c>
      <c r="I47" s="603">
        <f>H47*B47</f>
        <v>0</v>
      </c>
      <c r="J47" s="603">
        <f>F47*0.0313</f>
        <v>5.5690212000000008</v>
      </c>
      <c r="K47" s="603">
        <f>J47*B47</f>
        <v>0</v>
      </c>
      <c r="L47" s="603">
        <f>F47*0.0256</f>
        <v>4.5548544</v>
      </c>
      <c r="M47" s="603">
        <f>L47*B47</f>
        <v>0</v>
      </c>
      <c r="N47" s="603">
        <f>F47*0.0213</f>
        <v>3.7897812000000002</v>
      </c>
      <c r="O47" s="603">
        <f>N47*B47</f>
        <v>0</v>
      </c>
    </row>
    <row r="48" spans="1:16" s="151" customFormat="1" ht="26.1" customHeight="1" thickBot="1">
      <c r="A48" s="1006"/>
      <c r="B48" s="501"/>
      <c r="C48" s="158" t="s">
        <v>1190</v>
      </c>
      <c r="D48" s="606" t="s">
        <v>1188</v>
      </c>
      <c r="E48" s="601">
        <v>889.64</v>
      </c>
      <c r="F48" s="602">
        <f>E48*(1-40%)</f>
        <v>533.78399999999999</v>
      </c>
      <c r="G48" s="604">
        <f>F48*B48</f>
        <v>0</v>
      </c>
      <c r="H48" s="603">
        <f>F48*0.0832</f>
        <v>44.410828799999997</v>
      </c>
      <c r="I48" s="605">
        <f>H48*B48</f>
        <v>0</v>
      </c>
      <c r="J48" s="603">
        <f>F48*0.0313</f>
        <v>16.7074392</v>
      </c>
      <c r="K48" s="605">
        <f>J48*B48</f>
        <v>0</v>
      </c>
      <c r="L48" s="603">
        <f>F48*0.0256</f>
        <v>13.6648704</v>
      </c>
      <c r="M48" s="603">
        <f>L48*B48</f>
        <v>0</v>
      </c>
      <c r="N48" s="603">
        <f>F48*0.0213</f>
        <v>11.3695992</v>
      </c>
      <c r="O48" s="603">
        <f>N48*B48</f>
        <v>0</v>
      </c>
    </row>
    <row r="49" spans="2:15" s="162" customFormat="1" ht="15">
      <c r="B49" s="163"/>
      <c r="C49" s="163"/>
      <c r="D49" s="997" t="s">
        <v>183</v>
      </c>
      <c r="E49" s="998"/>
      <c r="F49" s="999"/>
      <c r="G49" s="103">
        <f t="array" ref="G49">SUM(G47:G48)+G41:G47:G48+G44</f>
        <v>0</v>
      </c>
      <c r="H49" s="164" t="s">
        <v>184</v>
      </c>
      <c r="I49" s="103">
        <f t="array" ref="I49">SUM(I47:I48)+I41:I47:I48+I44</f>
        <v>0</v>
      </c>
      <c r="J49" s="164" t="s">
        <v>185</v>
      </c>
      <c r="K49" s="103">
        <f t="array" ref="K49">SUM(K47:K48)+K41:K47:K48+K44</f>
        <v>0</v>
      </c>
      <c r="L49" s="164" t="s">
        <v>186</v>
      </c>
      <c r="M49" s="103">
        <f t="array" ref="M49">SUM(M47:M48)+M41:M47:M48+M44</f>
        <v>0</v>
      </c>
      <c r="N49" s="164" t="s">
        <v>187</v>
      </c>
      <c r="O49" s="103">
        <f t="array" ref="O49">SUM(O47:O48)+O41:O47:O48+O44</f>
        <v>0</v>
      </c>
    </row>
    <row r="54" spans="2:15" ht="15.75">
      <c r="C54" s="166"/>
      <c r="D54" s="167"/>
      <c r="E54" s="168"/>
      <c r="F54" s="168"/>
    </row>
    <row r="55" spans="2:15" ht="15.75">
      <c r="C55" s="166"/>
      <c r="D55" s="167"/>
      <c r="E55" s="168"/>
      <c r="F55" s="168"/>
    </row>
    <row r="56" spans="2:15" ht="15.75">
      <c r="C56" s="166"/>
      <c r="D56" s="167"/>
      <c r="E56" s="168"/>
      <c r="F56" s="168"/>
    </row>
    <row r="57" spans="2:15" ht="15.75">
      <c r="C57" s="166"/>
      <c r="D57" s="167"/>
      <c r="E57" s="168"/>
      <c r="F57" s="168"/>
    </row>
    <row r="58" spans="2:15" ht="15.75">
      <c r="C58" s="166"/>
      <c r="D58" s="167"/>
      <c r="E58" s="168"/>
      <c r="F58" s="168"/>
    </row>
    <row r="59" spans="2:15" ht="15.75">
      <c r="C59" s="166"/>
      <c r="D59" s="167"/>
      <c r="E59" s="168"/>
      <c r="F59" s="168"/>
    </row>
    <row r="63" spans="2:15">
      <c r="B63" s="106"/>
      <c r="C63" s="106"/>
    </row>
  </sheetData>
  <mergeCells count="67">
    <mergeCell ref="O44:O45"/>
    <mergeCell ref="A46:O46"/>
    <mergeCell ref="A47:A48"/>
    <mergeCell ref="D49:F49"/>
    <mergeCell ref="K44:K45"/>
    <mergeCell ref="L44:L45"/>
    <mergeCell ref="M44:M45"/>
    <mergeCell ref="A44:A45"/>
    <mergeCell ref="B44:B45"/>
    <mergeCell ref="G44:G45"/>
    <mergeCell ref="H44:H45"/>
    <mergeCell ref="N44:N45"/>
    <mergeCell ref="I44:I45"/>
    <mergeCell ref="J44:J45"/>
    <mergeCell ref="G38:H38"/>
    <mergeCell ref="F39:G39"/>
    <mergeCell ref="H39:O39"/>
    <mergeCell ref="A41:A42"/>
    <mergeCell ref="B41:B42"/>
    <mergeCell ref="G41:G42"/>
    <mergeCell ref="H41:H42"/>
    <mergeCell ref="I41:I42"/>
    <mergeCell ref="J41:J42"/>
    <mergeCell ref="K41:K42"/>
    <mergeCell ref="L41:L42"/>
    <mergeCell ref="M41:M42"/>
    <mergeCell ref="N41:N42"/>
    <mergeCell ref="O41:O42"/>
    <mergeCell ref="I29:L29"/>
    <mergeCell ref="M29:O29"/>
    <mergeCell ref="A30:D30"/>
    <mergeCell ref="E30:G30"/>
    <mergeCell ref="I30:L30"/>
    <mergeCell ref="M30:O30"/>
    <mergeCell ref="A4:O4"/>
    <mergeCell ref="A5:O5"/>
    <mergeCell ref="F10:I10"/>
    <mergeCell ref="F24:G24"/>
    <mergeCell ref="A25:O25"/>
    <mergeCell ref="A26:H26"/>
    <mergeCell ref="I26:O26"/>
    <mergeCell ref="A31:D31"/>
    <mergeCell ref="E31:G31"/>
    <mergeCell ref="I31:L31"/>
    <mergeCell ref="M31:O31"/>
    <mergeCell ref="A27:D27"/>
    <mergeCell ref="E27:G27"/>
    <mergeCell ref="I27:L27"/>
    <mergeCell ref="M27:O27"/>
    <mergeCell ref="A28:D28"/>
    <mergeCell ref="E28:G28"/>
    <mergeCell ref="I28:L28"/>
    <mergeCell ref="M28:O28"/>
    <mergeCell ref="A29:D29"/>
    <mergeCell ref="E29:G29"/>
    <mergeCell ref="A34:D34"/>
    <mergeCell ref="E34:H34"/>
    <mergeCell ref="I34:L34"/>
    <mergeCell ref="M34:O34"/>
    <mergeCell ref="A32:D32"/>
    <mergeCell ref="E32:H32"/>
    <mergeCell ref="I32:L32"/>
    <mergeCell ref="M32:O32"/>
    <mergeCell ref="A33:D33"/>
    <mergeCell ref="E33:H33"/>
    <mergeCell ref="I33:L33"/>
    <mergeCell ref="M33:O33"/>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3">
    <tabColor rgb="FFFF0000"/>
  </sheetPr>
  <dimension ref="A1:Q60"/>
  <sheetViews>
    <sheetView zoomScale="79" zoomScaleNormal="79" workbookViewId="0">
      <selection activeCell="L47" sqref="L45:L47"/>
    </sheetView>
  </sheetViews>
  <sheetFormatPr defaultColWidth="8.85546875" defaultRowHeight="12.75"/>
  <cols>
    <col min="1" max="1" width="15.28515625" style="104" customWidth="1"/>
    <col min="2" max="2" width="9.140625" style="104" customWidth="1"/>
    <col min="3" max="3" width="14" style="104" customWidth="1"/>
    <col min="4" max="4" width="33.140625" style="104" customWidth="1"/>
    <col min="5" max="5" width="15.7109375" style="104" customWidth="1"/>
    <col min="6" max="6" width="18.28515625" style="165" customWidth="1"/>
    <col min="7" max="7" width="23.140625" style="165" customWidth="1"/>
    <col min="8" max="8" width="22.42578125" style="104" customWidth="1"/>
    <col min="9" max="9" width="20.85546875" style="104" customWidth="1"/>
    <col min="10" max="10" width="23" style="104" customWidth="1"/>
    <col min="11" max="11" width="20.42578125" style="104" customWidth="1"/>
    <col min="12" max="12" width="23.28515625" style="104" customWidth="1"/>
    <col min="13" max="13" width="20.85546875" style="104" customWidth="1"/>
    <col min="14" max="14" width="23.5703125" style="104" customWidth="1"/>
    <col min="15" max="15" width="20.85546875" style="104" customWidth="1"/>
    <col min="16" max="16384" width="8.85546875" style="104"/>
  </cols>
  <sheetData>
    <row r="1" spans="1:17" ht="13.5" thickBot="1">
      <c r="B1" s="105"/>
      <c r="C1" s="105"/>
      <c r="D1" s="106"/>
      <c r="E1" s="106"/>
      <c r="F1" s="107"/>
      <c r="G1" s="107"/>
      <c r="H1" s="107"/>
      <c r="I1" s="107"/>
      <c r="J1" s="107"/>
      <c r="K1" s="107"/>
      <c r="L1" s="107"/>
    </row>
    <row r="2" spans="1:17" ht="9" customHeight="1">
      <c r="A2" s="108"/>
      <c r="B2" s="109"/>
      <c r="C2" s="109"/>
      <c r="D2" s="110"/>
      <c r="E2" s="110"/>
      <c r="F2" s="111"/>
      <c r="G2" s="111"/>
      <c r="H2" s="111"/>
      <c r="I2" s="112"/>
      <c r="J2" s="112"/>
      <c r="K2" s="112"/>
      <c r="L2" s="112"/>
      <c r="M2" s="108"/>
      <c r="N2" s="108"/>
      <c r="O2" s="108"/>
    </row>
    <row r="3" spans="1:17" ht="10.5" customHeight="1">
      <c r="B3" s="105"/>
      <c r="C3" s="105"/>
      <c r="D3" s="106"/>
      <c r="E3" s="106"/>
      <c r="F3" s="107"/>
      <c r="G3" s="107"/>
      <c r="H3" s="107"/>
      <c r="I3" s="113"/>
      <c r="J3" s="113"/>
      <c r="K3" s="113"/>
      <c r="L3" s="113"/>
    </row>
    <row r="4" spans="1:17" ht="30">
      <c r="A4" s="981" t="s">
        <v>1183</v>
      </c>
      <c r="B4" s="979"/>
      <c r="C4" s="979"/>
      <c r="D4" s="979"/>
      <c r="E4" s="979"/>
      <c r="F4" s="979"/>
      <c r="G4" s="979"/>
      <c r="H4" s="979"/>
      <c r="I4" s="979"/>
      <c r="J4" s="979"/>
      <c r="K4" s="979"/>
      <c r="L4" s="979"/>
      <c r="M4" s="979"/>
      <c r="N4" s="979"/>
      <c r="O4" s="979"/>
    </row>
    <row r="5" spans="1:17" s="114" customFormat="1" ht="38.25" customHeight="1">
      <c r="A5" s="982" t="s">
        <v>1184</v>
      </c>
      <c r="B5" s="983"/>
      <c r="C5" s="983"/>
      <c r="D5" s="983"/>
      <c r="E5" s="983"/>
      <c r="F5" s="983"/>
      <c r="G5" s="983"/>
      <c r="H5" s="983"/>
      <c r="I5" s="983"/>
      <c r="J5" s="983"/>
      <c r="K5" s="983"/>
      <c r="L5" s="983"/>
      <c r="M5" s="983"/>
      <c r="N5" s="983"/>
      <c r="O5" s="983"/>
    </row>
    <row r="6" spans="1:17" ht="9" customHeight="1" thickBot="1">
      <c r="A6" s="115"/>
      <c r="B6" s="116"/>
      <c r="C6" s="116"/>
      <c r="D6" s="117"/>
      <c r="E6" s="117"/>
      <c r="F6" s="118"/>
      <c r="G6" s="118"/>
      <c r="H6" s="118"/>
      <c r="I6" s="119"/>
      <c r="J6" s="119"/>
      <c r="K6" s="119"/>
      <c r="L6" s="119"/>
      <c r="M6" s="115"/>
      <c r="N6" s="115"/>
      <c r="O6" s="115"/>
    </row>
    <row r="9" spans="1:17" s="113" customFormat="1" ht="14.25">
      <c r="B9" s="120"/>
      <c r="C9" s="120"/>
      <c r="D9" s="121"/>
      <c r="E9" s="121"/>
      <c r="F9" s="121"/>
      <c r="G9" s="121"/>
      <c r="H9" s="121"/>
      <c r="I9" s="121"/>
      <c r="J9" s="121"/>
      <c r="K9" s="121"/>
      <c r="L9" s="121"/>
    </row>
    <row r="10" spans="1:17" s="113" customFormat="1" ht="14.25">
      <c r="F10" s="980" t="s">
        <v>3</v>
      </c>
      <c r="G10" s="980"/>
      <c r="H10" s="980"/>
      <c r="I10" s="980"/>
    </row>
    <row r="11" spans="1:17" s="113" customFormat="1" ht="14.25">
      <c r="G11" s="122" t="s">
        <v>4</v>
      </c>
      <c r="H11" s="113" t="s">
        <v>261</v>
      </c>
    </row>
    <row r="12" spans="1:17" s="113" customFormat="1" ht="14.25">
      <c r="F12" s="125"/>
      <c r="G12" s="126" t="s">
        <v>6</v>
      </c>
      <c r="H12" s="127" t="s">
        <v>7</v>
      </c>
      <c r="I12" s="127"/>
      <c r="K12" s="127"/>
      <c r="L12" s="128"/>
      <c r="M12" s="104"/>
      <c r="N12" s="104"/>
      <c r="O12" s="104"/>
      <c r="P12" s="104"/>
      <c r="Q12" s="104"/>
    </row>
    <row r="13" spans="1:17" s="113" customFormat="1">
      <c r="F13" s="125"/>
      <c r="G13" s="123" t="s">
        <v>8</v>
      </c>
      <c r="H13" s="129">
        <v>80000</v>
      </c>
      <c r="I13" s="129"/>
      <c r="K13" s="129"/>
      <c r="L13" s="130"/>
      <c r="M13" s="104"/>
      <c r="N13" s="104"/>
      <c r="O13" s="104"/>
      <c r="Q13" s="104"/>
    </row>
    <row r="14" spans="1:17" s="113" customFormat="1">
      <c r="F14" s="125"/>
      <c r="G14" s="123" t="s">
        <v>9</v>
      </c>
      <c r="H14" s="113" t="s">
        <v>266</v>
      </c>
      <c r="L14" s="130"/>
      <c r="M14" s="104"/>
      <c r="N14" s="104"/>
      <c r="O14" s="104"/>
      <c r="P14" s="131"/>
      <c r="Q14" s="104"/>
    </row>
    <row r="15" spans="1:17" s="113" customFormat="1" ht="14.25">
      <c r="A15" s="128"/>
      <c r="B15" s="104"/>
      <c r="C15" s="104"/>
      <c r="D15" s="104"/>
      <c r="E15" s="104"/>
      <c r="F15" s="104"/>
      <c r="G15" s="123" t="s">
        <v>10</v>
      </c>
      <c r="H15" s="113" t="s">
        <v>257</v>
      </c>
      <c r="L15" s="130"/>
      <c r="M15" s="104"/>
      <c r="N15" s="104"/>
      <c r="O15" s="104"/>
    </row>
    <row r="16" spans="1:17" s="113" customFormat="1">
      <c r="A16" s="130"/>
      <c r="B16" s="104"/>
      <c r="C16" s="104"/>
      <c r="E16" s="104"/>
      <c r="F16" s="104"/>
      <c r="G16" s="123" t="s">
        <v>12</v>
      </c>
      <c r="H16" s="113" t="s">
        <v>1226</v>
      </c>
      <c r="L16" s="130"/>
      <c r="M16" s="104"/>
      <c r="N16" s="104"/>
      <c r="O16" s="104"/>
    </row>
    <row r="17" spans="1:15" s="113" customFormat="1">
      <c r="A17" s="130"/>
      <c r="B17" s="104"/>
      <c r="C17" s="104"/>
      <c r="D17" s="132"/>
      <c r="E17" s="133"/>
      <c r="F17" s="133"/>
      <c r="G17" s="123" t="s">
        <v>13</v>
      </c>
      <c r="H17" s="113" t="s">
        <v>14</v>
      </c>
    </row>
    <row r="18" spans="1:15" s="113" customFormat="1">
      <c r="F18" s="125"/>
      <c r="G18" s="123" t="s">
        <v>15</v>
      </c>
      <c r="H18" s="113" t="s">
        <v>1192</v>
      </c>
    </row>
    <row r="19" spans="1:15" s="113" customFormat="1">
      <c r="F19" s="125"/>
      <c r="G19" s="123" t="s">
        <v>16</v>
      </c>
      <c r="H19" s="113" t="s">
        <v>17</v>
      </c>
    </row>
    <row r="20" spans="1:15" s="113" customFormat="1" ht="14.25">
      <c r="C20" s="134"/>
      <c r="F20" s="135"/>
      <c r="G20" s="123" t="s">
        <v>19</v>
      </c>
      <c r="H20" s="113" t="s">
        <v>1191</v>
      </c>
      <c r="K20" s="124"/>
    </row>
    <row r="21" spans="1:15" s="113" customFormat="1" ht="15.75" customHeight="1">
      <c r="D21" s="136"/>
      <c r="E21" s="136"/>
      <c r="F21" s="135"/>
      <c r="G21" s="123" t="s">
        <v>20</v>
      </c>
      <c r="H21" s="113" t="s">
        <v>1193</v>
      </c>
    </row>
    <row r="22" spans="1:15" s="113" customFormat="1" ht="12.75" customHeight="1">
      <c r="D22" s="136"/>
      <c r="E22" s="136"/>
      <c r="F22" s="135"/>
      <c r="G22" s="123" t="s">
        <v>21</v>
      </c>
      <c r="H22" s="113" t="s">
        <v>1195</v>
      </c>
    </row>
    <row r="23" spans="1:15" s="113" customFormat="1" ht="12.75" customHeight="1">
      <c r="D23" s="136"/>
      <c r="E23" s="136"/>
      <c r="F23" s="135"/>
      <c r="G23" s="123" t="s">
        <v>22</v>
      </c>
      <c r="H23" s="113" t="s">
        <v>1194</v>
      </c>
    </row>
    <row r="24" spans="1:15" s="113" customFormat="1" ht="12.75" customHeight="1">
      <c r="D24" s="136"/>
      <c r="E24" s="136"/>
      <c r="F24" s="978"/>
      <c r="G24" s="979"/>
    </row>
    <row r="25" spans="1:15" s="113" customFormat="1" ht="14.25">
      <c r="A25" s="990" t="s">
        <v>23</v>
      </c>
      <c r="B25" s="979"/>
      <c r="C25" s="979"/>
      <c r="D25" s="979"/>
      <c r="E25" s="979"/>
      <c r="F25" s="979"/>
      <c r="G25" s="979"/>
      <c r="H25" s="979"/>
      <c r="I25" s="979"/>
      <c r="J25" s="979"/>
      <c r="K25" s="979"/>
      <c r="L25" s="979"/>
      <c r="M25" s="979"/>
      <c r="N25" s="979"/>
      <c r="O25" s="991"/>
    </row>
    <row r="26" spans="1:15" s="113" customFormat="1" ht="14.25">
      <c r="A26" s="992" t="s">
        <v>1197</v>
      </c>
      <c r="B26" s="1087"/>
      <c r="C26" s="1087"/>
      <c r="D26" s="1087"/>
      <c r="E26" s="1087"/>
      <c r="F26" s="1087"/>
      <c r="G26" s="1087"/>
      <c r="H26" s="1087"/>
      <c r="I26" s="1087"/>
      <c r="J26" s="1087"/>
      <c r="K26" s="1087"/>
      <c r="L26" s="1087"/>
      <c r="M26" s="1087"/>
      <c r="N26" s="1087"/>
      <c r="O26" s="1361"/>
    </row>
    <row r="27" spans="1:15" s="113" customFormat="1" ht="12.75" customHeight="1">
      <c r="A27" s="994" t="s">
        <v>160</v>
      </c>
      <c r="B27" s="1073"/>
      <c r="C27" s="1073"/>
      <c r="D27" s="1073"/>
      <c r="E27" s="1073"/>
      <c r="F27" s="1073"/>
      <c r="G27" s="1073"/>
      <c r="H27" s="1073"/>
      <c r="I27" s="1078" t="s">
        <v>161</v>
      </c>
      <c r="J27" s="1078"/>
      <c r="K27" s="1078"/>
      <c r="L27" s="1078"/>
      <c r="M27" s="1078"/>
      <c r="N27" s="1078"/>
      <c r="O27" s="1173"/>
    </row>
    <row r="28" spans="1:15" s="113" customFormat="1" ht="12.75" customHeight="1">
      <c r="A28" s="994" t="s">
        <v>163</v>
      </c>
      <c r="B28" s="1073"/>
      <c r="C28" s="1073"/>
      <c r="D28" s="1073"/>
      <c r="E28" s="1073"/>
      <c r="F28" s="1073"/>
      <c r="G28" s="1073"/>
      <c r="H28" s="1073"/>
      <c r="I28" s="1074">
        <v>0</v>
      </c>
      <c r="J28" s="1074"/>
      <c r="K28" s="1074"/>
      <c r="L28" s="1074"/>
      <c r="M28" s="1074"/>
      <c r="N28" s="1074"/>
      <c r="O28" s="1174"/>
    </row>
    <row r="29" spans="1:15" s="113" customFormat="1" ht="12.75" customHeight="1">
      <c r="A29" s="994" t="s">
        <v>3465</v>
      </c>
      <c r="B29" s="1073"/>
      <c r="C29" s="1073"/>
      <c r="D29" s="1073"/>
      <c r="E29" s="1073"/>
      <c r="F29" s="1073"/>
      <c r="G29" s="1073"/>
      <c r="H29" s="1073"/>
      <c r="I29" s="1379" t="s">
        <v>165</v>
      </c>
      <c r="J29" s="1379"/>
      <c r="K29" s="1379"/>
      <c r="L29" s="1379"/>
      <c r="M29" s="1379"/>
      <c r="N29" s="1379"/>
      <c r="O29" s="1380"/>
    </row>
    <row r="30" spans="1:15" s="113" customFormat="1" ht="12.75" customHeight="1">
      <c r="A30" s="994" t="s">
        <v>3471</v>
      </c>
      <c r="B30" s="1073"/>
      <c r="C30" s="1073"/>
      <c r="D30" s="1073"/>
      <c r="E30" s="1073"/>
      <c r="F30" s="1073"/>
      <c r="G30" s="1073"/>
      <c r="H30" s="1073"/>
      <c r="I30" s="1379" t="s">
        <v>3475</v>
      </c>
      <c r="J30" s="1379"/>
      <c r="K30" s="1379"/>
      <c r="L30" s="1379"/>
      <c r="M30" s="1379"/>
      <c r="N30" s="1379"/>
      <c r="O30" s="1380"/>
    </row>
    <row r="31" spans="1:15" s="113" customFormat="1" ht="12.75" customHeight="1">
      <c r="A31" s="1368" t="s">
        <v>62</v>
      </c>
      <c r="B31" s="1374"/>
      <c r="C31" s="1374"/>
      <c r="D31" s="1374"/>
      <c r="E31" s="1374"/>
      <c r="F31" s="1374"/>
      <c r="G31" s="1374"/>
      <c r="H31" s="1374"/>
      <c r="I31" s="1375" t="s">
        <v>165</v>
      </c>
      <c r="J31" s="1375"/>
      <c r="K31" s="1375"/>
      <c r="L31" s="1375"/>
      <c r="M31" s="1375"/>
      <c r="N31" s="1375"/>
      <c r="O31" s="1376"/>
    </row>
    <row r="32" spans="1:15" s="113" customFormat="1" ht="12.75" customHeight="1">
      <c r="A32" s="1368" t="s">
        <v>3482</v>
      </c>
      <c r="B32" s="1374"/>
      <c r="C32" s="1374"/>
      <c r="D32" s="1374"/>
      <c r="E32" s="1374"/>
      <c r="F32" s="1374"/>
      <c r="G32" s="1374"/>
      <c r="H32" s="1374"/>
      <c r="I32" s="1375" t="s">
        <v>3486</v>
      </c>
      <c r="J32" s="1375"/>
      <c r="K32" s="1375"/>
      <c r="L32" s="1375"/>
      <c r="M32" s="1375"/>
      <c r="N32" s="1375"/>
      <c r="O32" s="1376"/>
    </row>
    <row r="33" spans="1:16" s="113" customFormat="1" ht="12.75" customHeight="1">
      <c r="A33" s="1368" t="s">
        <v>3483</v>
      </c>
      <c r="B33" s="1374"/>
      <c r="C33" s="1374"/>
      <c r="D33" s="1374"/>
      <c r="E33" s="1374"/>
      <c r="F33" s="1374"/>
      <c r="G33" s="1374"/>
      <c r="H33" s="1374"/>
      <c r="I33" s="1375" t="s">
        <v>3478</v>
      </c>
      <c r="J33" s="1375"/>
      <c r="K33" s="1375"/>
      <c r="L33" s="1375"/>
      <c r="M33" s="1375"/>
      <c r="N33" s="1375"/>
      <c r="O33" s="1376"/>
    </row>
    <row r="34" spans="1:16" s="113" customFormat="1" ht="12.75" customHeight="1" thickBot="1">
      <c r="A34" s="1364" t="s">
        <v>3484</v>
      </c>
      <c r="B34" s="1365"/>
      <c r="C34" s="1365"/>
      <c r="D34" s="1365"/>
      <c r="E34" s="1365"/>
      <c r="F34" s="1365"/>
      <c r="G34" s="1365"/>
      <c r="H34" s="1365"/>
      <c r="I34" s="1377" t="s">
        <v>3485</v>
      </c>
      <c r="J34" s="1377"/>
      <c r="K34" s="1377"/>
      <c r="L34" s="1377"/>
      <c r="M34" s="1377"/>
      <c r="N34" s="1377"/>
      <c r="O34" s="1378"/>
    </row>
    <row r="35" spans="1:16" s="113" customFormat="1" ht="12.75" customHeight="1">
      <c r="B35" s="140"/>
      <c r="C35" s="140"/>
      <c r="D35" s="136"/>
      <c r="E35" s="136"/>
      <c r="F35" s="136"/>
      <c r="G35" s="136"/>
      <c r="H35" s="136"/>
      <c r="I35" s="136"/>
      <c r="J35" s="135"/>
      <c r="K35" s="135"/>
      <c r="L35" s="141"/>
      <c r="M35" s="142"/>
      <c r="N35" s="142"/>
    </row>
    <row r="36" spans="1:16" s="113" customFormat="1" ht="12.75" customHeight="1">
      <c r="D36" s="136"/>
      <c r="E36" s="136"/>
      <c r="F36" s="143"/>
      <c r="G36" s="104"/>
      <c r="H36" s="104"/>
      <c r="I36" s="104"/>
      <c r="J36" s="104"/>
      <c r="K36" s="144"/>
      <c r="L36" s="144"/>
      <c r="M36" s="123"/>
    </row>
    <row r="37" spans="1:16" s="113" customFormat="1" ht="12.75" customHeight="1">
      <c r="D37" s="136"/>
      <c r="E37" s="136"/>
      <c r="F37" s="143"/>
      <c r="G37" s="104"/>
      <c r="H37" s="104"/>
      <c r="I37" s="104"/>
      <c r="J37" s="104"/>
      <c r="K37" s="145"/>
      <c r="L37" s="145"/>
      <c r="M37" s="123"/>
    </row>
    <row r="38" spans="1:16" s="113" customFormat="1" ht="18" customHeight="1" thickBot="1">
      <c r="C38" s="136"/>
      <c r="D38" s="135"/>
      <c r="E38" s="146"/>
      <c r="F38" s="104"/>
      <c r="G38" s="1013"/>
      <c r="H38" s="998"/>
      <c r="I38" s="149"/>
      <c r="J38" s="150"/>
    </row>
    <row r="39" spans="1:16" s="113" customFormat="1" ht="15.75" customHeight="1" thickBot="1">
      <c r="F39" s="1007" t="s">
        <v>167</v>
      </c>
      <c r="G39" s="1008"/>
      <c r="H39" s="1009" t="s">
        <v>168</v>
      </c>
      <c r="I39" s="1010"/>
      <c r="J39" s="1010"/>
      <c r="K39" s="1002"/>
      <c r="L39" s="1002"/>
      <c r="M39" s="1002"/>
      <c r="N39" s="1002"/>
      <c r="O39" s="1003"/>
    </row>
    <row r="40" spans="1:16" s="151" customFormat="1" ht="54" customHeight="1" thickBot="1">
      <c r="A40" s="82" t="s">
        <v>122</v>
      </c>
      <c r="B40" s="82" t="s">
        <v>169</v>
      </c>
      <c r="C40" s="83" t="s">
        <v>170</v>
      </c>
      <c r="D40" s="83" t="s">
        <v>171</v>
      </c>
      <c r="E40" s="83" t="s">
        <v>172</v>
      </c>
      <c r="F40" s="83" t="s">
        <v>173</v>
      </c>
      <c r="G40" s="82" t="s">
        <v>174</v>
      </c>
      <c r="H40" s="84" t="s">
        <v>175</v>
      </c>
      <c r="I40" s="85" t="s">
        <v>174</v>
      </c>
      <c r="J40" s="84" t="s">
        <v>176</v>
      </c>
      <c r="K40" s="85" t="s">
        <v>174</v>
      </c>
      <c r="L40" s="84" t="s">
        <v>177</v>
      </c>
      <c r="M40" s="85" t="s">
        <v>174</v>
      </c>
      <c r="N40" s="84" t="s">
        <v>178</v>
      </c>
      <c r="O40" s="85" t="s">
        <v>174</v>
      </c>
    </row>
    <row r="41" spans="1:16" s="155" customFormat="1" ht="30.75" customHeight="1" thickBot="1">
      <c r="A41" s="984">
        <v>55</v>
      </c>
      <c r="B41" s="984">
        <v>1</v>
      </c>
      <c r="C41" s="86" t="s">
        <v>1186</v>
      </c>
      <c r="D41" s="152" t="s">
        <v>1185</v>
      </c>
      <c r="E41" s="153">
        <v>2746.71</v>
      </c>
      <c r="F41" s="1">
        <f>SUM(E41:E42)*(1-60%)</f>
        <v>1128.684</v>
      </c>
      <c r="G41" s="987">
        <f>F41*B41</f>
        <v>1128.684</v>
      </c>
      <c r="H41" s="987">
        <f>F41*0.0832</f>
        <v>93.906508799999997</v>
      </c>
      <c r="I41" s="987">
        <f>H41*B41</f>
        <v>93.906508799999997</v>
      </c>
      <c r="J41" s="987">
        <f>F41*0.0313</f>
        <v>35.327809199999997</v>
      </c>
      <c r="K41" s="987">
        <f>J41*B41</f>
        <v>35.327809199999997</v>
      </c>
      <c r="L41" s="987">
        <f>F41*0.0256</f>
        <v>28.894310400000002</v>
      </c>
      <c r="M41" s="987">
        <f>L41*B41</f>
        <v>28.894310400000002</v>
      </c>
      <c r="N41" s="987">
        <f>F41*0.0213</f>
        <v>24.040969199999999</v>
      </c>
      <c r="O41" s="987">
        <f>N41*B41</f>
        <v>24.040969199999999</v>
      </c>
      <c r="P41" s="154"/>
    </row>
    <row r="42" spans="1:16" s="151" customFormat="1" ht="13.5" thickBot="1">
      <c r="A42" s="985"/>
      <c r="B42" s="986"/>
      <c r="C42" s="90" t="s">
        <v>179</v>
      </c>
      <c r="D42" s="91" t="s">
        <v>180</v>
      </c>
      <c r="E42" s="92">
        <v>75</v>
      </c>
      <c r="F42" s="93" t="s">
        <v>162</v>
      </c>
      <c r="G42" s="988"/>
      <c r="H42" s="1000"/>
      <c r="I42" s="988"/>
      <c r="J42" s="1000"/>
      <c r="K42" s="988"/>
      <c r="L42" s="1000"/>
      <c r="M42" s="988"/>
      <c r="N42" s="1000"/>
      <c r="O42" s="988"/>
    </row>
    <row r="43" spans="1:16" s="156" customFormat="1" ht="13.5" customHeight="1" thickBot="1">
      <c r="A43" s="1001" t="s">
        <v>182</v>
      </c>
      <c r="B43" s="1002"/>
      <c r="C43" s="1002"/>
      <c r="D43" s="1002"/>
      <c r="E43" s="1002"/>
      <c r="F43" s="1002"/>
      <c r="G43" s="1002"/>
      <c r="H43" s="1002"/>
      <c r="I43" s="1002"/>
      <c r="J43" s="1002"/>
      <c r="K43" s="1002"/>
      <c r="L43" s="1002"/>
      <c r="M43" s="1002"/>
      <c r="N43" s="1002"/>
      <c r="O43" s="1003"/>
    </row>
    <row r="44" spans="1:16" s="151" customFormat="1" ht="26.1" customHeight="1" thickBot="1">
      <c r="A44" s="1004"/>
      <c r="B44" s="600"/>
      <c r="C44" s="158" t="s">
        <v>1189</v>
      </c>
      <c r="D44" s="606" t="s">
        <v>1187</v>
      </c>
      <c r="E44" s="601">
        <v>296.54000000000002</v>
      </c>
      <c r="F44" s="602">
        <f>E44*(1-40%)</f>
        <v>177.92400000000001</v>
      </c>
      <c r="G44" s="602">
        <f>F44*B44</f>
        <v>0</v>
      </c>
      <c r="H44" s="603">
        <f>F44*0.0832</f>
        <v>14.803276799999999</v>
      </c>
      <c r="I44" s="603">
        <f>H44*B44</f>
        <v>0</v>
      </c>
      <c r="J44" s="603">
        <f>F44*0.0313</f>
        <v>5.5690212000000008</v>
      </c>
      <c r="K44" s="603">
        <f>J44*B44</f>
        <v>0</v>
      </c>
      <c r="L44" s="603">
        <f>F44*0.0256</f>
        <v>4.5548544</v>
      </c>
      <c r="M44" s="603">
        <f>L44*B44</f>
        <v>0</v>
      </c>
      <c r="N44" s="603">
        <f>F44*0.0213</f>
        <v>3.7897812000000002</v>
      </c>
      <c r="O44" s="603">
        <f>N44*B44</f>
        <v>0</v>
      </c>
    </row>
    <row r="45" spans="1:16" s="151" customFormat="1" ht="26.1" customHeight="1" thickBot="1">
      <c r="A45" s="1006"/>
      <c r="B45" s="501">
        <v>1</v>
      </c>
      <c r="C45" s="158" t="s">
        <v>1190</v>
      </c>
      <c r="D45" s="606" t="s">
        <v>1188</v>
      </c>
      <c r="E45" s="601">
        <v>889.64</v>
      </c>
      <c r="F45" s="602">
        <f>E45*(1-40%)</f>
        <v>533.78399999999999</v>
      </c>
      <c r="G45" s="604">
        <f>F45*B45</f>
        <v>533.78399999999999</v>
      </c>
      <c r="H45" s="603">
        <f>F45*0.0832</f>
        <v>44.410828799999997</v>
      </c>
      <c r="I45" s="605">
        <f>H45*B45</f>
        <v>44.410828799999997</v>
      </c>
      <c r="J45" s="603">
        <f>F45*0.0313</f>
        <v>16.7074392</v>
      </c>
      <c r="K45" s="605">
        <f>J45*B45</f>
        <v>16.7074392</v>
      </c>
      <c r="L45" s="603">
        <f>F45*0.0256</f>
        <v>13.6648704</v>
      </c>
      <c r="M45" s="603">
        <f>L45*B45</f>
        <v>13.6648704</v>
      </c>
      <c r="N45" s="603">
        <f>F45*0.0213</f>
        <v>11.3695992</v>
      </c>
      <c r="O45" s="603">
        <f>N45*B45</f>
        <v>11.3695992</v>
      </c>
    </row>
    <row r="46" spans="1:16" s="162" customFormat="1" ht="15">
      <c r="B46" s="163"/>
      <c r="C46" s="163"/>
      <c r="D46" s="997" t="s">
        <v>183</v>
      </c>
      <c r="E46" s="998"/>
      <c r="F46" s="999"/>
      <c r="G46" s="103">
        <f>SUM(G44:G45)+G41</f>
        <v>1662.4679999999998</v>
      </c>
      <c r="H46" s="164" t="s">
        <v>184</v>
      </c>
      <c r="I46" s="103">
        <f>SUM(I44:I45)+I41</f>
        <v>138.3173376</v>
      </c>
      <c r="J46" s="164" t="s">
        <v>185</v>
      </c>
      <c r="K46" s="103">
        <f>SUM(K44:K45)+K41</f>
        <v>52.0352484</v>
      </c>
      <c r="L46" s="164" t="s">
        <v>186</v>
      </c>
      <c r="M46" s="103">
        <f>SUM(M44:M45)+M41</f>
        <v>42.5591808</v>
      </c>
      <c r="N46" s="164" t="s">
        <v>187</v>
      </c>
      <c r="O46" s="103">
        <f>SUM(O44:O45)+O41</f>
        <v>35.410568400000002</v>
      </c>
    </row>
    <row r="51" spans="2:6" ht="15.75">
      <c r="C51" s="166"/>
      <c r="D51" s="167"/>
      <c r="E51" s="168"/>
      <c r="F51" s="168"/>
    </row>
    <row r="52" spans="2:6" ht="15.75">
      <c r="C52" s="166"/>
      <c r="D52" s="167"/>
      <c r="E52" s="168"/>
      <c r="F52" s="168"/>
    </row>
    <row r="53" spans="2:6" ht="15.75">
      <c r="C53" s="166"/>
      <c r="D53" s="167"/>
      <c r="E53" s="168"/>
      <c r="F53" s="168"/>
    </row>
    <row r="54" spans="2:6" ht="15.75">
      <c r="C54" s="166"/>
      <c r="D54" s="167"/>
      <c r="E54" s="168"/>
      <c r="F54" s="168"/>
    </row>
    <row r="55" spans="2:6" ht="15.75">
      <c r="C55" s="166"/>
      <c r="D55" s="167"/>
      <c r="E55" s="168"/>
      <c r="F55" s="168"/>
    </row>
    <row r="56" spans="2:6" ht="15.75">
      <c r="C56" s="166"/>
      <c r="D56" s="167"/>
      <c r="E56" s="168"/>
      <c r="F56" s="168"/>
    </row>
    <row r="60" spans="2:6">
      <c r="B60" s="106"/>
      <c r="C60" s="106"/>
    </row>
  </sheetData>
  <mergeCells count="39">
    <mergeCell ref="D46:F46"/>
    <mergeCell ref="A43:O43"/>
    <mergeCell ref="A26:O26"/>
    <mergeCell ref="I27:O27"/>
    <mergeCell ref="A27:H27"/>
    <mergeCell ref="I28:O28"/>
    <mergeCell ref="A28:H28"/>
    <mergeCell ref="A30:H30"/>
    <mergeCell ref="I29:O29"/>
    <mergeCell ref="L41:L42"/>
    <mergeCell ref="A44:A45"/>
    <mergeCell ref="N41:N42"/>
    <mergeCell ref="I30:O30"/>
    <mergeCell ref="G38:H38"/>
    <mergeCell ref="F39:G39"/>
    <mergeCell ref="A29:H29"/>
    <mergeCell ref="A4:O4"/>
    <mergeCell ref="A5:O5"/>
    <mergeCell ref="F10:I10"/>
    <mergeCell ref="F24:G24"/>
    <mergeCell ref="A25:O25"/>
    <mergeCell ref="H39:O39"/>
    <mergeCell ref="K41:K42"/>
    <mergeCell ref="M41:M42"/>
    <mergeCell ref="A41:A42"/>
    <mergeCell ref="O41:O42"/>
    <mergeCell ref="B41:B42"/>
    <mergeCell ref="G41:G42"/>
    <mergeCell ref="H41:H42"/>
    <mergeCell ref="I41:I42"/>
    <mergeCell ref="J41:J42"/>
    <mergeCell ref="A31:H31"/>
    <mergeCell ref="I31:O31"/>
    <mergeCell ref="A34:H34"/>
    <mergeCell ref="I34:O34"/>
    <mergeCell ref="A33:H33"/>
    <mergeCell ref="I33:O33"/>
    <mergeCell ref="A32:H32"/>
    <mergeCell ref="I32:O32"/>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4">
    <tabColor rgb="FFFF0000"/>
  </sheetPr>
  <dimension ref="A1:Q77"/>
  <sheetViews>
    <sheetView zoomScale="79" zoomScaleNormal="79" workbookViewId="0">
      <selection activeCell="E41" sqref="E41"/>
    </sheetView>
  </sheetViews>
  <sheetFormatPr defaultColWidth="8.85546875" defaultRowHeight="12.75"/>
  <cols>
    <col min="1" max="1" width="15.28515625" style="104" customWidth="1"/>
    <col min="2" max="2" width="9.140625" style="104" customWidth="1"/>
    <col min="3" max="3" width="14" style="104" customWidth="1"/>
    <col min="4" max="4" width="37.140625" style="104" customWidth="1"/>
    <col min="5" max="5" width="15.7109375" style="104" customWidth="1"/>
    <col min="6" max="6" width="18.28515625" style="165" customWidth="1"/>
    <col min="7" max="7" width="23.140625" style="165" customWidth="1"/>
    <col min="8" max="8" width="22.42578125" style="104" customWidth="1"/>
    <col min="9" max="9" width="20.85546875" style="104" customWidth="1"/>
    <col min="10" max="10" width="23" style="104" customWidth="1"/>
    <col min="11" max="11" width="20.42578125" style="104" customWidth="1"/>
    <col min="12" max="12" width="23.28515625" style="104" customWidth="1"/>
    <col min="13" max="13" width="20.85546875" style="104" customWidth="1"/>
    <col min="14" max="14" width="23.5703125" style="104" customWidth="1"/>
    <col min="15" max="15" width="20.85546875" style="104" customWidth="1"/>
    <col min="16" max="16384" width="8.85546875" style="104"/>
  </cols>
  <sheetData>
    <row r="1" spans="1:17" ht="13.5" thickBot="1">
      <c r="B1" s="105"/>
      <c r="C1" s="105"/>
      <c r="D1" s="106"/>
      <c r="E1" s="106"/>
      <c r="F1" s="107"/>
      <c r="G1" s="107"/>
      <c r="H1" s="107"/>
      <c r="I1" s="107"/>
      <c r="J1" s="107"/>
      <c r="K1" s="107"/>
      <c r="L1" s="107"/>
    </row>
    <row r="2" spans="1:17" ht="9" customHeight="1">
      <c r="A2" s="108"/>
      <c r="B2" s="109"/>
      <c r="C2" s="109"/>
      <c r="D2" s="110"/>
      <c r="E2" s="110"/>
      <c r="F2" s="111"/>
      <c r="G2" s="111"/>
      <c r="H2" s="111"/>
      <c r="I2" s="112"/>
      <c r="J2" s="112"/>
      <c r="K2" s="112"/>
      <c r="L2" s="112"/>
      <c r="M2" s="108"/>
      <c r="N2" s="108"/>
      <c r="O2" s="108"/>
    </row>
    <row r="3" spans="1:17" ht="10.5" customHeight="1">
      <c r="B3" s="105"/>
      <c r="C3" s="105"/>
      <c r="D3" s="106"/>
      <c r="E3" s="106"/>
      <c r="F3" s="107"/>
      <c r="G3" s="107"/>
      <c r="H3" s="107"/>
      <c r="I3" s="113"/>
      <c r="J3" s="113"/>
      <c r="K3" s="113"/>
      <c r="L3" s="113"/>
    </row>
    <row r="4" spans="1:17" ht="30">
      <c r="A4" s="981" t="s">
        <v>1203</v>
      </c>
      <c r="B4" s="979"/>
      <c r="C4" s="979"/>
      <c r="D4" s="979"/>
      <c r="E4" s="979"/>
      <c r="F4" s="979"/>
      <c r="G4" s="979"/>
      <c r="H4" s="979"/>
      <c r="I4" s="979"/>
      <c r="J4" s="979"/>
      <c r="K4" s="979"/>
      <c r="L4" s="979"/>
      <c r="M4" s="979"/>
      <c r="N4" s="979"/>
      <c r="O4" s="979"/>
    </row>
    <row r="5" spans="1:17" s="114" customFormat="1" ht="38.25" customHeight="1">
      <c r="A5" s="982" t="s">
        <v>1184</v>
      </c>
      <c r="B5" s="983"/>
      <c r="C5" s="983"/>
      <c r="D5" s="983"/>
      <c r="E5" s="983"/>
      <c r="F5" s="983"/>
      <c r="G5" s="983"/>
      <c r="H5" s="983"/>
      <c r="I5" s="983"/>
      <c r="J5" s="983"/>
      <c r="K5" s="983"/>
      <c r="L5" s="983"/>
      <c r="M5" s="983"/>
      <c r="N5" s="983"/>
      <c r="O5" s="983"/>
    </row>
    <row r="6" spans="1:17" ht="9" customHeight="1" thickBot="1">
      <c r="A6" s="115"/>
      <c r="B6" s="116"/>
      <c r="C6" s="116"/>
      <c r="D6" s="117"/>
      <c r="E6" s="117"/>
      <c r="F6" s="118"/>
      <c r="G6" s="118"/>
      <c r="H6" s="118"/>
      <c r="I6" s="119"/>
      <c r="J6" s="119"/>
      <c r="K6" s="119"/>
      <c r="L6" s="119"/>
      <c r="M6" s="115"/>
      <c r="N6" s="115"/>
      <c r="O6" s="115"/>
    </row>
    <row r="9" spans="1:17" s="113" customFormat="1" ht="14.25">
      <c r="B9" s="120"/>
      <c r="C9" s="120"/>
      <c r="D9" s="121"/>
      <c r="E9" s="121"/>
      <c r="F9" s="121"/>
      <c r="G9" s="121"/>
      <c r="H9" s="121"/>
      <c r="I9" s="121"/>
      <c r="J9" s="121"/>
      <c r="K9" s="121"/>
      <c r="L9" s="121"/>
    </row>
    <row r="10" spans="1:17" s="113" customFormat="1" ht="14.25">
      <c r="F10" s="980" t="s">
        <v>3</v>
      </c>
      <c r="G10" s="980"/>
      <c r="H10" s="980"/>
      <c r="I10" s="980"/>
    </row>
    <row r="11" spans="1:17" s="113" customFormat="1" ht="14.25">
      <c r="G11" s="122" t="s">
        <v>4</v>
      </c>
      <c r="H11" s="113" t="s">
        <v>261</v>
      </c>
    </row>
    <row r="12" spans="1:17" s="113" customFormat="1" ht="14.25">
      <c r="F12" s="125"/>
      <c r="G12" s="126" t="s">
        <v>6</v>
      </c>
      <c r="H12" s="127" t="s">
        <v>7</v>
      </c>
      <c r="I12" s="127"/>
      <c r="K12" s="127"/>
      <c r="L12" s="128"/>
      <c r="M12" s="104"/>
      <c r="N12" s="104"/>
      <c r="O12" s="104"/>
      <c r="P12" s="104"/>
      <c r="Q12" s="104"/>
    </row>
    <row r="13" spans="1:17" s="113" customFormat="1">
      <c r="F13" s="125"/>
      <c r="G13" s="123" t="s">
        <v>8</v>
      </c>
      <c r="H13" s="129">
        <v>80000</v>
      </c>
      <c r="I13" s="129"/>
      <c r="K13" s="129"/>
      <c r="L13" s="130"/>
      <c r="M13" s="104"/>
      <c r="N13" s="104"/>
      <c r="O13" s="104"/>
      <c r="Q13" s="104"/>
    </row>
    <row r="14" spans="1:17" s="113" customFormat="1">
      <c r="F14" s="125"/>
      <c r="G14" s="123" t="s">
        <v>9</v>
      </c>
      <c r="H14" s="113" t="s">
        <v>266</v>
      </c>
      <c r="L14" s="130"/>
      <c r="M14" s="104"/>
      <c r="N14" s="104"/>
      <c r="O14" s="104"/>
      <c r="P14" s="131"/>
      <c r="Q14" s="104"/>
    </row>
    <row r="15" spans="1:17" s="113" customFormat="1" ht="14.25">
      <c r="A15" s="128"/>
      <c r="B15" s="104"/>
      <c r="C15" s="104"/>
      <c r="D15" s="104"/>
      <c r="E15" s="104"/>
      <c r="F15" s="104"/>
      <c r="G15" s="123" t="s">
        <v>10</v>
      </c>
      <c r="H15" s="113" t="s">
        <v>128</v>
      </c>
      <c r="L15" s="130"/>
      <c r="M15" s="104"/>
      <c r="N15" s="104"/>
      <c r="O15" s="104"/>
    </row>
    <row r="16" spans="1:17" s="113" customFormat="1">
      <c r="A16" s="130"/>
      <c r="B16" s="104"/>
      <c r="C16" s="104"/>
      <c r="E16" s="104"/>
      <c r="F16" s="104"/>
      <c r="G16" s="123" t="s">
        <v>12</v>
      </c>
      <c r="H16" s="113" t="s">
        <v>1226</v>
      </c>
      <c r="L16" s="130"/>
      <c r="M16" s="104"/>
      <c r="N16" s="104"/>
      <c r="O16" s="104"/>
    </row>
    <row r="17" spans="1:15" s="113" customFormat="1">
      <c r="A17" s="130"/>
      <c r="B17" s="104"/>
      <c r="C17" s="104"/>
      <c r="D17" s="132"/>
      <c r="E17" s="133"/>
      <c r="F17" s="133"/>
      <c r="G17" s="123" t="s">
        <v>13</v>
      </c>
      <c r="H17" s="113" t="s">
        <v>14</v>
      </c>
    </row>
    <row r="18" spans="1:15" s="113" customFormat="1">
      <c r="F18" s="125"/>
      <c r="G18" s="123" t="s">
        <v>15</v>
      </c>
      <c r="H18" s="113" t="s">
        <v>1192</v>
      </c>
    </row>
    <row r="19" spans="1:15" s="113" customFormat="1">
      <c r="F19" s="125"/>
      <c r="G19" s="123" t="s">
        <v>16</v>
      </c>
      <c r="H19" s="113" t="s">
        <v>17</v>
      </c>
    </row>
    <row r="20" spans="1:15" s="113" customFormat="1" ht="14.25">
      <c r="C20" s="134"/>
      <c r="F20" s="135"/>
      <c r="G20" s="123" t="s">
        <v>19</v>
      </c>
      <c r="H20" s="113" t="s">
        <v>1230</v>
      </c>
      <c r="K20" s="124"/>
    </row>
    <row r="21" spans="1:15" s="113" customFormat="1" ht="15.75" customHeight="1">
      <c r="D21" s="136"/>
      <c r="E21" s="136"/>
      <c r="F21" s="135"/>
      <c r="G21" s="123" t="s">
        <v>20</v>
      </c>
      <c r="H21" s="113" t="s">
        <v>1227</v>
      </c>
    </row>
    <row r="22" spans="1:15" s="113" customFormat="1" ht="12.75" customHeight="1">
      <c r="D22" s="136"/>
      <c r="E22" s="136"/>
      <c r="F22" s="135"/>
      <c r="G22" s="123" t="s">
        <v>21</v>
      </c>
      <c r="H22" s="113" t="s">
        <v>1228</v>
      </c>
    </row>
    <row r="23" spans="1:15" s="113" customFormat="1" ht="12.75" customHeight="1">
      <c r="D23" s="136"/>
      <c r="E23" s="136"/>
      <c r="F23" s="135"/>
      <c r="G23" s="123" t="s">
        <v>22</v>
      </c>
      <c r="H23" s="113" t="s">
        <v>1229</v>
      </c>
    </row>
    <row r="24" spans="1:15" s="113" customFormat="1" ht="12.75" customHeight="1">
      <c r="D24" s="136"/>
      <c r="E24" s="136"/>
      <c r="F24" s="978"/>
      <c r="G24" s="979"/>
    </row>
    <row r="25" spans="1:15" s="113" customFormat="1" ht="14.25">
      <c r="A25" s="990" t="s">
        <v>23</v>
      </c>
      <c r="B25" s="979"/>
      <c r="C25" s="979"/>
      <c r="D25" s="979"/>
      <c r="E25" s="979"/>
      <c r="F25" s="979"/>
      <c r="G25" s="979"/>
      <c r="H25" s="979"/>
      <c r="I25" s="979"/>
      <c r="J25" s="979"/>
      <c r="K25" s="979"/>
      <c r="L25" s="979"/>
      <c r="M25" s="979"/>
      <c r="N25" s="979"/>
      <c r="O25" s="991"/>
    </row>
    <row r="26" spans="1:15" s="113" customFormat="1" ht="14.25">
      <c r="A26" s="992" t="s">
        <v>1198</v>
      </c>
      <c r="B26" s="979"/>
      <c r="C26" s="979"/>
      <c r="D26" s="979"/>
      <c r="E26" s="979"/>
      <c r="F26" s="979"/>
      <c r="G26" s="979"/>
      <c r="H26" s="991"/>
      <c r="I26" s="993" t="s">
        <v>1199</v>
      </c>
      <c r="J26" s="979"/>
      <c r="K26" s="979"/>
      <c r="L26" s="979"/>
      <c r="M26" s="979"/>
      <c r="N26" s="979"/>
      <c r="O26" s="991"/>
    </row>
    <row r="27" spans="1:15" s="113" customFormat="1" ht="12.75" customHeight="1">
      <c r="A27" s="994" t="s">
        <v>160</v>
      </c>
      <c r="B27" s="979"/>
      <c r="C27" s="979"/>
      <c r="D27" s="979"/>
      <c r="E27" s="979" t="s">
        <v>161</v>
      </c>
      <c r="F27" s="979"/>
      <c r="G27" s="979"/>
      <c r="H27" s="137"/>
      <c r="I27" s="994" t="s">
        <v>160</v>
      </c>
      <c r="J27" s="979"/>
      <c r="K27" s="979"/>
      <c r="L27" s="979"/>
      <c r="M27" s="979" t="s">
        <v>162</v>
      </c>
      <c r="N27" s="979"/>
      <c r="O27" s="991"/>
    </row>
    <row r="28" spans="1:15" s="113" customFormat="1" ht="12.75" customHeight="1">
      <c r="A28" s="994" t="s">
        <v>163</v>
      </c>
      <c r="B28" s="979"/>
      <c r="C28" s="979"/>
      <c r="D28" s="979"/>
      <c r="E28" s="989">
        <v>0</v>
      </c>
      <c r="F28" s="989"/>
      <c r="G28" s="989"/>
      <c r="H28" s="137"/>
      <c r="I28" s="994" t="s">
        <v>163</v>
      </c>
      <c r="J28" s="979"/>
      <c r="K28" s="979"/>
      <c r="L28" s="979"/>
      <c r="M28" s="989">
        <v>384</v>
      </c>
      <c r="N28" s="989"/>
      <c r="O28" s="1011"/>
    </row>
    <row r="29" spans="1:15" s="113" customFormat="1" ht="12.75" customHeight="1">
      <c r="A29" s="994" t="s">
        <v>3465</v>
      </c>
      <c r="B29" s="979"/>
      <c r="C29" s="979"/>
      <c r="D29" s="979"/>
      <c r="E29" s="979" t="s">
        <v>165</v>
      </c>
      <c r="F29" s="979"/>
      <c r="G29" s="979"/>
      <c r="H29" s="137"/>
      <c r="I29" s="994" t="s">
        <v>3465</v>
      </c>
      <c r="J29" s="979"/>
      <c r="K29" s="979"/>
      <c r="L29" s="979"/>
      <c r="M29" s="1014" t="s">
        <v>260</v>
      </c>
      <c r="N29" s="979"/>
      <c r="O29" s="991"/>
    </row>
    <row r="30" spans="1:15" s="113" customFormat="1" ht="12.6" customHeight="1">
      <c r="A30" s="994" t="s">
        <v>3481</v>
      </c>
      <c r="B30" s="979"/>
      <c r="C30" s="979"/>
      <c r="D30" s="979"/>
      <c r="E30" s="1014" t="s">
        <v>48</v>
      </c>
      <c r="F30" s="979"/>
      <c r="G30" s="979"/>
      <c r="H30" s="137"/>
      <c r="I30" s="994" t="s">
        <v>3481</v>
      </c>
      <c r="J30" s="979"/>
      <c r="K30" s="979"/>
      <c r="L30" s="979"/>
      <c r="M30" s="1014" t="s">
        <v>49</v>
      </c>
      <c r="N30" s="979"/>
      <c r="O30" s="991"/>
    </row>
    <row r="31" spans="1:15" s="113" customFormat="1" ht="12.75" customHeight="1">
      <c r="A31" s="1368" t="s">
        <v>62</v>
      </c>
      <c r="B31" s="1369"/>
      <c r="C31" s="1369"/>
      <c r="D31" s="1369"/>
      <c r="E31" s="1369" t="s">
        <v>165</v>
      </c>
      <c r="F31" s="1369"/>
      <c r="G31" s="1369"/>
      <c r="H31" s="657"/>
      <c r="I31" s="1368" t="s">
        <v>3465</v>
      </c>
      <c r="J31" s="1369"/>
      <c r="K31" s="1369"/>
      <c r="L31" s="1369"/>
      <c r="M31" s="1370" t="s">
        <v>260</v>
      </c>
      <c r="N31" s="1369"/>
      <c r="O31" s="1372"/>
    </row>
    <row r="32" spans="1:15" s="113" customFormat="1" ht="12.6" customHeight="1">
      <c r="A32" s="1368" t="s">
        <v>3466</v>
      </c>
      <c r="B32" s="1369"/>
      <c r="C32" s="1369"/>
      <c r="D32" s="1369"/>
      <c r="E32" s="1370" t="s">
        <v>3472</v>
      </c>
      <c r="F32" s="1370"/>
      <c r="G32" s="1370"/>
      <c r="H32" s="1371"/>
      <c r="I32" s="1368" t="s">
        <v>3466</v>
      </c>
      <c r="J32" s="1369"/>
      <c r="K32" s="1369"/>
      <c r="L32" s="1369"/>
      <c r="M32" s="1370" t="s">
        <v>3472</v>
      </c>
      <c r="N32" s="1369"/>
      <c r="O32" s="1372"/>
    </row>
    <row r="33" spans="1:16" s="113" customFormat="1" ht="12.6" customHeight="1">
      <c r="A33" s="1368" t="s">
        <v>3467</v>
      </c>
      <c r="B33" s="1369"/>
      <c r="C33" s="1369"/>
      <c r="D33" s="1369"/>
      <c r="E33" s="1370" t="s">
        <v>3473</v>
      </c>
      <c r="F33" s="1370"/>
      <c r="G33" s="1370"/>
      <c r="H33" s="1371"/>
      <c r="I33" s="1368" t="s">
        <v>3467</v>
      </c>
      <c r="J33" s="1369"/>
      <c r="K33" s="1369"/>
      <c r="L33" s="1369"/>
      <c r="M33" s="1370" t="s">
        <v>3473</v>
      </c>
      <c r="N33" s="1369"/>
      <c r="O33" s="1372"/>
    </row>
    <row r="34" spans="1:16" s="113" customFormat="1" ht="12.6" customHeight="1" thickBot="1">
      <c r="A34" s="1364" t="s">
        <v>3468</v>
      </c>
      <c r="B34" s="1365"/>
      <c r="C34" s="1365"/>
      <c r="D34" s="1365"/>
      <c r="E34" s="1366" t="s">
        <v>3474</v>
      </c>
      <c r="F34" s="1366"/>
      <c r="G34" s="1366"/>
      <c r="H34" s="1367"/>
      <c r="I34" s="1364" t="s">
        <v>3468</v>
      </c>
      <c r="J34" s="1365"/>
      <c r="K34" s="1365"/>
      <c r="L34" s="1365"/>
      <c r="M34" s="1366" t="s">
        <v>3474</v>
      </c>
      <c r="N34" s="1381"/>
      <c r="O34" s="1382"/>
    </row>
    <row r="35" spans="1:16" s="113" customFormat="1" ht="12.75" customHeight="1">
      <c r="B35" s="140"/>
      <c r="C35" s="140"/>
      <c r="D35" s="136"/>
      <c r="E35" s="136"/>
      <c r="F35" s="136"/>
      <c r="G35" s="136"/>
      <c r="H35" s="136"/>
      <c r="I35" s="136"/>
      <c r="J35" s="135"/>
      <c r="K35" s="135"/>
      <c r="L35" s="141"/>
      <c r="M35" s="142"/>
      <c r="N35" s="142"/>
    </row>
    <row r="36" spans="1:16" s="113" customFormat="1" ht="12.75" customHeight="1">
      <c r="D36" s="136"/>
      <c r="E36" s="136"/>
      <c r="F36" s="143"/>
      <c r="G36" s="104"/>
      <c r="H36" s="104"/>
      <c r="I36" s="104"/>
      <c r="J36" s="104"/>
      <c r="K36" s="144"/>
      <c r="L36" s="144"/>
      <c r="M36" s="123"/>
    </row>
    <row r="37" spans="1:16" s="113" customFormat="1" ht="12.75" customHeight="1">
      <c r="D37" s="136"/>
      <c r="E37" s="136"/>
      <c r="F37" s="143"/>
      <c r="G37" s="104"/>
      <c r="H37" s="104"/>
      <c r="I37" s="104"/>
      <c r="J37" s="104"/>
      <c r="K37" s="145"/>
      <c r="L37" s="145"/>
      <c r="M37" s="123"/>
    </row>
    <row r="38" spans="1:16" s="113" customFormat="1" ht="18" customHeight="1" thickBot="1">
      <c r="C38" s="136"/>
      <c r="D38" s="135"/>
      <c r="E38" s="146"/>
      <c r="F38" s="104"/>
      <c r="G38" s="1013"/>
      <c r="H38" s="998"/>
      <c r="I38" s="149"/>
      <c r="J38" s="150"/>
    </row>
    <row r="39" spans="1:16" s="113" customFormat="1" ht="15.75" customHeight="1" thickBot="1">
      <c r="F39" s="1007" t="s">
        <v>167</v>
      </c>
      <c r="G39" s="1008"/>
      <c r="H39" s="1009" t="s">
        <v>168</v>
      </c>
      <c r="I39" s="1010"/>
      <c r="J39" s="1010"/>
      <c r="K39" s="1002"/>
      <c r="L39" s="1002"/>
      <c r="M39" s="1002"/>
      <c r="N39" s="1002"/>
      <c r="O39" s="1003"/>
    </row>
    <row r="40" spans="1:16" s="151" customFormat="1" ht="54" customHeight="1" thickBot="1">
      <c r="A40" s="82" t="s">
        <v>122</v>
      </c>
      <c r="B40" s="82" t="s">
        <v>169</v>
      </c>
      <c r="C40" s="83" t="s">
        <v>170</v>
      </c>
      <c r="D40" s="83" t="s">
        <v>171</v>
      </c>
      <c r="E40" s="83" t="s">
        <v>172</v>
      </c>
      <c r="F40" s="83" t="s">
        <v>173</v>
      </c>
      <c r="G40" s="82" t="s">
        <v>174</v>
      </c>
      <c r="H40" s="84" t="s">
        <v>175</v>
      </c>
      <c r="I40" s="85" t="s">
        <v>174</v>
      </c>
      <c r="J40" s="84" t="s">
        <v>176</v>
      </c>
      <c r="K40" s="85" t="s">
        <v>174</v>
      </c>
      <c r="L40" s="84" t="s">
        <v>177</v>
      </c>
      <c r="M40" s="85" t="s">
        <v>174</v>
      </c>
      <c r="N40" s="84" t="s">
        <v>178</v>
      </c>
      <c r="O40" s="85" t="s">
        <v>174</v>
      </c>
    </row>
    <row r="41" spans="1:16" s="155" customFormat="1" ht="30.75" customHeight="1" thickBot="1">
      <c r="A41" s="984" t="s">
        <v>1200</v>
      </c>
      <c r="B41" s="984"/>
      <c r="C41" s="86" t="s">
        <v>1202</v>
      </c>
      <c r="D41" s="152" t="s">
        <v>1204</v>
      </c>
      <c r="E41" s="153">
        <v>5540.81</v>
      </c>
      <c r="F41" s="1">
        <f>SUM(E41:E42)*(1-60%)</f>
        <v>2246.3240000000001</v>
      </c>
      <c r="G41" s="987">
        <f>F41*B41</f>
        <v>0</v>
      </c>
      <c r="H41" s="987">
        <f>F41*0.0832</f>
        <v>186.89415679999999</v>
      </c>
      <c r="I41" s="987">
        <f>H41*B41</f>
        <v>0</v>
      </c>
      <c r="J41" s="987">
        <f>F41*0.0313</f>
        <v>70.309941200000011</v>
      </c>
      <c r="K41" s="987">
        <f>J41*B41</f>
        <v>0</v>
      </c>
      <c r="L41" s="987">
        <f>F41*0.0256</f>
        <v>57.505894400000003</v>
      </c>
      <c r="M41" s="987">
        <f>L41*B41</f>
        <v>0</v>
      </c>
      <c r="N41" s="987">
        <f>F41*0.0213</f>
        <v>47.846701199999998</v>
      </c>
      <c r="O41" s="987">
        <f>N41*B41</f>
        <v>0</v>
      </c>
      <c r="P41" s="154"/>
    </row>
    <row r="42" spans="1:16" s="151" customFormat="1" ht="13.5" thickBot="1">
      <c r="A42" s="985"/>
      <c r="B42" s="986"/>
      <c r="C42" s="90" t="s">
        <v>179</v>
      </c>
      <c r="D42" s="91" t="s">
        <v>180</v>
      </c>
      <c r="E42" s="92">
        <v>75</v>
      </c>
      <c r="F42" s="93" t="s">
        <v>162</v>
      </c>
      <c r="G42" s="988"/>
      <c r="H42" s="1000"/>
      <c r="I42" s="988"/>
      <c r="J42" s="1000"/>
      <c r="K42" s="988"/>
      <c r="L42" s="1000"/>
      <c r="M42" s="988"/>
      <c r="N42" s="1000"/>
      <c r="O42" s="988"/>
    </row>
    <row r="43" spans="1:16" s="156" customFormat="1" ht="13.5" thickBot="1">
      <c r="A43" s="94"/>
      <c r="B43" s="95"/>
      <c r="C43" s="96"/>
      <c r="D43" s="97"/>
      <c r="E43" s="98"/>
      <c r="F43" s="99"/>
      <c r="G43" s="95"/>
      <c r="H43" s="100"/>
      <c r="I43" s="95"/>
      <c r="J43" s="100"/>
      <c r="K43" s="101"/>
      <c r="L43" s="100"/>
      <c r="M43" s="95"/>
      <c r="N43" s="100"/>
      <c r="O43" s="101"/>
    </row>
    <row r="44" spans="1:16" s="155" customFormat="1" ht="30.75" customHeight="1" thickBot="1">
      <c r="A44" s="984" t="s">
        <v>1201</v>
      </c>
      <c r="B44" s="984"/>
      <c r="C44" s="86" t="s">
        <v>1202</v>
      </c>
      <c r="D44" s="152" t="s">
        <v>1204</v>
      </c>
      <c r="E44" s="153">
        <v>5540.81</v>
      </c>
      <c r="F44" s="1">
        <f>SUM(E44:E45)*(1-60%)</f>
        <v>2246.3240000000001</v>
      </c>
      <c r="G44" s="987">
        <f>F44*B44</f>
        <v>0</v>
      </c>
      <c r="H44" s="987">
        <f>F44*0.0832+M28/12</f>
        <v>218.89415679999999</v>
      </c>
      <c r="I44" s="987">
        <f>H44*B44</f>
        <v>0</v>
      </c>
      <c r="J44" s="987">
        <f>F41*0.0313+M28/12</f>
        <v>102.30994120000001</v>
      </c>
      <c r="K44" s="987">
        <f>J44*B44</f>
        <v>0</v>
      </c>
      <c r="L44" s="987">
        <f>F41*0.0256+M28/12</f>
        <v>89.505894400000003</v>
      </c>
      <c r="M44" s="987">
        <f>L44*B44</f>
        <v>0</v>
      </c>
      <c r="N44" s="987">
        <f>F41*0.0213+M28/12</f>
        <v>79.846701199999998</v>
      </c>
      <c r="O44" s="987">
        <f>N44*B44</f>
        <v>0</v>
      </c>
      <c r="P44" s="154"/>
    </row>
    <row r="45" spans="1:16" s="151" customFormat="1" ht="13.5" thickBot="1">
      <c r="A45" s="985"/>
      <c r="B45" s="986"/>
      <c r="C45" s="90" t="s">
        <v>179</v>
      </c>
      <c r="D45" s="91" t="s">
        <v>180</v>
      </c>
      <c r="E45" s="92">
        <v>75</v>
      </c>
      <c r="F45" s="93" t="s">
        <v>162</v>
      </c>
      <c r="G45" s="988"/>
      <c r="H45" s="1000"/>
      <c r="I45" s="988"/>
      <c r="J45" s="1000"/>
      <c r="K45" s="988"/>
      <c r="L45" s="1000"/>
      <c r="M45" s="988"/>
      <c r="N45" s="1000"/>
      <c r="O45" s="988"/>
    </row>
    <row r="46" spans="1:16" s="156" customFormat="1" ht="13.5" customHeight="1" thickBot="1">
      <c r="A46" s="1001" t="s">
        <v>182</v>
      </c>
      <c r="B46" s="1002"/>
      <c r="C46" s="1002"/>
      <c r="D46" s="1002"/>
      <c r="E46" s="1002"/>
      <c r="F46" s="1002"/>
      <c r="G46" s="1002"/>
      <c r="H46" s="1002"/>
      <c r="I46" s="1002"/>
      <c r="J46" s="1002"/>
      <c r="K46" s="1002"/>
      <c r="L46" s="1002"/>
      <c r="M46" s="1002"/>
      <c r="N46" s="1002"/>
      <c r="O46" s="1003"/>
    </row>
    <row r="47" spans="1:16" s="151" customFormat="1" ht="26.1" customHeight="1" thickBot="1">
      <c r="A47" s="1004"/>
      <c r="B47" s="600"/>
      <c r="C47" s="158" t="s">
        <v>898</v>
      </c>
      <c r="D47" s="606" t="s">
        <v>1205</v>
      </c>
      <c r="E47" s="601">
        <v>868.9</v>
      </c>
      <c r="F47" s="602">
        <f t="shared" ref="F47:F62" si="0">E47*(1-40%)</f>
        <v>521.33999999999992</v>
      </c>
      <c r="G47" s="602">
        <f t="shared" ref="G47:G54" si="1">F47*B47</f>
        <v>0</v>
      </c>
      <c r="H47" s="603">
        <f t="shared" ref="H47:H62" si="2">F47*0.0832</f>
        <v>43.37548799999999</v>
      </c>
      <c r="I47" s="603">
        <f t="shared" ref="I47:I54" si="3">H47*B47</f>
        <v>0</v>
      </c>
      <c r="J47" s="603">
        <f t="shared" ref="J47:J62" si="4">F47*0.0313</f>
        <v>16.317941999999999</v>
      </c>
      <c r="K47" s="603">
        <f t="shared" ref="K47:K54" si="5">J47*B47</f>
        <v>0</v>
      </c>
      <c r="L47" s="603">
        <f t="shared" ref="L47:L62" si="6">F47*0.0256</f>
        <v>13.346303999999998</v>
      </c>
      <c r="M47" s="603">
        <f t="shared" ref="M47:M54" si="7">L47*B47</f>
        <v>0</v>
      </c>
      <c r="N47" s="603">
        <f t="shared" ref="N47:N62" si="8">F47*0.0213</f>
        <v>11.104541999999999</v>
      </c>
      <c r="O47" s="603">
        <f t="shared" ref="O47:O54" si="9">N47*B47</f>
        <v>0</v>
      </c>
    </row>
    <row r="48" spans="1:16" s="151" customFormat="1" ht="26.1" customHeight="1" thickBot="1">
      <c r="A48" s="1005"/>
      <c r="B48" s="501"/>
      <c r="C48" s="158" t="s">
        <v>1220</v>
      </c>
      <c r="D48" s="606" t="s">
        <v>1206</v>
      </c>
      <c r="E48" s="601">
        <v>471.1</v>
      </c>
      <c r="F48" s="602">
        <f t="shared" si="0"/>
        <v>282.66000000000003</v>
      </c>
      <c r="G48" s="604">
        <f t="shared" si="1"/>
        <v>0</v>
      </c>
      <c r="H48" s="603">
        <f t="shared" si="2"/>
        <v>23.517312</v>
      </c>
      <c r="I48" s="605">
        <f t="shared" si="3"/>
        <v>0</v>
      </c>
      <c r="J48" s="603">
        <f t="shared" si="4"/>
        <v>8.8472580000000018</v>
      </c>
      <c r="K48" s="605">
        <f t="shared" si="5"/>
        <v>0</v>
      </c>
      <c r="L48" s="603">
        <f t="shared" si="6"/>
        <v>7.2360960000000007</v>
      </c>
      <c r="M48" s="603">
        <f t="shared" si="7"/>
        <v>0</v>
      </c>
      <c r="N48" s="603">
        <f t="shared" si="8"/>
        <v>6.0206580000000001</v>
      </c>
      <c r="O48" s="603">
        <f t="shared" si="9"/>
        <v>0</v>
      </c>
    </row>
    <row r="49" spans="1:15" s="151" customFormat="1" ht="26.1" customHeight="1" thickBot="1">
      <c r="A49" s="1005"/>
      <c r="B49" s="501"/>
      <c r="C49" s="158" t="s">
        <v>899</v>
      </c>
      <c r="D49" s="606" t="s">
        <v>1207</v>
      </c>
      <c r="E49" s="601">
        <v>85.77</v>
      </c>
      <c r="F49" s="602">
        <f t="shared" si="0"/>
        <v>51.461999999999996</v>
      </c>
      <c r="G49" s="604">
        <f t="shared" si="1"/>
        <v>0</v>
      </c>
      <c r="H49" s="603">
        <f t="shared" si="2"/>
        <v>4.2816383999999994</v>
      </c>
      <c r="I49" s="605">
        <f t="shared" si="3"/>
        <v>0</v>
      </c>
      <c r="J49" s="603">
        <f t="shared" si="4"/>
        <v>1.6107605999999999</v>
      </c>
      <c r="K49" s="605">
        <f t="shared" si="5"/>
        <v>0</v>
      </c>
      <c r="L49" s="603">
        <f t="shared" si="6"/>
        <v>1.3174272</v>
      </c>
      <c r="M49" s="603">
        <f t="shared" si="7"/>
        <v>0</v>
      </c>
      <c r="N49" s="603">
        <f t="shared" si="8"/>
        <v>1.0961405999999998</v>
      </c>
      <c r="O49" s="603">
        <f t="shared" si="9"/>
        <v>0</v>
      </c>
    </row>
    <row r="50" spans="1:15" s="151" customFormat="1" ht="26.1" customHeight="1" thickBot="1">
      <c r="A50" s="1005"/>
      <c r="B50" s="501"/>
      <c r="C50" s="158" t="s">
        <v>899</v>
      </c>
      <c r="D50" s="606" t="s">
        <v>1208</v>
      </c>
      <c r="E50" s="601">
        <v>85.77</v>
      </c>
      <c r="F50" s="602">
        <f t="shared" si="0"/>
        <v>51.461999999999996</v>
      </c>
      <c r="G50" s="604">
        <f t="shared" si="1"/>
        <v>0</v>
      </c>
      <c r="H50" s="603">
        <f t="shared" si="2"/>
        <v>4.2816383999999994</v>
      </c>
      <c r="I50" s="605">
        <f t="shared" si="3"/>
        <v>0</v>
      </c>
      <c r="J50" s="603">
        <f t="shared" si="4"/>
        <v>1.6107605999999999</v>
      </c>
      <c r="K50" s="605">
        <f t="shared" si="5"/>
        <v>0</v>
      </c>
      <c r="L50" s="603">
        <f t="shared" si="6"/>
        <v>1.3174272</v>
      </c>
      <c r="M50" s="603">
        <f t="shared" si="7"/>
        <v>0</v>
      </c>
      <c r="N50" s="603">
        <f t="shared" si="8"/>
        <v>1.0961405999999998</v>
      </c>
      <c r="O50" s="603">
        <f t="shared" si="9"/>
        <v>0</v>
      </c>
    </row>
    <row r="51" spans="1:15" s="151" customFormat="1" ht="26.1" customHeight="1" thickBot="1">
      <c r="A51" s="1005"/>
      <c r="B51" s="501"/>
      <c r="C51" s="158" t="s">
        <v>900</v>
      </c>
      <c r="D51" s="606" t="s">
        <v>1209</v>
      </c>
      <c r="E51" s="601">
        <v>50.42</v>
      </c>
      <c r="F51" s="602">
        <f t="shared" si="0"/>
        <v>30.251999999999999</v>
      </c>
      <c r="G51" s="604">
        <f t="shared" si="1"/>
        <v>0</v>
      </c>
      <c r="H51" s="603">
        <f t="shared" si="2"/>
        <v>2.5169663999999998</v>
      </c>
      <c r="I51" s="605">
        <f t="shared" si="3"/>
        <v>0</v>
      </c>
      <c r="J51" s="603">
        <f t="shared" si="4"/>
        <v>0.94688760000000005</v>
      </c>
      <c r="K51" s="605">
        <f t="shared" si="5"/>
        <v>0</v>
      </c>
      <c r="L51" s="603">
        <f t="shared" si="6"/>
        <v>0.77445120000000001</v>
      </c>
      <c r="M51" s="603">
        <f t="shared" si="7"/>
        <v>0</v>
      </c>
      <c r="N51" s="603">
        <f t="shared" si="8"/>
        <v>0.64436759999999993</v>
      </c>
      <c r="O51" s="603">
        <f t="shared" si="9"/>
        <v>0</v>
      </c>
    </row>
    <row r="52" spans="1:15" s="151" customFormat="1" ht="26.1" customHeight="1" thickBot="1">
      <c r="A52" s="1005"/>
      <c r="B52" s="501"/>
      <c r="C52" s="158" t="s">
        <v>906</v>
      </c>
      <c r="D52" s="606" t="s">
        <v>1210</v>
      </c>
      <c r="E52" s="601">
        <v>137.94</v>
      </c>
      <c r="F52" s="602">
        <f t="shared" si="0"/>
        <v>82.763999999999996</v>
      </c>
      <c r="G52" s="604">
        <f t="shared" si="1"/>
        <v>0</v>
      </c>
      <c r="H52" s="603">
        <f t="shared" si="2"/>
        <v>6.8859647999999991</v>
      </c>
      <c r="I52" s="605">
        <f t="shared" si="3"/>
        <v>0</v>
      </c>
      <c r="J52" s="603">
        <f t="shared" si="4"/>
        <v>2.5905132000000002</v>
      </c>
      <c r="K52" s="605">
        <f t="shared" si="5"/>
        <v>0</v>
      </c>
      <c r="L52" s="603">
        <f t="shared" si="6"/>
        <v>2.1187583999999999</v>
      </c>
      <c r="M52" s="603">
        <f t="shared" si="7"/>
        <v>0</v>
      </c>
      <c r="N52" s="603">
        <f t="shared" si="8"/>
        <v>1.7628731999999998</v>
      </c>
      <c r="O52" s="603">
        <f t="shared" si="9"/>
        <v>0</v>
      </c>
    </row>
    <row r="53" spans="1:15" s="151" customFormat="1" ht="26.1" customHeight="1" thickBot="1">
      <c r="A53" s="1005"/>
      <c r="B53" s="501"/>
      <c r="C53" s="158" t="s">
        <v>1221</v>
      </c>
      <c r="D53" s="606" t="s">
        <v>1211</v>
      </c>
      <c r="E53" s="601">
        <v>371.67</v>
      </c>
      <c r="F53" s="602">
        <f t="shared" si="0"/>
        <v>223.00200000000001</v>
      </c>
      <c r="G53" s="604">
        <f t="shared" si="1"/>
        <v>0</v>
      </c>
      <c r="H53" s="603">
        <f t="shared" si="2"/>
        <v>18.553766400000001</v>
      </c>
      <c r="I53" s="605">
        <f t="shared" si="3"/>
        <v>0</v>
      </c>
      <c r="J53" s="603">
        <f t="shared" si="4"/>
        <v>6.9799626000000004</v>
      </c>
      <c r="K53" s="605">
        <f t="shared" si="5"/>
        <v>0</v>
      </c>
      <c r="L53" s="603">
        <f t="shared" si="6"/>
        <v>5.7088512000000007</v>
      </c>
      <c r="M53" s="603">
        <f t="shared" si="7"/>
        <v>0</v>
      </c>
      <c r="N53" s="603">
        <f t="shared" si="8"/>
        <v>4.7499425999999998</v>
      </c>
      <c r="O53" s="603">
        <f t="shared" si="9"/>
        <v>0</v>
      </c>
    </row>
    <row r="54" spans="1:15" s="151" customFormat="1" ht="26.1" customHeight="1" thickBot="1">
      <c r="A54" s="1005"/>
      <c r="B54" s="501"/>
      <c r="C54" s="158" t="s">
        <v>907</v>
      </c>
      <c r="D54" s="606" t="s">
        <v>1212</v>
      </c>
      <c r="E54" s="601">
        <v>135.49</v>
      </c>
      <c r="F54" s="602">
        <f t="shared" si="0"/>
        <v>81.293999999999997</v>
      </c>
      <c r="G54" s="604">
        <f t="shared" si="1"/>
        <v>0</v>
      </c>
      <c r="H54" s="603">
        <f t="shared" si="2"/>
        <v>6.7636607999999994</v>
      </c>
      <c r="I54" s="605">
        <f t="shared" si="3"/>
        <v>0</v>
      </c>
      <c r="J54" s="603">
        <f t="shared" si="4"/>
        <v>2.5445022000000002</v>
      </c>
      <c r="K54" s="605">
        <f t="shared" si="5"/>
        <v>0</v>
      </c>
      <c r="L54" s="603">
        <f t="shared" si="6"/>
        <v>2.0811264</v>
      </c>
      <c r="M54" s="603">
        <f t="shared" si="7"/>
        <v>0</v>
      </c>
      <c r="N54" s="603">
        <f t="shared" si="8"/>
        <v>1.7315621999999999</v>
      </c>
      <c r="O54" s="603">
        <f t="shared" si="9"/>
        <v>0</v>
      </c>
    </row>
    <row r="55" spans="1:15" s="151" customFormat="1" ht="26.1" customHeight="1" thickBot="1">
      <c r="A55" s="1005"/>
      <c r="B55" s="501"/>
      <c r="C55" s="158" t="s">
        <v>908</v>
      </c>
      <c r="D55" s="606" t="s">
        <v>1213</v>
      </c>
      <c r="E55" s="601">
        <v>147.91999999999999</v>
      </c>
      <c r="F55" s="602">
        <f t="shared" si="0"/>
        <v>88.751999999999995</v>
      </c>
      <c r="G55" s="604">
        <f t="shared" ref="G55:G60" si="10">F55*B55</f>
        <v>0</v>
      </c>
      <c r="H55" s="603">
        <f t="shared" si="2"/>
        <v>7.3841663999999989</v>
      </c>
      <c r="I55" s="605">
        <f t="shared" ref="I55:I60" si="11">H55*B55</f>
        <v>0</v>
      </c>
      <c r="J55" s="603">
        <f t="shared" si="4"/>
        <v>2.7779376</v>
      </c>
      <c r="K55" s="605">
        <f t="shared" ref="K55:K60" si="12">J55*B55</f>
        <v>0</v>
      </c>
      <c r="L55" s="603">
        <f t="shared" si="6"/>
        <v>2.2720511999999999</v>
      </c>
      <c r="M55" s="603">
        <f t="shared" ref="M55:M60" si="13">L55*B55</f>
        <v>0</v>
      </c>
      <c r="N55" s="603">
        <f t="shared" si="8"/>
        <v>1.8904175999999999</v>
      </c>
      <c r="O55" s="603">
        <f t="shared" ref="O55:O60" si="14">N55*B55</f>
        <v>0</v>
      </c>
    </row>
    <row r="56" spans="1:15" s="151" customFormat="1" ht="26.1" customHeight="1" thickBot="1">
      <c r="A56" s="1005"/>
      <c r="B56" s="501"/>
      <c r="C56" s="158" t="s">
        <v>904</v>
      </c>
      <c r="D56" s="606" t="s">
        <v>910</v>
      </c>
      <c r="E56" s="601">
        <v>140.26</v>
      </c>
      <c r="F56" s="602">
        <f t="shared" si="0"/>
        <v>84.155999999999992</v>
      </c>
      <c r="G56" s="604">
        <f t="shared" si="10"/>
        <v>0</v>
      </c>
      <c r="H56" s="603">
        <f t="shared" si="2"/>
        <v>7.0017791999999988</v>
      </c>
      <c r="I56" s="605">
        <f t="shared" si="11"/>
        <v>0</v>
      </c>
      <c r="J56" s="603">
        <f t="shared" si="4"/>
        <v>2.6340827999999998</v>
      </c>
      <c r="K56" s="605">
        <f t="shared" si="12"/>
        <v>0</v>
      </c>
      <c r="L56" s="603">
        <f t="shared" si="6"/>
        <v>2.1543935999999997</v>
      </c>
      <c r="M56" s="603">
        <f t="shared" si="13"/>
        <v>0</v>
      </c>
      <c r="N56" s="603">
        <f t="shared" si="8"/>
        <v>1.7925227999999997</v>
      </c>
      <c r="O56" s="603">
        <f t="shared" si="14"/>
        <v>0</v>
      </c>
    </row>
    <row r="57" spans="1:15" s="151" customFormat="1" ht="26.1" customHeight="1" thickBot="1">
      <c r="A57" s="1005"/>
      <c r="B57" s="501"/>
      <c r="C57" s="158" t="s">
        <v>1222</v>
      </c>
      <c r="D57" s="606" t="s">
        <v>1214</v>
      </c>
      <c r="E57" s="601">
        <v>444.98</v>
      </c>
      <c r="F57" s="602">
        <f t="shared" si="0"/>
        <v>266.988</v>
      </c>
      <c r="G57" s="604">
        <f t="shared" si="10"/>
        <v>0</v>
      </c>
      <c r="H57" s="603">
        <f t="shared" si="2"/>
        <v>22.213401599999997</v>
      </c>
      <c r="I57" s="605">
        <f t="shared" si="11"/>
        <v>0</v>
      </c>
      <c r="J57" s="603">
        <f t="shared" si="4"/>
        <v>8.3567244000000009</v>
      </c>
      <c r="K57" s="605">
        <f t="shared" si="12"/>
        <v>0</v>
      </c>
      <c r="L57" s="603">
        <f t="shared" si="6"/>
        <v>6.8348928000000004</v>
      </c>
      <c r="M57" s="603">
        <f t="shared" si="13"/>
        <v>0</v>
      </c>
      <c r="N57" s="603">
        <f t="shared" si="8"/>
        <v>5.6868444</v>
      </c>
      <c r="O57" s="603">
        <f t="shared" si="14"/>
        <v>0</v>
      </c>
    </row>
    <row r="58" spans="1:15" s="151" customFormat="1" ht="26.1" customHeight="1" thickBot="1">
      <c r="A58" s="1005"/>
      <c r="B58" s="501"/>
      <c r="C58" s="158" t="s">
        <v>1223</v>
      </c>
      <c r="D58" s="606" t="s">
        <v>1215</v>
      </c>
      <c r="E58" s="601">
        <v>622.98</v>
      </c>
      <c r="F58" s="602">
        <f t="shared" si="0"/>
        <v>373.78800000000001</v>
      </c>
      <c r="G58" s="604">
        <f>F58*B58</f>
        <v>0</v>
      </c>
      <c r="H58" s="603">
        <f t="shared" si="2"/>
        <v>31.099161599999999</v>
      </c>
      <c r="I58" s="605">
        <f>H58*B58</f>
        <v>0</v>
      </c>
      <c r="J58" s="603">
        <f t="shared" si="4"/>
        <v>11.699564400000002</v>
      </c>
      <c r="K58" s="605">
        <f>J58*B58</f>
        <v>0</v>
      </c>
      <c r="L58" s="603">
        <f t="shared" si="6"/>
        <v>9.5689728000000009</v>
      </c>
      <c r="M58" s="603">
        <f>L58*B58</f>
        <v>0</v>
      </c>
      <c r="N58" s="603">
        <f t="shared" si="8"/>
        <v>7.9616844000000002</v>
      </c>
      <c r="O58" s="603">
        <f>N58*B58</f>
        <v>0</v>
      </c>
    </row>
    <row r="59" spans="1:15" s="151" customFormat="1" ht="26.1" customHeight="1" thickBot="1">
      <c r="A59" s="1005"/>
      <c r="B59" s="501"/>
      <c r="C59" s="158" t="s">
        <v>1223</v>
      </c>
      <c r="D59" s="606" t="s">
        <v>1216</v>
      </c>
      <c r="E59" s="601">
        <v>622.98</v>
      </c>
      <c r="F59" s="602">
        <f t="shared" si="0"/>
        <v>373.78800000000001</v>
      </c>
      <c r="G59" s="604">
        <f>F59*B59</f>
        <v>0</v>
      </c>
      <c r="H59" s="603">
        <f t="shared" si="2"/>
        <v>31.099161599999999</v>
      </c>
      <c r="I59" s="605">
        <f>H59*B59</f>
        <v>0</v>
      </c>
      <c r="J59" s="603">
        <f t="shared" si="4"/>
        <v>11.699564400000002</v>
      </c>
      <c r="K59" s="605">
        <f>J59*B59</f>
        <v>0</v>
      </c>
      <c r="L59" s="603">
        <f t="shared" si="6"/>
        <v>9.5689728000000009</v>
      </c>
      <c r="M59" s="603">
        <f>L59*B59</f>
        <v>0</v>
      </c>
      <c r="N59" s="603">
        <f t="shared" si="8"/>
        <v>7.9616844000000002</v>
      </c>
      <c r="O59" s="603">
        <f>N59*B59</f>
        <v>0</v>
      </c>
    </row>
    <row r="60" spans="1:15" s="151" customFormat="1" ht="26.1" customHeight="1" thickBot="1">
      <c r="A60" s="1005"/>
      <c r="B60" s="501"/>
      <c r="C60" s="158" t="s">
        <v>1224</v>
      </c>
      <c r="D60" s="606" t="s">
        <v>1217</v>
      </c>
      <c r="E60" s="601">
        <v>1779.98</v>
      </c>
      <c r="F60" s="602">
        <f t="shared" si="0"/>
        <v>1067.9880000000001</v>
      </c>
      <c r="G60" s="604">
        <f t="shared" si="10"/>
        <v>0</v>
      </c>
      <c r="H60" s="603">
        <f t="shared" si="2"/>
        <v>88.856601600000005</v>
      </c>
      <c r="I60" s="605">
        <f t="shared" si="11"/>
        <v>0</v>
      </c>
      <c r="J60" s="603">
        <f t="shared" si="4"/>
        <v>33.428024400000005</v>
      </c>
      <c r="K60" s="605">
        <f t="shared" si="12"/>
        <v>0</v>
      </c>
      <c r="L60" s="603">
        <f t="shared" si="6"/>
        <v>27.340492800000003</v>
      </c>
      <c r="M60" s="603">
        <f t="shared" si="13"/>
        <v>0</v>
      </c>
      <c r="N60" s="603">
        <f t="shared" si="8"/>
        <v>22.748144400000001</v>
      </c>
      <c r="O60" s="603">
        <f t="shared" si="14"/>
        <v>0</v>
      </c>
    </row>
    <row r="61" spans="1:15" s="151" customFormat="1" ht="26.1" customHeight="1" thickBot="1">
      <c r="A61" s="1005"/>
      <c r="B61" s="501"/>
      <c r="C61" s="158" t="s">
        <v>909</v>
      </c>
      <c r="D61" s="606" t="s">
        <v>1218</v>
      </c>
      <c r="E61" s="601">
        <v>87.52</v>
      </c>
      <c r="F61" s="602">
        <f t="shared" si="0"/>
        <v>52.511999999999993</v>
      </c>
      <c r="G61" s="604">
        <f>F61*B61</f>
        <v>0</v>
      </c>
      <c r="H61" s="603">
        <f t="shared" si="2"/>
        <v>4.3689983999999988</v>
      </c>
      <c r="I61" s="605">
        <f>H61*B61</f>
        <v>0</v>
      </c>
      <c r="J61" s="603">
        <f t="shared" si="4"/>
        <v>1.6436255999999998</v>
      </c>
      <c r="K61" s="605">
        <f>J61*B61</f>
        <v>0</v>
      </c>
      <c r="L61" s="603">
        <f t="shared" si="6"/>
        <v>1.3443071999999998</v>
      </c>
      <c r="M61" s="603">
        <f>L61*B61</f>
        <v>0</v>
      </c>
      <c r="N61" s="603">
        <f t="shared" si="8"/>
        <v>1.1185055999999998</v>
      </c>
      <c r="O61" s="603">
        <f>N61*B61</f>
        <v>0</v>
      </c>
    </row>
    <row r="62" spans="1:15" s="151" customFormat="1" ht="26.1" customHeight="1" thickBot="1">
      <c r="A62" s="1006"/>
      <c r="B62" s="501"/>
      <c r="C62" s="158" t="s">
        <v>1225</v>
      </c>
      <c r="D62" s="606" t="s">
        <v>1219</v>
      </c>
      <c r="E62" s="601">
        <v>202.6</v>
      </c>
      <c r="F62" s="602">
        <f t="shared" si="0"/>
        <v>121.55999999999999</v>
      </c>
      <c r="G62" s="604">
        <f>F62*B62</f>
        <v>0</v>
      </c>
      <c r="H62" s="603">
        <f t="shared" si="2"/>
        <v>10.113791999999998</v>
      </c>
      <c r="I62" s="605">
        <f>H62*B62</f>
        <v>0</v>
      </c>
      <c r="J62" s="603">
        <f t="shared" si="4"/>
        <v>3.8048279999999997</v>
      </c>
      <c r="K62" s="605">
        <f>J62*B62</f>
        <v>0</v>
      </c>
      <c r="L62" s="603">
        <f t="shared" si="6"/>
        <v>3.111936</v>
      </c>
      <c r="M62" s="603">
        <f>L62*B62</f>
        <v>0</v>
      </c>
      <c r="N62" s="603">
        <f t="shared" si="8"/>
        <v>2.5892279999999999</v>
      </c>
      <c r="O62" s="603">
        <f>N62*B62</f>
        <v>0</v>
      </c>
    </row>
    <row r="63" spans="1:15" s="162" customFormat="1" ht="15">
      <c r="B63" s="163"/>
      <c r="C63" s="163"/>
      <c r="D63" s="997" t="s">
        <v>183</v>
      </c>
      <c r="E63" s="998"/>
      <c r="F63" s="999"/>
      <c r="G63" s="103">
        <f t="array" ref="G63">SUM(G47:G62)+G41:G47:G62+G44</f>
        <v>0</v>
      </c>
      <c r="H63" s="164" t="s">
        <v>184</v>
      </c>
      <c r="I63" s="103">
        <f t="array" ref="I63">SUM(I47:I62)+I41:I47:I62+I44</f>
        <v>0</v>
      </c>
      <c r="J63" s="164" t="s">
        <v>185</v>
      </c>
      <c r="K63" s="103">
        <f t="array" ref="K63">SUM(K47:K62)+K41:K47:K62+K44</f>
        <v>0</v>
      </c>
      <c r="L63" s="164" t="s">
        <v>186</v>
      </c>
      <c r="M63" s="103">
        <f t="array" ref="M63">SUM(M47:M62)+M41:M47:M62+M44</f>
        <v>0</v>
      </c>
      <c r="N63" s="164" t="s">
        <v>187</v>
      </c>
      <c r="O63" s="103">
        <f t="array" ref="O63">SUM(O47:O62)+O41:O47:O62+O44</f>
        <v>0</v>
      </c>
    </row>
    <row r="68" spans="2:6" ht="15.75">
      <c r="C68" s="166"/>
      <c r="D68" s="167"/>
      <c r="E68" s="168"/>
      <c r="F68" s="168"/>
    </row>
    <row r="69" spans="2:6" ht="15.75">
      <c r="C69" s="166"/>
      <c r="D69" s="167"/>
      <c r="E69" s="168"/>
      <c r="F69" s="168"/>
    </row>
    <row r="70" spans="2:6" ht="15.75">
      <c r="C70" s="166"/>
      <c r="D70" s="167"/>
      <c r="E70" s="168"/>
      <c r="F70" s="168"/>
    </row>
    <row r="71" spans="2:6" ht="15.75">
      <c r="C71" s="166"/>
      <c r="D71" s="167"/>
      <c r="E71" s="168"/>
      <c r="F71" s="168"/>
    </row>
    <row r="72" spans="2:6" ht="15.75">
      <c r="C72" s="166"/>
      <c r="D72" s="167"/>
      <c r="E72" s="168"/>
      <c r="F72" s="168"/>
    </row>
    <row r="73" spans="2:6" ht="15.75">
      <c r="C73" s="166"/>
      <c r="D73" s="167"/>
      <c r="E73" s="168"/>
      <c r="F73" s="168"/>
    </row>
    <row r="77" spans="2:6">
      <c r="B77" s="106"/>
      <c r="C77" s="106"/>
    </row>
  </sheetData>
  <mergeCells count="67">
    <mergeCell ref="O44:O45"/>
    <mergeCell ref="A46:O46"/>
    <mergeCell ref="A47:A62"/>
    <mergeCell ref="D63:F63"/>
    <mergeCell ref="K44:K45"/>
    <mergeCell ref="L44:L45"/>
    <mergeCell ref="M44:M45"/>
    <mergeCell ref="A44:A45"/>
    <mergeCell ref="B44:B45"/>
    <mergeCell ref="G44:G45"/>
    <mergeCell ref="H44:H45"/>
    <mergeCell ref="N44:N45"/>
    <mergeCell ref="I44:I45"/>
    <mergeCell ref="J44:J45"/>
    <mergeCell ref="G38:H38"/>
    <mergeCell ref="F39:G39"/>
    <mergeCell ref="H39:O39"/>
    <mergeCell ref="A41:A42"/>
    <mergeCell ref="B41:B42"/>
    <mergeCell ref="G41:G42"/>
    <mergeCell ref="H41:H42"/>
    <mergeCell ref="I41:I42"/>
    <mergeCell ref="J41:J42"/>
    <mergeCell ref="K41:K42"/>
    <mergeCell ref="L41:L42"/>
    <mergeCell ref="M41:M42"/>
    <mergeCell ref="N41:N42"/>
    <mergeCell ref="O41:O42"/>
    <mergeCell ref="A34:D34"/>
    <mergeCell ref="I34:L34"/>
    <mergeCell ref="M34:O34"/>
    <mergeCell ref="A33:D33"/>
    <mergeCell ref="I33:L33"/>
    <mergeCell ref="M33:O33"/>
    <mergeCell ref="E33:H33"/>
    <mergeCell ref="E34:H34"/>
    <mergeCell ref="A4:O4"/>
    <mergeCell ref="A5:O5"/>
    <mergeCell ref="F10:I10"/>
    <mergeCell ref="F24:G24"/>
    <mergeCell ref="A25:O25"/>
    <mergeCell ref="A26:H26"/>
    <mergeCell ref="I26:O26"/>
    <mergeCell ref="A29:D29"/>
    <mergeCell ref="E29:G29"/>
    <mergeCell ref="I29:L29"/>
    <mergeCell ref="M29:O29"/>
    <mergeCell ref="A27:D27"/>
    <mergeCell ref="E27:G27"/>
    <mergeCell ref="I27:L27"/>
    <mergeCell ref="M27:O27"/>
    <mergeCell ref="A28:D28"/>
    <mergeCell ref="E28:G28"/>
    <mergeCell ref="I28:L28"/>
    <mergeCell ref="M28:O28"/>
    <mergeCell ref="A30:D30"/>
    <mergeCell ref="E30:G30"/>
    <mergeCell ref="I30:L30"/>
    <mergeCell ref="M30:O30"/>
    <mergeCell ref="E32:H32"/>
    <mergeCell ref="A32:D32"/>
    <mergeCell ref="I32:L32"/>
    <mergeCell ref="M32:O32"/>
    <mergeCell ref="A31:D31"/>
    <mergeCell ref="E31:G31"/>
    <mergeCell ref="I31:L31"/>
    <mergeCell ref="M31:O31"/>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
    <tabColor rgb="FFFF0000"/>
  </sheetPr>
  <dimension ref="A1:P90"/>
  <sheetViews>
    <sheetView topLeftCell="A7" zoomScale="80" zoomScaleNormal="80" zoomScalePageLayoutView="90" workbookViewId="0">
      <selection activeCell="D10" sqref="D10"/>
    </sheetView>
  </sheetViews>
  <sheetFormatPr defaultColWidth="8.85546875" defaultRowHeight="12.75"/>
  <cols>
    <col min="1" max="1" width="14.140625" style="104" customWidth="1"/>
    <col min="2" max="2" width="10.5703125" style="104" customWidth="1"/>
    <col min="3" max="3" width="18" style="104" customWidth="1"/>
    <col min="4" max="4" width="44.42578125" style="104" customWidth="1"/>
    <col min="5" max="5" width="15.7109375" style="104" customWidth="1"/>
    <col min="6" max="6" width="13.85546875" style="165" customWidth="1"/>
    <col min="7" max="7" width="15.7109375" style="104" customWidth="1"/>
    <col min="8" max="8" width="22.85546875" style="104" customWidth="1"/>
    <col min="9" max="10" width="23" style="104" customWidth="1"/>
    <col min="11" max="11" width="22.28515625" style="104" customWidth="1"/>
    <col min="12" max="12" width="25.28515625" style="104" customWidth="1"/>
    <col min="13" max="13" width="23" style="104" customWidth="1"/>
    <col min="14" max="14" width="23.5703125" style="104" customWidth="1"/>
    <col min="15" max="15" width="21" style="104" customWidth="1"/>
    <col min="16" max="16" width="12.42578125" style="104" customWidth="1"/>
    <col min="17" max="16384" width="8.85546875" style="104"/>
  </cols>
  <sheetData>
    <row r="1" spans="1:16" ht="13.5" thickBot="1">
      <c r="C1" s="105"/>
      <c r="D1" s="106"/>
      <c r="E1" s="106"/>
      <c r="F1" s="107"/>
      <c r="G1" s="107"/>
      <c r="H1" s="107"/>
      <c r="I1" s="107"/>
      <c r="J1" s="107"/>
      <c r="K1" s="107"/>
      <c r="L1" s="107"/>
    </row>
    <row r="2" spans="1:16" ht="9" customHeight="1">
      <c r="A2" s="108"/>
      <c r="B2" s="109"/>
      <c r="C2" s="109"/>
      <c r="D2" s="110"/>
      <c r="E2" s="110"/>
      <c r="F2" s="111"/>
      <c r="G2" s="111"/>
      <c r="H2" s="111"/>
      <c r="I2" s="112"/>
      <c r="J2" s="112"/>
      <c r="K2" s="112"/>
      <c r="L2" s="112"/>
      <c r="M2" s="108"/>
      <c r="N2" s="108"/>
      <c r="O2" s="108"/>
    </row>
    <row r="3" spans="1:16" ht="10.5" customHeight="1">
      <c r="B3" s="105"/>
      <c r="C3" s="105"/>
      <c r="D3" s="106"/>
      <c r="E3" s="106"/>
      <c r="F3" s="107"/>
      <c r="G3" s="107"/>
      <c r="H3" s="107"/>
      <c r="I3" s="113"/>
      <c r="J3" s="113"/>
      <c r="K3" s="113"/>
      <c r="L3" s="113"/>
    </row>
    <row r="4" spans="1:16" ht="30">
      <c r="A4" s="981" t="s">
        <v>1203</v>
      </c>
      <c r="B4" s="979"/>
      <c r="C4" s="979"/>
      <c r="D4" s="979"/>
      <c r="E4" s="979"/>
      <c r="F4" s="979"/>
      <c r="G4" s="979"/>
      <c r="H4" s="979"/>
      <c r="I4" s="979"/>
      <c r="J4" s="979"/>
      <c r="K4" s="979"/>
      <c r="L4" s="979"/>
      <c r="M4" s="979"/>
      <c r="N4" s="979"/>
      <c r="O4" s="979"/>
    </row>
    <row r="5" spans="1:16" s="114" customFormat="1" ht="38.25" customHeight="1">
      <c r="A5" s="982" t="s">
        <v>1184</v>
      </c>
      <c r="B5" s="983"/>
      <c r="C5" s="983"/>
      <c r="D5" s="983"/>
      <c r="E5" s="983"/>
      <c r="F5" s="983"/>
      <c r="G5" s="983"/>
      <c r="H5" s="983"/>
      <c r="I5" s="983"/>
      <c r="J5" s="983"/>
      <c r="K5" s="983"/>
      <c r="L5" s="983"/>
      <c r="M5" s="983"/>
      <c r="N5" s="983"/>
      <c r="O5" s="983"/>
      <c r="P5" s="104"/>
    </row>
    <row r="6" spans="1:16" ht="9" customHeight="1" thickBot="1">
      <c r="A6" s="115"/>
      <c r="B6" s="116"/>
      <c r="C6" s="116"/>
      <c r="D6" s="117"/>
      <c r="E6" s="117"/>
      <c r="F6" s="118"/>
      <c r="G6" s="118"/>
      <c r="H6" s="118"/>
      <c r="I6" s="119"/>
      <c r="J6" s="119"/>
      <c r="K6" s="119"/>
      <c r="L6" s="119"/>
      <c r="M6" s="115"/>
      <c r="N6" s="115"/>
      <c r="O6" s="115"/>
    </row>
    <row r="7" spans="1:16">
      <c r="G7" s="165"/>
    </row>
    <row r="8" spans="1:16" s="113" customFormat="1">
      <c r="A8" s="104"/>
      <c r="B8" s="104"/>
      <c r="C8" s="104"/>
      <c r="D8" s="104"/>
      <c r="E8" s="104"/>
      <c r="F8" s="165"/>
      <c r="G8" s="165"/>
      <c r="H8" s="104"/>
      <c r="I8" s="104"/>
      <c r="J8" s="104"/>
      <c r="K8" s="104"/>
      <c r="L8" s="104"/>
      <c r="M8" s="104"/>
      <c r="N8" s="104"/>
      <c r="O8" s="104"/>
    </row>
    <row r="9" spans="1:16" s="113" customFormat="1" ht="14.25">
      <c r="B9" s="120"/>
      <c r="C9" s="120"/>
      <c r="D9" s="121"/>
      <c r="E9" s="121"/>
      <c r="F9" s="121"/>
      <c r="G9" s="121"/>
      <c r="H9" s="121"/>
      <c r="I9" s="121"/>
      <c r="J9" s="121"/>
      <c r="K9" s="121"/>
      <c r="L9" s="121"/>
    </row>
    <row r="10" spans="1:16" s="113" customFormat="1" ht="14.25">
      <c r="F10" s="980" t="s">
        <v>3</v>
      </c>
      <c r="G10" s="980"/>
      <c r="H10" s="980"/>
      <c r="I10" s="980"/>
    </row>
    <row r="11" spans="1:16" s="113" customFormat="1" ht="14.25">
      <c r="G11" s="122" t="s">
        <v>4</v>
      </c>
      <c r="H11" s="113" t="s">
        <v>261</v>
      </c>
    </row>
    <row r="12" spans="1:16" s="113" customFormat="1" ht="14.25">
      <c r="F12" s="125"/>
      <c r="G12" s="126" t="s">
        <v>6</v>
      </c>
      <c r="H12" s="127" t="s">
        <v>7</v>
      </c>
      <c r="I12" s="127"/>
      <c r="K12" s="127"/>
      <c r="L12" s="128"/>
      <c r="M12" s="104"/>
      <c r="N12" s="104"/>
      <c r="O12" s="104"/>
    </row>
    <row r="13" spans="1:16" s="113" customFormat="1">
      <c r="F13" s="125"/>
      <c r="G13" s="123" t="s">
        <v>8</v>
      </c>
      <c r="H13" s="129">
        <v>80000</v>
      </c>
      <c r="I13" s="129"/>
      <c r="K13" s="129"/>
      <c r="L13" s="130"/>
      <c r="M13" s="104"/>
      <c r="N13" s="104"/>
      <c r="O13" s="104"/>
    </row>
    <row r="14" spans="1:16" s="113" customFormat="1">
      <c r="F14" s="125"/>
      <c r="G14" s="123" t="s">
        <v>9</v>
      </c>
      <c r="H14" s="113" t="s">
        <v>266</v>
      </c>
      <c r="L14" s="130"/>
      <c r="M14" s="104"/>
      <c r="N14" s="104"/>
      <c r="O14" s="104"/>
    </row>
    <row r="15" spans="1:16" s="113" customFormat="1" ht="14.25">
      <c r="A15" s="128"/>
      <c r="B15" s="104"/>
      <c r="C15" s="104"/>
      <c r="D15" s="104"/>
      <c r="E15" s="104"/>
      <c r="F15" s="104"/>
      <c r="G15" s="123" t="s">
        <v>10</v>
      </c>
      <c r="H15" s="113" t="s">
        <v>128</v>
      </c>
      <c r="L15" s="130"/>
      <c r="M15" s="104"/>
      <c r="N15" s="104"/>
      <c r="O15" s="104"/>
    </row>
    <row r="16" spans="1:16" s="113" customFormat="1">
      <c r="A16" s="130"/>
      <c r="B16" s="104"/>
      <c r="C16" s="104"/>
      <c r="E16" s="104"/>
      <c r="F16" s="104"/>
      <c r="G16" s="123" t="s">
        <v>12</v>
      </c>
      <c r="H16" s="113" t="s">
        <v>1226</v>
      </c>
      <c r="L16" s="130"/>
      <c r="M16" s="104"/>
      <c r="N16" s="104"/>
      <c r="O16" s="104"/>
    </row>
    <row r="17" spans="1:16" s="113" customFormat="1">
      <c r="A17" s="130"/>
      <c r="B17" s="104"/>
      <c r="C17" s="104"/>
      <c r="D17" s="132"/>
      <c r="E17" s="133"/>
      <c r="F17" s="133"/>
      <c r="G17" s="123" t="s">
        <v>13</v>
      </c>
      <c r="H17" s="113" t="s">
        <v>14</v>
      </c>
    </row>
    <row r="18" spans="1:16" s="113" customFormat="1">
      <c r="F18" s="125"/>
      <c r="G18" s="123" t="s">
        <v>15</v>
      </c>
      <c r="H18" s="113" t="s">
        <v>1192</v>
      </c>
    </row>
    <row r="19" spans="1:16" s="113" customFormat="1">
      <c r="F19" s="125"/>
      <c r="G19" s="123" t="s">
        <v>16</v>
      </c>
      <c r="H19" s="113" t="s">
        <v>17</v>
      </c>
    </row>
    <row r="20" spans="1:16" s="113" customFormat="1" ht="14.25">
      <c r="C20" s="134"/>
      <c r="F20" s="135"/>
      <c r="G20" s="123" t="s">
        <v>19</v>
      </c>
      <c r="H20" s="113" t="s">
        <v>3314</v>
      </c>
      <c r="K20" s="124"/>
    </row>
    <row r="21" spans="1:16" s="113" customFormat="1" ht="14.25">
      <c r="D21" s="136"/>
      <c r="E21" s="136"/>
      <c r="F21" s="135"/>
      <c r="G21" s="123" t="s">
        <v>20</v>
      </c>
      <c r="H21" s="113" t="s">
        <v>1227</v>
      </c>
    </row>
    <row r="22" spans="1:16" s="113" customFormat="1" ht="14.25">
      <c r="D22" s="136"/>
      <c r="E22" s="136"/>
      <c r="F22" s="135"/>
      <c r="G22" s="123" t="s">
        <v>21</v>
      </c>
      <c r="H22" s="113" t="s">
        <v>1228</v>
      </c>
    </row>
    <row r="23" spans="1:16" s="113" customFormat="1" ht="15.75" customHeight="1">
      <c r="D23" s="136"/>
      <c r="E23" s="136"/>
      <c r="F23" s="135"/>
      <c r="G23" s="123" t="s">
        <v>22</v>
      </c>
      <c r="H23" s="113" t="s">
        <v>1229</v>
      </c>
    </row>
    <row r="24" spans="1:16" s="113" customFormat="1" ht="12.75" customHeight="1">
      <c r="D24" s="136"/>
      <c r="E24" s="136"/>
      <c r="F24" s="978"/>
      <c r="G24" s="979"/>
    </row>
    <row r="25" spans="1:16" s="113" customFormat="1" ht="12.75" customHeight="1">
      <c r="D25" s="136"/>
      <c r="E25" s="136"/>
      <c r="F25" s="135"/>
      <c r="H25" s="123"/>
    </row>
    <row r="26" spans="1:16" s="113" customFormat="1" ht="12.75" customHeight="1">
      <c r="D26" s="136"/>
      <c r="E26" s="136"/>
      <c r="F26" s="135"/>
      <c r="H26" s="123"/>
    </row>
    <row r="27" spans="1:16" s="113" customFormat="1" ht="15" thickBot="1">
      <c r="A27" s="1072" t="s">
        <v>23</v>
      </c>
      <c r="B27" s="996"/>
      <c r="C27" s="996"/>
      <c r="D27" s="996"/>
      <c r="E27" s="996"/>
      <c r="F27" s="996"/>
      <c r="G27" s="996"/>
      <c r="H27" s="996"/>
      <c r="I27" s="996"/>
      <c r="J27" s="996"/>
      <c r="K27" s="996"/>
      <c r="L27" s="996"/>
      <c r="M27" s="996"/>
      <c r="N27" s="996"/>
      <c r="O27" s="996"/>
      <c r="P27" s="104"/>
    </row>
    <row r="28" spans="1:16" s="113" customFormat="1" ht="14.25">
      <c r="A28" s="1065" t="s">
        <v>1233</v>
      </c>
      <c r="B28" s="1066"/>
      <c r="C28" s="1066"/>
      <c r="D28" s="1067"/>
      <c r="E28" s="1068" t="s">
        <v>1234</v>
      </c>
      <c r="F28" s="999"/>
      <c r="G28" s="999"/>
      <c r="H28" s="999"/>
      <c r="I28" s="999"/>
      <c r="J28" s="1069"/>
      <c r="K28" s="1065" t="s">
        <v>1235</v>
      </c>
      <c r="L28" s="999"/>
      <c r="M28" s="999"/>
      <c r="N28" s="999"/>
      <c r="O28" s="1069"/>
      <c r="P28" s="104"/>
    </row>
    <row r="29" spans="1:16" s="113" customFormat="1" ht="12.75" customHeight="1">
      <c r="A29" s="994" t="s">
        <v>160</v>
      </c>
      <c r="B29" s="1073"/>
      <c r="C29" s="1073"/>
      <c r="D29" s="322" t="s">
        <v>161</v>
      </c>
      <c r="E29" s="994" t="s">
        <v>160</v>
      </c>
      <c r="F29" s="979"/>
      <c r="G29" s="979"/>
      <c r="H29" s="979"/>
      <c r="I29" s="1078" t="s">
        <v>162</v>
      </c>
      <c r="J29" s="1075"/>
      <c r="K29" s="994" t="s">
        <v>160</v>
      </c>
      <c r="L29" s="979"/>
      <c r="M29" s="979"/>
      <c r="N29" s="1079" t="s">
        <v>162</v>
      </c>
      <c r="O29" s="1080"/>
    </row>
    <row r="30" spans="1:16" s="113" customFormat="1" ht="12.75" customHeight="1">
      <c r="A30" s="994" t="s">
        <v>43</v>
      </c>
      <c r="B30" s="1073"/>
      <c r="C30" s="1073"/>
      <c r="D30" s="323">
        <v>0</v>
      </c>
      <c r="E30" s="994" t="s">
        <v>43</v>
      </c>
      <c r="F30" s="979"/>
      <c r="G30" s="979"/>
      <c r="H30" s="979"/>
      <c r="I30" s="1074">
        <v>576</v>
      </c>
      <c r="J30" s="1075"/>
      <c r="K30" s="994" t="s">
        <v>43</v>
      </c>
      <c r="L30" s="979"/>
      <c r="M30" s="979"/>
      <c r="N30" s="1076">
        <v>960</v>
      </c>
      <c r="O30" s="1077"/>
      <c r="P30" s="131"/>
    </row>
    <row r="31" spans="1:16" s="113" customFormat="1" ht="12.75" customHeight="1">
      <c r="A31" s="994" t="s">
        <v>3469</v>
      </c>
      <c r="B31" s="1073"/>
      <c r="C31" s="1073"/>
      <c r="D31" s="322" t="s">
        <v>165</v>
      </c>
      <c r="E31" s="994" t="s">
        <v>3476</v>
      </c>
      <c r="F31" s="979"/>
      <c r="G31" s="979"/>
      <c r="H31" s="979"/>
      <c r="I31" s="1078" t="s">
        <v>44</v>
      </c>
      <c r="J31" s="1075"/>
      <c r="K31" s="994" t="s">
        <v>3476</v>
      </c>
      <c r="L31" s="1073"/>
      <c r="M31" s="1073"/>
      <c r="N31" s="1079" t="s">
        <v>45</v>
      </c>
      <c r="O31" s="1080"/>
    </row>
    <row r="32" spans="1:16" s="113" customFormat="1" ht="12.75" customHeight="1">
      <c r="A32" s="994" t="s">
        <v>3471</v>
      </c>
      <c r="B32" s="1073"/>
      <c r="C32" s="1073"/>
      <c r="D32" s="322" t="s">
        <v>3475</v>
      </c>
      <c r="E32" s="994" t="s">
        <v>3480</v>
      </c>
      <c r="F32" s="979"/>
      <c r="G32" s="979"/>
      <c r="H32" s="979"/>
      <c r="I32" s="1078" t="s">
        <v>48</v>
      </c>
      <c r="J32" s="1075"/>
      <c r="K32" s="994" t="s">
        <v>3481</v>
      </c>
      <c r="L32" s="979"/>
      <c r="M32" s="979"/>
      <c r="N32" s="1079" t="s">
        <v>49</v>
      </c>
      <c r="O32" s="1080"/>
    </row>
    <row r="33" spans="1:16" s="113" customFormat="1" ht="12.75" customHeight="1">
      <c r="A33" s="1368" t="s">
        <v>3470</v>
      </c>
      <c r="B33" s="1374"/>
      <c r="C33" s="1374"/>
      <c r="D33" s="656" t="s">
        <v>165</v>
      </c>
      <c r="E33" s="1368" t="s">
        <v>3470</v>
      </c>
      <c r="F33" s="1369"/>
      <c r="G33" s="1369"/>
      <c r="H33" s="1369"/>
      <c r="I33" s="1387" t="s">
        <v>165</v>
      </c>
      <c r="J33" s="1388"/>
      <c r="K33" s="1368" t="s">
        <v>3470</v>
      </c>
      <c r="L33" s="1374"/>
      <c r="M33" s="1374"/>
      <c r="N33" s="1383" t="s">
        <v>165</v>
      </c>
      <c r="O33" s="1384"/>
    </row>
    <row r="34" spans="1:16" s="113" customFormat="1" ht="12.75" customHeight="1">
      <c r="A34" s="1368" t="s">
        <v>3466</v>
      </c>
      <c r="B34" s="1374"/>
      <c r="C34" s="1374"/>
      <c r="D34" s="654" t="s">
        <v>3472</v>
      </c>
      <c r="E34" s="1368" t="s">
        <v>3466</v>
      </c>
      <c r="F34" s="1369"/>
      <c r="G34" s="1369"/>
      <c r="H34" s="1369"/>
      <c r="I34" s="1370" t="s">
        <v>3472</v>
      </c>
      <c r="J34" s="1371"/>
      <c r="K34" s="1368" t="s">
        <v>3466</v>
      </c>
      <c r="L34" s="1374"/>
      <c r="M34" s="1374"/>
      <c r="N34" s="1383" t="s">
        <v>3472</v>
      </c>
      <c r="O34" s="1384"/>
    </row>
    <row r="35" spans="1:16" s="113" customFormat="1" ht="12.75" customHeight="1">
      <c r="A35" s="1368" t="s">
        <v>3467</v>
      </c>
      <c r="B35" s="1374"/>
      <c r="C35" s="1374"/>
      <c r="D35" s="654" t="s">
        <v>3473</v>
      </c>
      <c r="E35" s="1368" t="s">
        <v>3467</v>
      </c>
      <c r="F35" s="1369"/>
      <c r="G35" s="1369"/>
      <c r="H35" s="1369"/>
      <c r="I35" s="1370" t="s">
        <v>3473</v>
      </c>
      <c r="J35" s="1371"/>
      <c r="K35" s="1368" t="s">
        <v>3467</v>
      </c>
      <c r="L35" s="1374"/>
      <c r="M35" s="1374"/>
      <c r="N35" s="1383" t="s">
        <v>3473</v>
      </c>
      <c r="O35" s="1384"/>
    </row>
    <row r="36" spans="1:16" s="113" customFormat="1" ht="12.75" customHeight="1" thickBot="1">
      <c r="A36" s="1364" t="s">
        <v>3468</v>
      </c>
      <c r="B36" s="1365"/>
      <c r="C36" s="1365"/>
      <c r="D36" s="655" t="s">
        <v>3474</v>
      </c>
      <c r="E36" s="1364" t="s">
        <v>3468</v>
      </c>
      <c r="F36" s="1381"/>
      <c r="G36" s="1381"/>
      <c r="H36" s="1381"/>
      <c r="I36" s="1366" t="s">
        <v>3474</v>
      </c>
      <c r="J36" s="1367"/>
      <c r="K36" s="1364" t="s">
        <v>3468</v>
      </c>
      <c r="L36" s="1365"/>
      <c r="M36" s="1365"/>
      <c r="N36" s="1385" t="s">
        <v>3474</v>
      </c>
      <c r="O36" s="1386"/>
    </row>
    <row r="37" spans="1:16" s="113" customFormat="1" ht="12.75" customHeight="1">
      <c r="D37" s="136"/>
      <c r="E37" s="136"/>
      <c r="F37" s="135"/>
      <c r="H37" s="123"/>
    </row>
    <row r="38" spans="1:16" s="113" customFormat="1" ht="12.75" customHeight="1">
      <c r="C38" s="140"/>
      <c r="D38" s="136"/>
      <c r="E38" s="136"/>
      <c r="F38" s="135"/>
      <c r="G38" s="135"/>
      <c r="H38" s="135"/>
      <c r="I38" s="653"/>
      <c r="J38" s="653"/>
      <c r="K38" s="653"/>
      <c r="L38" s="142"/>
    </row>
    <row r="39" spans="1:16" s="113" customFormat="1" ht="12.75" customHeight="1">
      <c r="A39" s="1087"/>
      <c r="B39" s="979"/>
      <c r="C39" s="979"/>
      <c r="D39" s="979"/>
      <c r="E39" s="136"/>
      <c r="F39" s="135"/>
      <c r="G39" s="135"/>
      <c r="H39" s="135"/>
      <c r="I39" s="653"/>
      <c r="J39" s="653"/>
      <c r="K39" s="653"/>
      <c r="L39" s="142">
        <f>F39*0.025656</f>
        <v>0</v>
      </c>
    </row>
    <row r="40" spans="1:16" s="113" customFormat="1" ht="12.75" customHeight="1">
      <c r="A40" s="1073"/>
      <c r="B40" s="979"/>
      <c r="C40" s="979"/>
      <c r="E40" s="136"/>
      <c r="F40" s="135"/>
      <c r="G40" s="135"/>
      <c r="H40" s="135"/>
      <c r="I40" s="653"/>
      <c r="J40" s="653"/>
      <c r="K40" s="653"/>
      <c r="L40" s="142"/>
    </row>
    <row r="41" spans="1:16" s="113" customFormat="1" ht="12.75" customHeight="1" thickBot="1">
      <c r="A41" s="1073"/>
      <c r="B41" s="979"/>
      <c r="C41" s="979"/>
      <c r="E41" s="136"/>
      <c r="F41" s="135"/>
      <c r="G41" s="150"/>
      <c r="I41" s="150"/>
      <c r="J41" s="150"/>
      <c r="K41" s="150"/>
      <c r="L41" s="150"/>
    </row>
    <row r="42" spans="1:16" s="113" customFormat="1" ht="15.75" customHeight="1" thickBot="1">
      <c r="A42" s="1081"/>
      <c r="B42" s="996"/>
      <c r="C42" s="996"/>
      <c r="D42" s="505"/>
      <c r="F42" s="1007" t="s">
        <v>167</v>
      </c>
      <c r="G42" s="1089"/>
      <c r="H42" s="1008"/>
      <c r="I42" s="1009" t="s">
        <v>168</v>
      </c>
      <c r="J42" s="1002"/>
      <c r="K42" s="1002"/>
      <c r="L42" s="1002"/>
      <c r="M42" s="1002"/>
      <c r="N42" s="1002"/>
      <c r="O42" s="1003"/>
      <c r="P42" s="104"/>
    </row>
    <row r="43" spans="1:16" s="151" customFormat="1" ht="58.5" customHeight="1" thickBot="1">
      <c r="A43" s="82" t="s">
        <v>122</v>
      </c>
      <c r="B43" s="82" t="s">
        <v>169</v>
      </c>
      <c r="C43" s="506" t="s">
        <v>170</v>
      </c>
      <c r="D43" s="83" t="s">
        <v>171</v>
      </c>
      <c r="E43" s="83" t="s">
        <v>172</v>
      </c>
      <c r="F43" s="83" t="s">
        <v>173</v>
      </c>
      <c r="G43" s="82" t="s">
        <v>174</v>
      </c>
      <c r="H43" s="83" t="s">
        <v>175</v>
      </c>
      <c r="I43" s="82" t="s">
        <v>174</v>
      </c>
      <c r="J43" s="83" t="s">
        <v>176</v>
      </c>
      <c r="K43" s="82" t="s">
        <v>174</v>
      </c>
      <c r="L43" s="83" t="s">
        <v>177</v>
      </c>
      <c r="M43" s="82" t="s">
        <v>174</v>
      </c>
      <c r="N43" s="83" t="s">
        <v>178</v>
      </c>
      <c r="O43" s="82" t="s">
        <v>174</v>
      </c>
    </row>
    <row r="44" spans="1:16" s="155" customFormat="1" ht="29.25" customHeight="1" thickBot="1">
      <c r="A44" s="1092">
        <v>56</v>
      </c>
      <c r="B44" s="1092"/>
      <c r="C44" s="86" t="s">
        <v>1202</v>
      </c>
      <c r="D44" s="152" t="s">
        <v>1204</v>
      </c>
      <c r="E44" s="153">
        <v>5540.81</v>
      </c>
      <c r="F44" s="20">
        <f>SUM(E44,,E45)*(1-60%)</f>
        <v>2246.3240000000001</v>
      </c>
      <c r="G44" s="987">
        <f>F44*B44</f>
        <v>0</v>
      </c>
      <c r="H44" s="20">
        <f>F44*0.0832</f>
        <v>186.89415679999999</v>
      </c>
      <c r="I44" s="987">
        <f>H44*B44</f>
        <v>0</v>
      </c>
      <c r="J44" s="20">
        <f>F44*0.0313</f>
        <v>70.309941200000011</v>
      </c>
      <c r="K44" s="987">
        <f>J44*B44</f>
        <v>0</v>
      </c>
      <c r="L44" s="20">
        <f>F44*0.0256</f>
        <v>57.505894400000003</v>
      </c>
      <c r="M44" s="987">
        <f>L44*B44</f>
        <v>0</v>
      </c>
      <c r="N44" s="20">
        <f>F44*0.0213</f>
        <v>47.846701199999998</v>
      </c>
      <c r="O44" s="987">
        <f>N44*B44</f>
        <v>0</v>
      </c>
      <c r="P44" s="154"/>
    </row>
    <row r="45" spans="1:16" s="156" customFormat="1" ht="13.5" thickBot="1">
      <c r="A45" s="1093"/>
      <c r="B45" s="1093"/>
      <c r="C45" s="478" t="s">
        <v>179</v>
      </c>
      <c r="D45" s="479" t="s">
        <v>180</v>
      </c>
      <c r="E45" s="92">
        <v>75</v>
      </c>
      <c r="F45" s="93" t="s">
        <v>162</v>
      </c>
      <c r="G45" s="1091"/>
      <c r="H45" s="218" t="s">
        <v>162</v>
      </c>
      <c r="I45" s="1091"/>
      <c r="J45" s="218" t="s">
        <v>162</v>
      </c>
      <c r="K45" s="1091"/>
      <c r="L45" s="218" t="s">
        <v>162</v>
      </c>
      <c r="M45" s="1091"/>
      <c r="N45" s="218" t="s">
        <v>162</v>
      </c>
      <c r="O45" s="1091"/>
    </row>
    <row r="46" spans="1:16" s="156" customFormat="1" ht="13.5" thickBot="1">
      <c r="A46" s="94"/>
      <c r="B46" s="95"/>
      <c r="C46" s="96"/>
      <c r="D46" s="97"/>
      <c r="E46" s="98"/>
      <c r="F46" s="48"/>
      <c r="G46" s="41"/>
      <c r="H46" s="40"/>
      <c r="I46" s="41"/>
      <c r="J46" s="40"/>
      <c r="K46" s="42"/>
      <c r="L46" s="40"/>
      <c r="M46" s="41"/>
      <c r="N46" s="40"/>
      <c r="O46" s="42"/>
    </row>
    <row r="47" spans="1:16" s="155" customFormat="1" ht="29.25" customHeight="1" thickBot="1">
      <c r="A47" s="1092" t="s">
        <v>1231</v>
      </c>
      <c r="B47" s="1092"/>
      <c r="C47" s="86" t="s">
        <v>1202</v>
      </c>
      <c r="D47" s="152" t="s">
        <v>1204</v>
      </c>
      <c r="E47" s="153">
        <v>5540.81</v>
      </c>
      <c r="F47" s="20">
        <f>SUM(E47,,E48)*(1-60%)</f>
        <v>2246.3240000000001</v>
      </c>
      <c r="G47" s="987">
        <f>F47*B47</f>
        <v>0</v>
      </c>
      <c r="H47" s="20">
        <f>F47*0.0832+I30/12</f>
        <v>234.89415679999999</v>
      </c>
      <c r="I47" s="987">
        <f>H47*B47</f>
        <v>0</v>
      </c>
      <c r="J47" s="20">
        <f>F47*0.0313+I30/12</f>
        <v>118.30994120000001</v>
      </c>
      <c r="K47" s="987">
        <f>J47*B47</f>
        <v>0</v>
      </c>
      <c r="L47" s="20">
        <f>F47*0.0256+I30/12</f>
        <v>105.5058944</v>
      </c>
      <c r="M47" s="987">
        <f>L47*B47</f>
        <v>0</v>
      </c>
      <c r="N47" s="20">
        <f>F47*0.0213+I30/12</f>
        <v>95.846701199999998</v>
      </c>
      <c r="O47" s="987">
        <f>N47*B47</f>
        <v>0</v>
      </c>
      <c r="P47" s="154"/>
    </row>
    <row r="48" spans="1:16" s="156" customFormat="1" ht="13.5" thickBot="1">
      <c r="A48" s="1093"/>
      <c r="B48" s="1093"/>
      <c r="C48" s="478" t="s">
        <v>179</v>
      </c>
      <c r="D48" s="479" t="s">
        <v>180</v>
      </c>
      <c r="E48" s="92">
        <v>75</v>
      </c>
      <c r="F48" s="47" t="s">
        <v>162</v>
      </c>
      <c r="G48" s="1091"/>
      <c r="H48" s="36" t="s">
        <v>162</v>
      </c>
      <c r="I48" s="1091"/>
      <c r="J48" s="36" t="s">
        <v>162</v>
      </c>
      <c r="K48" s="1091"/>
      <c r="L48" s="36" t="s">
        <v>162</v>
      </c>
      <c r="M48" s="1091"/>
      <c r="N48" s="36" t="s">
        <v>162</v>
      </c>
      <c r="O48" s="1091"/>
    </row>
    <row r="49" spans="1:16" s="156" customFormat="1" ht="13.5" thickBot="1">
      <c r="A49" s="94"/>
      <c r="B49" s="95"/>
      <c r="C49" s="96"/>
      <c r="D49" s="97"/>
      <c r="E49" s="98"/>
      <c r="F49" s="48"/>
      <c r="G49" s="41"/>
      <c r="H49" s="40"/>
      <c r="I49" s="41"/>
      <c r="J49" s="40"/>
      <c r="K49" s="42"/>
      <c r="L49" s="40"/>
      <c r="M49" s="41"/>
      <c r="N49" s="40"/>
      <c r="O49" s="42"/>
    </row>
    <row r="50" spans="1:16" s="155" customFormat="1" ht="29.25" customHeight="1" thickBot="1">
      <c r="A50" s="1092" t="s">
        <v>1232</v>
      </c>
      <c r="B50" s="1092"/>
      <c r="C50" s="86" t="s">
        <v>1202</v>
      </c>
      <c r="D50" s="152" t="s">
        <v>1204</v>
      </c>
      <c r="E50" s="153">
        <v>5540.81</v>
      </c>
      <c r="F50" s="20">
        <f>SUM(E50,,E51)*(1-60%)</f>
        <v>2246.3240000000001</v>
      </c>
      <c r="G50" s="987">
        <f>F50*B50</f>
        <v>0</v>
      </c>
      <c r="H50" s="20">
        <f>F50*0.0832+N30/12</f>
        <v>266.89415680000002</v>
      </c>
      <c r="I50" s="987">
        <f>H50*B50</f>
        <v>0</v>
      </c>
      <c r="J50" s="20">
        <f>F50*0.0313+N30/12</f>
        <v>150.30994120000003</v>
      </c>
      <c r="K50" s="987">
        <f>J50*B50</f>
        <v>0</v>
      </c>
      <c r="L50" s="20">
        <f>F50*0.0256+N30/12</f>
        <v>137.50589439999999</v>
      </c>
      <c r="M50" s="987">
        <f>L50*B50</f>
        <v>0</v>
      </c>
      <c r="N50" s="20">
        <f>F50*0.0213+N30/12</f>
        <v>127.8467012</v>
      </c>
      <c r="O50" s="987">
        <f>N50*B50</f>
        <v>0</v>
      </c>
      <c r="P50" s="154"/>
    </row>
    <row r="51" spans="1:16" s="156" customFormat="1" ht="13.5" thickBot="1">
      <c r="A51" s="1097"/>
      <c r="B51" s="1097"/>
      <c r="C51" s="478" t="s">
        <v>179</v>
      </c>
      <c r="D51" s="479" t="s">
        <v>180</v>
      </c>
      <c r="E51" s="92">
        <v>75</v>
      </c>
      <c r="F51" s="93" t="s">
        <v>162</v>
      </c>
      <c r="G51" s="1090"/>
      <c r="H51" s="509" t="s">
        <v>162</v>
      </c>
      <c r="I51" s="1090"/>
      <c r="J51" s="509" t="s">
        <v>162</v>
      </c>
      <c r="K51" s="1090"/>
      <c r="L51" s="509" t="s">
        <v>162</v>
      </c>
      <c r="M51" s="1090"/>
      <c r="N51" s="509" t="s">
        <v>162</v>
      </c>
      <c r="O51" s="1090"/>
    </row>
    <row r="52" spans="1:16" s="156" customFormat="1" ht="13.5" customHeight="1" thickBot="1">
      <c r="A52" s="1001" t="s">
        <v>182</v>
      </c>
      <c r="B52" s="1002"/>
      <c r="C52" s="1002"/>
      <c r="D52" s="1002"/>
      <c r="E52" s="1002"/>
      <c r="F52" s="1002"/>
      <c r="G52" s="1002"/>
      <c r="H52" s="1002"/>
      <c r="I52" s="1002"/>
      <c r="J52" s="1002"/>
      <c r="K52" s="1002"/>
      <c r="L52" s="1002"/>
      <c r="M52" s="1002"/>
      <c r="N52" s="1002"/>
      <c r="O52" s="1003"/>
    </row>
    <row r="53" spans="1:16" s="151" customFormat="1" ht="22.5" customHeight="1" thickBot="1">
      <c r="A53" s="1094"/>
      <c r="B53" s="370"/>
      <c r="C53" s="158" t="s">
        <v>898</v>
      </c>
      <c r="D53" s="371" t="s">
        <v>1205</v>
      </c>
      <c r="E53" s="372">
        <v>868.9</v>
      </c>
      <c r="F53" s="23">
        <f t="shared" ref="F53:F68" si="0">E53*(1-40%)</f>
        <v>521.33999999999992</v>
      </c>
      <c r="G53" s="4">
        <f t="shared" ref="G53:G68" si="1">F53*B53</f>
        <v>0</v>
      </c>
      <c r="H53" s="4">
        <f t="shared" ref="H53:H68" si="2">F53*0.0832</f>
        <v>43.37548799999999</v>
      </c>
      <c r="I53" s="4">
        <f t="shared" ref="I53:I68" si="3">H53*B53</f>
        <v>0</v>
      </c>
      <c r="J53" s="4">
        <f t="shared" ref="J53:J68" si="4">F53*0.0313</f>
        <v>16.317941999999999</v>
      </c>
      <c r="K53" s="4">
        <f t="shared" ref="K53:K68" si="5">J53*B53</f>
        <v>0</v>
      </c>
      <c r="L53" s="4">
        <f t="shared" ref="L53:L68" si="6">F53*0.0256</f>
        <v>13.346303999999998</v>
      </c>
      <c r="M53" s="4">
        <f t="shared" ref="M53:M68" si="7">L53*B53</f>
        <v>0</v>
      </c>
      <c r="N53" s="4">
        <f t="shared" ref="N53:N68" si="8">F53*0.0213</f>
        <v>11.104541999999999</v>
      </c>
      <c r="O53" s="4">
        <f t="shared" ref="O53:O68" si="9">N53*B53</f>
        <v>0</v>
      </c>
    </row>
    <row r="54" spans="1:16" s="151" customFormat="1" ht="22.5" customHeight="1" thickBot="1">
      <c r="A54" s="1095"/>
      <c r="B54" s="370"/>
      <c r="C54" s="158" t="s">
        <v>1220</v>
      </c>
      <c r="D54" s="371" t="s">
        <v>1206</v>
      </c>
      <c r="E54" s="372">
        <v>471.1</v>
      </c>
      <c r="F54" s="23">
        <f t="shared" si="0"/>
        <v>282.66000000000003</v>
      </c>
      <c r="G54" s="6">
        <f t="shared" si="1"/>
        <v>0</v>
      </c>
      <c r="H54" s="4">
        <f t="shared" si="2"/>
        <v>23.517312</v>
      </c>
      <c r="I54" s="4">
        <f t="shared" si="3"/>
        <v>0</v>
      </c>
      <c r="J54" s="4">
        <f t="shared" si="4"/>
        <v>8.8472580000000018</v>
      </c>
      <c r="K54" s="4">
        <f t="shared" si="5"/>
        <v>0</v>
      </c>
      <c r="L54" s="4">
        <f t="shared" si="6"/>
        <v>7.2360960000000007</v>
      </c>
      <c r="M54" s="4">
        <f t="shared" si="7"/>
        <v>0</v>
      </c>
      <c r="N54" s="4">
        <f t="shared" si="8"/>
        <v>6.0206580000000001</v>
      </c>
      <c r="O54" s="4">
        <f t="shared" si="9"/>
        <v>0</v>
      </c>
    </row>
    <row r="55" spans="1:16" s="151" customFormat="1" ht="22.5" customHeight="1" thickBot="1">
      <c r="A55" s="1095"/>
      <c r="B55" s="370"/>
      <c r="C55" s="158" t="s">
        <v>899</v>
      </c>
      <c r="D55" s="371" t="s">
        <v>1207</v>
      </c>
      <c r="E55" s="372">
        <v>85.77</v>
      </c>
      <c r="F55" s="23">
        <f>E55*(1-40%)</f>
        <v>51.461999999999996</v>
      </c>
      <c r="G55" s="6">
        <f>F55*B55</f>
        <v>0</v>
      </c>
      <c r="H55" s="4">
        <f t="shared" si="2"/>
        <v>4.2816383999999994</v>
      </c>
      <c r="I55" s="4">
        <f>H55*B55</f>
        <v>0</v>
      </c>
      <c r="J55" s="4">
        <f t="shared" si="4"/>
        <v>1.6107605999999999</v>
      </c>
      <c r="K55" s="4">
        <f>J55*B55</f>
        <v>0</v>
      </c>
      <c r="L55" s="4">
        <f t="shared" si="6"/>
        <v>1.3174272</v>
      </c>
      <c r="M55" s="4">
        <f>L55*B55</f>
        <v>0</v>
      </c>
      <c r="N55" s="4">
        <f t="shared" si="8"/>
        <v>1.0961405999999998</v>
      </c>
      <c r="O55" s="4">
        <f>N55*B55</f>
        <v>0</v>
      </c>
    </row>
    <row r="56" spans="1:16" s="151" customFormat="1" ht="22.5" customHeight="1" thickBot="1">
      <c r="A56" s="1095"/>
      <c r="B56" s="370"/>
      <c r="C56" s="158" t="s">
        <v>899</v>
      </c>
      <c r="D56" s="371" t="s">
        <v>1208</v>
      </c>
      <c r="E56" s="372">
        <v>85.77</v>
      </c>
      <c r="F56" s="23">
        <f>E56*(1-40%)</f>
        <v>51.461999999999996</v>
      </c>
      <c r="G56" s="6">
        <f>F56*B56</f>
        <v>0</v>
      </c>
      <c r="H56" s="4">
        <f t="shared" si="2"/>
        <v>4.2816383999999994</v>
      </c>
      <c r="I56" s="4">
        <f>H56*B56</f>
        <v>0</v>
      </c>
      <c r="J56" s="4">
        <f t="shared" si="4"/>
        <v>1.6107605999999999</v>
      </c>
      <c r="K56" s="4">
        <f>J56*B56</f>
        <v>0</v>
      </c>
      <c r="L56" s="4">
        <f t="shared" si="6"/>
        <v>1.3174272</v>
      </c>
      <c r="M56" s="4">
        <f>L56*B56</f>
        <v>0</v>
      </c>
      <c r="N56" s="4">
        <f t="shared" si="8"/>
        <v>1.0961405999999998</v>
      </c>
      <c r="O56" s="4">
        <f>N56*B56</f>
        <v>0</v>
      </c>
    </row>
    <row r="57" spans="1:16" s="151" customFormat="1" ht="22.5" customHeight="1" thickBot="1">
      <c r="A57" s="1095"/>
      <c r="B57" s="370"/>
      <c r="C57" s="158" t="s">
        <v>900</v>
      </c>
      <c r="D57" s="371" t="s">
        <v>1209</v>
      </c>
      <c r="E57" s="372">
        <v>50.42</v>
      </c>
      <c r="F57" s="23">
        <f>E57*(1-40%)</f>
        <v>30.251999999999999</v>
      </c>
      <c r="G57" s="6">
        <f>F57*B57</f>
        <v>0</v>
      </c>
      <c r="H57" s="4">
        <f t="shared" si="2"/>
        <v>2.5169663999999998</v>
      </c>
      <c r="I57" s="4">
        <f>H57*B57</f>
        <v>0</v>
      </c>
      <c r="J57" s="4">
        <f t="shared" si="4"/>
        <v>0.94688760000000005</v>
      </c>
      <c r="K57" s="4">
        <f>J57*B57</f>
        <v>0</v>
      </c>
      <c r="L57" s="4">
        <f t="shared" si="6"/>
        <v>0.77445120000000001</v>
      </c>
      <c r="M57" s="4">
        <f>L57*B57</f>
        <v>0</v>
      </c>
      <c r="N57" s="4">
        <f t="shared" si="8"/>
        <v>0.64436759999999993</v>
      </c>
      <c r="O57" s="4">
        <f>N57*B57</f>
        <v>0</v>
      </c>
    </row>
    <row r="58" spans="1:16" s="151" customFormat="1" ht="22.5" customHeight="1" thickBot="1">
      <c r="A58" s="1095"/>
      <c r="B58" s="370"/>
      <c r="C58" s="158" t="s">
        <v>906</v>
      </c>
      <c r="D58" s="371" t="s">
        <v>1210</v>
      </c>
      <c r="E58" s="372">
        <v>137.94</v>
      </c>
      <c r="F58" s="23">
        <f>E58*(1-40%)</f>
        <v>82.763999999999996</v>
      </c>
      <c r="G58" s="6">
        <f>F58*B58</f>
        <v>0</v>
      </c>
      <c r="H58" s="4">
        <f t="shared" si="2"/>
        <v>6.8859647999999991</v>
      </c>
      <c r="I58" s="4">
        <f>H58*B58</f>
        <v>0</v>
      </c>
      <c r="J58" s="4">
        <f t="shared" si="4"/>
        <v>2.5905132000000002</v>
      </c>
      <c r="K58" s="4">
        <f>J58*B58</f>
        <v>0</v>
      </c>
      <c r="L58" s="4">
        <f t="shared" si="6"/>
        <v>2.1187583999999999</v>
      </c>
      <c r="M58" s="4">
        <f>L58*B58</f>
        <v>0</v>
      </c>
      <c r="N58" s="4">
        <f t="shared" si="8"/>
        <v>1.7628731999999998</v>
      </c>
      <c r="O58" s="4">
        <f>N58*B58</f>
        <v>0</v>
      </c>
    </row>
    <row r="59" spans="1:16" s="151" customFormat="1" ht="22.5" customHeight="1" thickBot="1">
      <c r="A59" s="1095"/>
      <c r="B59" s="370"/>
      <c r="C59" s="158" t="s">
        <v>1221</v>
      </c>
      <c r="D59" s="371" t="s">
        <v>1211</v>
      </c>
      <c r="E59" s="372">
        <v>371.67</v>
      </c>
      <c r="F59" s="23">
        <f>E59*(1-40%)</f>
        <v>223.00200000000001</v>
      </c>
      <c r="G59" s="6">
        <f>F59*B59</f>
        <v>0</v>
      </c>
      <c r="H59" s="4">
        <f t="shared" si="2"/>
        <v>18.553766400000001</v>
      </c>
      <c r="I59" s="4">
        <f>H59*B59</f>
        <v>0</v>
      </c>
      <c r="J59" s="4">
        <f t="shared" si="4"/>
        <v>6.9799626000000004</v>
      </c>
      <c r="K59" s="4">
        <f>J59*B59</f>
        <v>0</v>
      </c>
      <c r="L59" s="4">
        <f t="shared" si="6"/>
        <v>5.7088512000000007</v>
      </c>
      <c r="M59" s="4">
        <f>L59*B59</f>
        <v>0</v>
      </c>
      <c r="N59" s="4">
        <f t="shared" si="8"/>
        <v>4.7499425999999998</v>
      </c>
      <c r="O59" s="4">
        <f>N59*B59</f>
        <v>0</v>
      </c>
    </row>
    <row r="60" spans="1:16" s="162" customFormat="1" ht="22.5" customHeight="1" thickBot="1">
      <c r="A60" s="1095"/>
      <c r="B60" s="510"/>
      <c r="C60" s="158" t="s">
        <v>907</v>
      </c>
      <c r="D60" s="371" t="s">
        <v>1212</v>
      </c>
      <c r="E60" s="372">
        <v>135.49</v>
      </c>
      <c r="F60" s="23">
        <f t="shared" si="0"/>
        <v>81.293999999999997</v>
      </c>
      <c r="G60" s="6">
        <f t="shared" si="1"/>
        <v>0</v>
      </c>
      <c r="H60" s="4">
        <f t="shared" si="2"/>
        <v>6.7636607999999994</v>
      </c>
      <c r="I60" s="4">
        <f t="shared" si="3"/>
        <v>0</v>
      </c>
      <c r="J60" s="4">
        <f t="shared" si="4"/>
        <v>2.5445022000000002</v>
      </c>
      <c r="K60" s="4">
        <f t="shared" si="5"/>
        <v>0</v>
      </c>
      <c r="L60" s="4">
        <f t="shared" si="6"/>
        <v>2.0811264</v>
      </c>
      <c r="M60" s="4">
        <f t="shared" si="7"/>
        <v>0</v>
      </c>
      <c r="N60" s="4">
        <f t="shared" si="8"/>
        <v>1.7315621999999999</v>
      </c>
      <c r="O60" s="4">
        <f t="shared" si="9"/>
        <v>0</v>
      </c>
    </row>
    <row r="61" spans="1:16" s="156" customFormat="1" ht="22.5" customHeight="1" thickBot="1">
      <c r="A61" s="1095"/>
      <c r="B61" s="467"/>
      <c r="C61" s="158" t="s">
        <v>908</v>
      </c>
      <c r="D61" s="371" t="s">
        <v>1213</v>
      </c>
      <c r="E61" s="372">
        <v>147.91999999999999</v>
      </c>
      <c r="F61" s="23">
        <f t="shared" si="0"/>
        <v>88.751999999999995</v>
      </c>
      <c r="G61" s="6">
        <f t="shared" si="1"/>
        <v>0</v>
      </c>
      <c r="H61" s="4">
        <f t="shared" si="2"/>
        <v>7.3841663999999989</v>
      </c>
      <c r="I61" s="4">
        <f t="shared" si="3"/>
        <v>0</v>
      </c>
      <c r="J61" s="4">
        <f t="shared" si="4"/>
        <v>2.7779376</v>
      </c>
      <c r="K61" s="4">
        <f t="shared" si="5"/>
        <v>0</v>
      </c>
      <c r="L61" s="4">
        <f t="shared" si="6"/>
        <v>2.2720511999999999</v>
      </c>
      <c r="M61" s="4">
        <f t="shared" si="7"/>
        <v>0</v>
      </c>
      <c r="N61" s="4">
        <f t="shared" si="8"/>
        <v>1.8904175999999999</v>
      </c>
      <c r="O61" s="4">
        <f t="shared" si="9"/>
        <v>0</v>
      </c>
    </row>
    <row r="62" spans="1:16" s="156" customFormat="1" ht="22.5" customHeight="1" thickBot="1">
      <c r="A62" s="1095"/>
      <c r="B62" s="467"/>
      <c r="C62" s="511" t="s">
        <v>904</v>
      </c>
      <c r="D62" s="371" t="s">
        <v>910</v>
      </c>
      <c r="E62" s="372">
        <v>140.26</v>
      </c>
      <c r="F62" s="23">
        <f t="shared" si="0"/>
        <v>84.155999999999992</v>
      </c>
      <c r="G62" s="6">
        <f t="shared" si="1"/>
        <v>0</v>
      </c>
      <c r="H62" s="4">
        <f t="shared" si="2"/>
        <v>7.0017791999999988</v>
      </c>
      <c r="I62" s="4">
        <f t="shared" si="3"/>
        <v>0</v>
      </c>
      <c r="J62" s="4">
        <f t="shared" si="4"/>
        <v>2.6340827999999998</v>
      </c>
      <c r="K62" s="4">
        <f t="shared" si="5"/>
        <v>0</v>
      </c>
      <c r="L62" s="4">
        <f t="shared" si="6"/>
        <v>2.1543935999999997</v>
      </c>
      <c r="M62" s="4">
        <f t="shared" si="7"/>
        <v>0</v>
      </c>
      <c r="N62" s="4">
        <f t="shared" si="8"/>
        <v>1.7925227999999997</v>
      </c>
      <c r="O62" s="4">
        <f t="shared" si="9"/>
        <v>0</v>
      </c>
    </row>
    <row r="63" spans="1:16" s="274" customFormat="1" ht="22.5" customHeight="1" thickBot="1">
      <c r="A63" s="1095"/>
      <c r="B63" s="467"/>
      <c r="C63" s="158" t="s">
        <v>1222</v>
      </c>
      <c r="D63" s="371" t="s">
        <v>1214</v>
      </c>
      <c r="E63" s="372">
        <v>444.98</v>
      </c>
      <c r="F63" s="23">
        <f t="shared" si="0"/>
        <v>266.988</v>
      </c>
      <c r="G63" s="6">
        <f t="shared" si="1"/>
        <v>0</v>
      </c>
      <c r="H63" s="4">
        <f t="shared" si="2"/>
        <v>22.213401599999997</v>
      </c>
      <c r="I63" s="4">
        <f t="shared" si="3"/>
        <v>0</v>
      </c>
      <c r="J63" s="4">
        <f t="shared" si="4"/>
        <v>8.3567244000000009</v>
      </c>
      <c r="K63" s="4">
        <f t="shared" si="5"/>
        <v>0</v>
      </c>
      <c r="L63" s="4">
        <f t="shared" si="6"/>
        <v>6.8348928000000004</v>
      </c>
      <c r="M63" s="4">
        <f t="shared" si="7"/>
        <v>0</v>
      </c>
      <c r="N63" s="4">
        <f t="shared" si="8"/>
        <v>5.6868444</v>
      </c>
      <c r="O63" s="4">
        <f t="shared" si="9"/>
        <v>0</v>
      </c>
    </row>
    <row r="64" spans="1:16" s="156" customFormat="1" ht="22.5" customHeight="1" thickBot="1">
      <c r="A64" s="1095"/>
      <c r="B64" s="467"/>
      <c r="C64" s="158" t="s">
        <v>1223</v>
      </c>
      <c r="D64" s="371" t="s">
        <v>1215</v>
      </c>
      <c r="E64" s="372">
        <v>622.98</v>
      </c>
      <c r="F64" s="23">
        <f t="shared" si="0"/>
        <v>373.78800000000001</v>
      </c>
      <c r="G64" s="6">
        <f t="shared" si="1"/>
        <v>0</v>
      </c>
      <c r="H64" s="4">
        <f t="shared" si="2"/>
        <v>31.099161599999999</v>
      </c>
      <c r="I64" s="4">
        <f t="shared" si="3"/>
        <v>0</v>
      </c>
      <c r="J64" s="4">
        <f t="shared" si="4"/>
        <v>11.699564400000002</v>
      </c>
      <c r="K64" s="4">
        <f t="shared" si="5"/>
        <v>0</v>
      </c>
      <c r="L64" s="4">
        <f t="shared" si="6"/>
        <v>9.5689728000000009</v>
      </c>
      <c r="M64" s="4">
        <f t="shared" si="7"/>
        <v>0</v>
      </c>
      <c r="N64" s="4">
        <f t="shared" si="8"/>
        <v>7.9616844000000002</v>
      </c>
      <c r="O64" s="4">
        <f t="shared" si="9"/>
        <v>0</v>
      </c>
    </row>
    <row r="65" spans="1:15" s="162" customFormat="1" ht="22.5" customHeight="1" thickBot="1">
      <c r="A65" s="1095"/>
      <c r="B65" s="510"/>
      <c r="C65" s="158" t="s">
        <v>1223</v>
      </c>
      <c r="D65" s="371" t="s">
        <v>1216</v>
      </c>
      <c r="E65" s="372">
        <v>622.98</v>
      </c>
      <c r="F65" s="23">
        <f t="shared" si="0"/>
        <v>373.78800000000001</v>
      </c>
      <c r="G65" s="6">
        <f>F65*B65</f>
        <v>0</v>
      </c>
      <c r="H65" s="4">
        <f t="shared" si="2"/>
        <v>31.099161599999999</v>
      </c>
      <c r="I65" s="4">
        <f t="shared" si="3"/>
        <v>0</v>
      </c>
      <c r="J65" s="4">
        <f t="shared" si="4"/>
        <v>11.699564400000002</v>
      </c>
      <c r="K65" s="4">
        <f t="shared" si="5"/>
        <v>0</v>
      </c>
      <c r="L65" s="4">
        <f t="shared" si="6"/>
        <v>9.5689728000000009</v>
      </c>
      <c r="M65" s="4">
        <f t="shared" si="7"/>
        <v>0</v>
      </c>
      <c r="N65" s="4">
        <f t="shared" si="8"/>
        <v>7.9616844000000002</v>
      </c>
      <c r="O65" s="4">
        <f t="shared" si="9"/>
        <v>0</v>
      </c>
    </row>
    <row r="66" spans="1:15" s="502" customFormat="1" ht="22.5" customHeight="1" thickBot="1">
      <c r="A66" s="1095"/>
      <c r="B66" s="102"/>
      <c r="C66" s="90" t="s">
        <v>1224</v>
      </c>
      <c r="D66" s="235" t="s">
        <v>1217</v>
      </c>
      <c r="E66" s="518">
        <v>1779.98</v>
      </c>
      <c r="F66" s="44">
        <f t="shared" si="0"/>
        <v>1067.9880000000001</v>
      </c>
      <c r="G66" s="46">
        <f t="shared" si="1"/>
        <v>0</v>
      </c>
      <c r="H66" s="45">
        <f t="shared" si="2"/>
        <v>88.856601600000005</v>
      </c>
      <c r="I66" s="45">
        <f t="shared" si="3"/>
        <v>0</v>
      </c>
      <c r="J66" s="45">
        <f t="shared" si="4"/>
        <v>33.428024400000005</v>
      </c>
      <c r="K66" s="45">
        <f t="shared" si="5"/>
        <v>0</v>
      </c>
      <c r="L66" s="45">
        <f t="shared" si="6"/>
        <v>27.340492800000003</v>
      </c>
      <c r="M66" s="45">
        <f t="shared" si="7"/>
        <v>0</v>
      </c>
      <c r="N66" s="45">
        <f t="shared" si="8"/>
        <v>22.748144400000001</v>
      </c>
      <c r="O66" s="45">
        <f t="shared" si="9"/>
        <v>0</v>
      </c>
    </row>
    <row r="67" spans="1:15" s="162" customFormat="1" ht="22.5" customHeight="1" thickBot="1">
      <c r="A67" s="1095"/>
      <c r="B67" s="510"/>
      <c r="C67" s="158" t="s">
        <v>909</v>
      </c>
      <c r="D67" s="371" t="s">
        <v>1218</v>
      </c>
      <c r="E67" s="372">
        <v>87.52</v>
      </c>
      <c r="F67" s="23">
        <f t="shared" si="0"/>
        <v>52.511999999999993</v>
      </c>
      <c r="G67" s="6">
        <f t="shared" si="1"/>
        <v>0</v>
      </c>
      <c r="H67" s="4">
        <f t="shared" si="2"/>
        <v>4.3689983999999988</v>
      </c>
      <c r="I67" s="4">
        <f t="shared" si="3"/>
        <v>0</v>
      </c>
      <c r="J67" s="4">
        <f t="shared" si="4"/>
        <v>1.6436255999999998</v>
      </c>
      <c r="K67" s="4">
        <f t="shared" si="5"/>
        <v>0</v>
      </c>
      <c r="L67" s="4">
        <f t="shared" si="6"/>
        <v>1.3443071999999998</v>
      </c>
      <c r="M67" s="4">
        <f t="shared" si="7"/>
        <v>0</v>
      </c>
      <c r="N67" s="4">
        <f t="shared" si="8"/>
        <v>1.1185055999999998</v>
      </c>
      <c r="O67" s="4">
        <f t="shared" si="9"/>
        <v>0</v>
      </c>
    </row>
    <row r="68" spans="1:15" s="162" customFormat="1" ht="22.5" customHeight="1" thickBot="1">
      <c r="A68" s="1096"/>
      <c r="B68" s="510"/>
      <c r="C68" s="158" t="s">
        <v>1225</v>
      </c>
      <c r="D68" s="371" t="s">
        <v>1219</v>
      </c>
      <c r="E68" s="372">
        <v>202.6</v>
      </c>
      <c r="F68" s="23">
        <f t="shared" si="0"/>
        <v>121.55999999999999</v>
      </c>
      <c r="G68" s="6">
        <f t="shared" si="1"/>
        <v>0</v>
      </c>
      <c r="H68" s="4">
        <f t="shared" si="2"/>
        <v>10.113791999999998</v>
      </c>
      <c r="I68" s="4">
        <f t="shared" si="3"/>
        <v>0</v>
      </c>
      <c r="J68" s="4">
        <f t="shared" si="4"/>
        <v>3.8048279999999997</v>
      </c>
      <c r="K68" s="4">
        <f t="shared" si="5"/>
        <v>0</v>
      </c>
      <c r="L68" s="4">
        <f t="shared" si="6"/>
        <v>3.111936</v>
      </c>
      <c r="M68" s="4">
        <f t="shared" si="7"/>
        <v>0</v>
      </c>
      <c r="N68" s="4">
        <f t="shared" si="8"/>
        <v>2.5892279999999999</v>
      </c>
      <c r="O68" s="4">
        <f t="shared" si="9"/>
        <v>0</v>
      </c>
    </row>
    <row r="69" spans="1:15" s="162" customFormat="1" ht="15">
      <c r="C69" s="163"/>
      <c r="D69" s="997" t="s">
        <v>183</v>
      </c>
      <c r="E69" s="998"/>
      <c r="F69" s="998"/>
      <c r="G69" s="9">
        <f t="array" ref="G69">SUM(G53:G68)+G44:G53:G68+G47:G53:G68+G50</f>
        <v>0</v>
      </c>
      <c r="H69" s="143" t="s">
        <v>184</v>
      </c>
      <c r="I69" s="9">
        <f t="array" ref="I69">SUM(I53:I68)+I44:I53:I68+I47:I53:I68+I50</f>
        <v>0</v>
      </c>
      <c r="J69" s="143" t="s">
        <v>185</v>
      </c>
      <c r="K69" s="9">
        <f t="array" ref="K69">SUM(K53:K68)+K44:K53:K68+K47:K53:K68+K50</f>
        <v>0</v>
      </c>
      <c r="L69" s="143" t="s">
        <v>186</v>
      </c>
      <c r="M69" s="9">
        <f t="array" ref="M69">SUM(M53:M68)+M44:M53:M68+M47:M53:M68+M50</f>
        <v>0</v>
      </c>
      <c r="N69" s="143" t="s">
        <v>187</v>
      </c>
      <c r="O69" s="9">
        <f t="array" ref="O69">SUM(O53:O68)+O44:O53:O68+O47:O53:O68+O50</f>
        <v>0</v>
      </c>
    </row>
    <row r="70" spans="1:15" s="162" customFormat="1" ht="14.25">
      <c r="C70" s="171"/>
      <c r="F70" s="172"/>
      <c r="G70" s="504"/>
    </row>
    <row r="71" spans="1:15" s="162" customFormat="1">
      <c r="C71" s="104"/>
      <c r="F71" s="172"/>
    </row>
    <row r="72" spans="1:15" ht="18">
      <c r="A72" s="512"/>
    </row>
    <row r="73" spans="1:15" ht="18">
      <c r="A73" s="512"/>
    </row>
    <row r="90" spans="3:3">
      <c r="C90" s="106"/>
    </row>
  </sheetData>
  <mergeCells count="78">
    <mergeCell ref="A4:O4"/>
    <mergeCell ref="A5:O5"/>
    <mergeCell ref="A27:O27"/>
    <mergeCell ref="A28:D28"/>
    <mergeCell ref="E28:J28"/>
    <mergeCell ref="K28:O28"/>
    <mergeCell ref="F10:I10"/>
    <mergeCell ref="A33:C33"/>
    <mergeCell ref="E33:H33"/>
    <mergeCell ref="I33:J33"/>
    <mergeCell ref="F24:G24"/>
    <mergeCell ref="N30:O30"/>
    <mergeCell ref="A29:C29"/>
    <mergeCell ref="E29:H29"/>
    <mergeCell ref="I29:J29"/>
    <mergeCell ref="K29:M29"/>
    <mergeCell ref="N29:O29"/>
    <mergeCell ref="A30:C30"/>
    <mergeCell ref="E30:H30"/>
    <mergeCell ref="A32:C32"/>
    <mergeCell ref="E32:H32"/>
    <mergeCell ref="I32:J32"/>
    <mergeCell ref="K32:M32"/>
    <mergeCell ref="N32:O32"/>
    <mergeCell ref="I30:J30"/>
    <mergeCell ref="K30:M30"/>
    <mergeCell ref="A31:C31"/>
    <mergeCell ref="E31:H31"/>
    <mergeCell ref="I31:J31"/>
    <mergeCell ref="K31:M31"/>
    <mergeCell ref="N31:O31"/>
    <mergeCell ref="A36:C36"/>
    <mergeCell ref="E36:H36"/>
    <mergeCell ref="I36:J36"/>
    <mergeCell ref="K36:M36"/>
    <mergeCell ref="N36:O36"/>
    <mergeCell ref="E35:H35"/>
    <mergeCell ref="I35:J35"/>
    <mergeCell ref="K35:M35"/>
    <mergeCell ref="N35:O35"/>
    <mergeCell ref="A34:C34"/>
    <mergeCell ref="E34:H34"/>
    <mergeCell ref="I34:J34"/>
    <mergeCell ref="K34:M34"/>
    <mergeCell ref="N34:O34"/>
    <mergeCell ref="A35:C35"/>
    <mergeCell ref="G44:G45"/>
    <mergeCell ref="I44:I45"/>
    <mergeCell ref="K44:K45"/>
    <mergeCell ref="M44:M45"/>
    <mergeCell ref="A39:D39"/>
    <mergeCell ref="A40:C40"/>
    <mergeCell ref="A41:C41"/>
    <mergeCell ref="A42:C42"/>
    <mergeCell ref="F42:H42"/>
    <mergeCell ref="I42:O42"/>
    <mergeCell ref="O44:O45"/>
    <mergeCell ref="A47:A48"/>
    <mergeCell ref="B47:B48"/>
    <mergeCell ref="G47:G48"/>
    <mergeCell ref="I47:I48"/>
    <mergeCell ref="K47:K48"/>
    <mergeCell ref="K33:M33"/>
    <mergeCell ref="N33:O33"/>
    <mergeCell ref="A52:O52"/>
    <mergeCell ref="D69:F69"/>
    <mergeCell ref="A53:A68"/>
    <mergeCell ref="A50:A51"/>
    <mergeCell ref="B50:B51"/>
    <mergeCell ref="G50:G51"/>
    <mergeCell ref="I50:I51"/>
    <mergeCell ref="K50:K51"/>
    <mergeCell ref="M50:M51"/>
    <mergeCell ref="M47:M48"/>
    <mergeCell ref="O47:O48"/>
    <mergeCell ref="A44:A45"/>
    <mergeCell ref="B44:B45"/>
    <mergeCell ref="O50:O51"/>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5">
    <tabColor rgb="FFFF0000"/>
  </sheetPr>
  <dimension ref="A1:P100"/>
  <sheetViews>
    <sheetView topLeftCell="A16" zoomScale="80" zoomScaleNormal="80" zoomScalePageLayoutView="90" workbookViewId="0">
      <selection activeCell="K40" sqref="K40"/>
    </sheetView>
  </sheetViews>
  <sheetFormatPr defaultColWidth="8.85546875" defaultRowHeight="12.75"/>
  <cols>
    <col min="1" max="1" width="14.140625" style="104" customWidth="1"/>
    <col min="2" max="2" width="10.5703125" style="104" customWidth="1"/>
    <col min="3" max="3" width="18" style="104" customWidth="1"/>
    <col min="4" max="4" width="44.42578125" style="104" customWidth="1"/>
    <col min="5" max="5" width="15.7109375" style="104" customWidth="1"/>
    <col min="6" max="6" width="13.85546875" style="165" customWidth="1"/>
    <col min="7" max="7" width="15.7109375" style="104" customWidth="1"/>
    <col min="8" max="8" width="22.85546875" style="104" customWidth="1"/>
    <col min="9" max="10" width="23" style="104" customWidth="1"/>
    <col min="11" max="11" width="22.28515625" style="104" customWidth="1"/>
    <col min="12" max="12" width="25.28515625" style="104" customWidth="1"/>
    <col min="13" max="13" width="23" style="104" customWidth="1"/>
    <col min="14" max="14" width="23.5703125" style="104" customWidth="1"/>
    <col min="15" max="15" width="21" style="104" customWidth="1"/>
    <col min="16" max="16" width="12.42578125" style="104" customWidth="1"/>
    <col min="17" max="16384" width="8.85546875" style="104"/>
  </cols>
  <sheetData>
    <row r="1" spans="1:16" ht="13.5" thickBot="1">
      <c r="C1" s="105"/>
      <c r="D1" s="106"/>
      <c r="E1" s="106"/>
      <c r="F1" s="107"/>
      <c r="G1" s="107"/>
      <c r="H1" s="107"/>
      <c r="I1" s="107"/>
      <c r="J1" s="107"/>
      <c r="K1" s="107"/>
      <c r="L1" s="107"/>
    </row>
    <row r="2" spans="1:16" ht="9" customHeight="1">
      <c r="A2" s="108"/>
      <c r="B2" s="109"/>
      <c r="C2" s="109"/>
      <c r="D2" s="110"/>
      <c r="E2" s="110"/>
      <c r="F2" s="111"/>
      <c r="G2" s="111"/>
      <c r="H2" s="111"/>
      <c r="I2" s="112"/>
      <c r="J2" s="112"/>
      <c r="K2" s="112"/>
      <c r="L2" s="112"/>
      <c r="M2" s="108"/>
      <c r="N2" s="108"/>
      <c r="O2" s="108"/>
    </row>
    <row r="3" spans="1:16" ht="10.5" customHeight="1">
      <c r="B3" s="105"/>
      <c r="C3" s="105"/>
      <c r="D3" s="106"/>
      <c r="E3" s="106"/>
      <c r="F3" s="107"/>
      <c r="G3" s="107"/>
      <c r="H3" s="107"/>
      <c r="I3" s="113"/>
      <c r="J3" s="113"/>
      <c r="K3" s="113"/>
      <c r="L3" s="113"/>
    </row>
    <row r="4" spans="1:16" ht="30">
      <c r="A4" s="981" t="s">
        <v>1243</v>
      </c>
      <c r="B4" s="979"/>
      <c r="C4" s="979"/>
      <c r="D4" s="979"/>
      <c r="E4" s="979"/>
      <c r="F4" s="979"/>
      <c r="G4" s="979"/>
      <c r="H4" s="979"/>
      <c r="I4" s="979"/>
      <c r="J4" s="979"/>
      <c r="K4" s="979"/>
      <c r="L4" s="979"/>
      <c r="M4" s="979"/>
      <c r="N4" s="979"/>
      <c r="O4" s="979"/>
    </row>
    <row r="5" spans="1:16" s="114" customFormat="1" ht="38.25" customHeight="1">
      <c r="A5" s="982" t="s">
        <v>1184</v>
      </c>
      <c r="B5" s="983"/>
      <c r="C5" s="983"/>
      <c r="D5" s="983"/>
      <c r="E5" s="983"/>
      <c r="F5" s="983"/>
      <c r="G5" s="983"/>
      <c r="H5" s="983"/>
      <c r="I5" s="983"/>
      <c r="J5" s="983"/>
      <c r="K5" s="983"/>
      <c r="L5" s="983"/>
      <c r="M5" s="983"/>
      <c r="N5" s="983"/>
      <c r="O5" s="983"/>
      <c r="P5" s="104"/>
    </row>
    <row r="6" spans="1:16" ht="9" customHeight="1" thickBot="1">
      <c r="A6" s="115"/>
      <c r="B6" s="116"/>
      <c r="C6" s="116"/>
      <c r="D6" s="117"/>
      <c r="E6" s="117"/>
      <c r="F6" s="118"/>
      <c r="G6" s="118"/>
      <c r="H6" s="118"/>
      <c r="I6" s="119"/>
      <c r="J6" s="119"/>
      <c r="K6" s="119"/>
      <c r="L6" s="119"/>
      <c r="M6" s="115"/>
      <c r="N6" s="115"/>
      <c r="O6" s="115"/>
    </row>
    <row r="7" spans="1:16">
      <c r="G7" s="165"/>
    </row>
    <row r="8" spans="1:16" s="113" customFormat="1">
      <c r="A8" s="104"/>
      <c r="B8" s="104"/>
      <c r="C8" s="104"/>
      <c r="D8" s="104"/>
      <c r="E8" s="104"/>
      <c r="F8" s="165"/>
      <c r="G8" s="165"/>
      <c r="H8" s="104"/>
      <c r="I8" s="104"/>
      <c r="J8" s="104"/>
      <c r="K8" s="104"/>
      <c r="L8" s="104"/>
      <c r="M8" s="104"/>
      <c r="N8" s="104"/>
      <c r="O8" s="104"/>
    </row>
    <row r="9" spans="1:16" s="113" customFormat="1" ht="14.25">
      <c r="B9" s="120"/>
      <c r="C9" s="120"/>
      <c r="D9" s="121"/>
      <c r="E9" s="121"/>
      <c r="F9" s="121"/>
      <c r="G9" s="121"/>
      <c r="H9" s="121"/>
      <c r="I9" s="121"/>
      <c r="J9" s="121"/>
      <c r="K9" s="121"/>
      <c r="L9" s="121"/>
    </row>
    <row r="10" spans="1:16" s="113" customFormat="1" ht="14.25">
      <c r="F10" s="980" t="s">
        <v>3</v>
      </c>
      <c r="G10" s="980"/>
      <c r="H10" s="980"/>
      <c r="I10" s="980"/>
    </row>
    <row r="11" spans="1:16" s="113" customFormat="1" ht="14.25">
      <c r="G11" s="122" t="s">
        <v>4</v>
      </c>
      <c r="H11" s="113" t="s">
        <v>261</v>
      </c>
    </row>
    <row r="12" spans="1:16" s="113" customFormat="1" ht="14.25">
      <c r="F12" s="125"/>
      <c r="G12" s="126" t="s">
        <v>6</v>
      </c>
      <c r="H12" s="127" t="s">
        <v>7</v>
      </c>
      <c r="I12" s="127"/>
      <c r="K12" s="127"/>
      <c r="L12" s="128"/>
      <c r="M12" s="104"/>
      <c r="N12" s="104"/>
      <c r="O12" s="104"/>
    </row>
    <row r="13" spans="1:16" s="113" customFormat="1">
      <c r="F13" s="125"/>
      <c r="G13" s="123" t="s">
        <v>8</v>
      </c>
      <c r="H13" s="129">
        <v>80000</v>
      </c>
      <c r="I13" s="129"/>
      <c r="K13" s="129"/>
      <c r="L13" s="130"/>
      <c r="M13" s="104"/>
      <c r="N13" s="104"/>
      <c r="O13" s="104"/>
    </row>
    <row r="14" spans="1:16" s="113" customFormat="1">
      <c r="F14" s="125"/>
      <c r="G14" s="123" t="s">
        <v>9</v>
      </c>
      <c r="H14" s="113" t="s">
        <v>1244</v>
      </c>
      <c r="L14" s="130"/>
      <c r="M14" s="104"/>
      <c r="N14" s="104"/>
      <c r="O14" s="104"/>
    </row>
    <row r="15" spans="1:16" s="113" customFormat="1" ht="14.25">
      <c r="A15" s="128"/>
      <c r="B15" s="104"/>
      <c r="C15" s="104"/>
      <c r="D15" s="104"/>
      <c r="E15" s="104"/>
      <c r="F15" s="104"/>
      <c r="G15" s="123" t="s">
        <v>10</v>
      </c>
      <c r="H15" s="113" t="s">
        <v>128</v>
      </c>
      <c r="L15" s="130"/>
      <c r="M15" s="104"/>
      <c r="N15" s="104"/>
      <c r="O15" s="104"/>
    </row>
    <row r="16" spans="1:16" s="113" customFormat="1">
      <c r="A16" s="130"/>
      <c r="B16" s="104"/>
      <c r="C16" s="104"/>
      <c r="E16" s="104"/>
      <c r="F16" s="104"/>
      <c r="G16" s="123" t="s">
        <v>12</v>
      </c>
      <c r="H16" s="113" t="s">
        <v>1226</v>
      </c>
      <c r="L16" s="130"/>
      <c r="M16" s="104"/>
      <c r="N16" s="104"/>
      <c r="O16" s="104"/>
    </row>
    <row r="17" spans="1:16" s="113" customFormat="1">
      <c r="A17" s="130"/>
      <c r="B17" s="104"/>
      <c r="C17" s="104"/>
      <c r="D17" s="132"/>
      <c r="E17" s="133"/>
      <c r="F17" s="133"/>
      <c r="G17" s="123" t="s">
        <v>13</v>
      </c>
      <c r="H17" s="113" t="s">
        <v>14</v>
      </c>
    </row>
    <row r="18" spans="1:16" s="113" customFormat="1">
      <c r="F18" s="125"/>
      <c r="G18" s="123" t="s">
        <v>15</v>
      </c>
      <c r="H18" s="113" t="s">
        <v>1192</v>
      </c>
    </row>
    <row r="19" spans="1:16" s="113" customFormat="1">
      <c r="F19" s="125"/>
      <c r="G19" s="123" t="s">
        <v>16</v>
      </c>
      <c r="H19" s="113" t="s">
        <v>17</v>
      </c>
    </row>
    <row r="20" spans="1:16" s="113" customFormat="1" ht="14.25">
      <c r="C20" s="134"/>
      <c r="F20" s="135"/>
      <c r="G20" s="123" t="s">
        <v>19</v>
      </c>
      <c r="H20" s="113" t="s">
        <v>3313</v>
      </c>
      <c r="K20" s="124"/>
    </row>
    <row r="21" spans="1:16" s="113" customFormat="1" ht="14.25">
      <c r="D21" s="136"/>
      <c r="E21" s="136"/>
      <c r="F21" s="135"/>
      <c r="G21" s="123" t="s">
        <v>20</v>
      </c>
      <c r="H21" s="113" t="s">
        <v>1227</v>
      </c>
    </row>
    <row r="22" spans="1:16" s="113" customFormat="1" ht="14.25">
      <c r="D22" s="136"/>
      <c r="E22" s="136"/>
      <c r="F22" s="135"/>
      <c r="G22" s="123" t="s">
        <v>21</v>
      </c>
      <c r="H22" s="113" t="s">
        <v>1228</v>
      </c>
    </row>
    <row r="23" spans="1:16" s="113" customFormat="1" ht="15.75" customHeight="1">
      <c r="D23" s="136"/>
      <c r="E23" s="136"/>
      <c r="F23" s="135"/>
      <c r="G23" s="123" t="s">
        <v>22</v>
      </c>
      <c r="H23" s="113" t="s">
        <v>1229</v>
      </c>
    </row>
    <row r="24" spans="1:16" s="113" customFormat="1" ht="12.75" customHeight="1">
      <c r="D24" s="136"/>
      <c r="E24" s="136"/>
      <c r="F24" s="978"/>
      <c r="G24" s="979"/>
    </row>
    <row r="25" spans="1:16" s="113" customFormat="1" ht="12.75" customHeight="1">
      <c r="D25" s="136"/>
      <c r="E25" s="136"/>
      <c r="F25" s="135"/>
      <c r="H25" s="123"/>
    </row>
    <row r="26" spans="1:16" s="113" customFormat="1" ht="12.75" customHeight="1">
      <c r="D26" s="136"/>
      <c r="E26" s="136"/>
      <c r="F26" s="135"/>
      <c r="H26" s="123"/>
    </row>
    <row r="27" spans="1:16" s="113" customFormat="1" ht="15" thickBot="1">
      <c r="A27" s="1072" t="s">
        <v>23</v>
      </c>
      <c r="B27" s="996"/>
      <c r="C27" s="996"/>
      <c r="D27" s="996"/>
      <c r="E27" s="996"/>
      <c r="F27" s="996"/>
      <c r="G27" s="996"/>
      <c r="H27" s="996"/>
      <c r="I27" s="996"/>
      <c r="J27" s="996"/>
      <c r="K27" s="996"/>
      <c r="L27" s="996"/>
      <c r="M27" s="996"/>
      <c r="N27" s="996"/>
      <c r="O27" s="996"/>
      <c r="P27" s="104"/>
    </row>
    <row r="28" spans="1:16" s="113" customFormat="1" ht="14.25">
      <c r="A28" s="1065" t="s">
        <v>1238</v>
      </c>
      <c r="B28" s="1066"/>
      <c r="C28" s="1066"/>
      <c r="D28" s="1067"/>
      <c r="E28" s="1068" t="s">
        <v>1239</v>
      </c>
      <c r="F28" s="999"/>
      <c r="G28" s="999"/>
      <c r="H28" s="999"/>
      <c r="I28" s="999"/>
      <c r="J28" s="1069"/>
      <c r="K28" s="1065" t="s">
        <v>1240</v>
      </c>
      <c r="L28" s="999"/>
      <c r="M28" s="999"/>
      <c r="N28" s="999"/>
      <c r="O28" s="1069"/>
      <c r="P28" s="104"/>
    </row>
    <row r="29" spans="1:16" s="113" customFormat="1" ht="12.75" customHeight="1">
      <c r="A29" s="994" t="s">
        <v>160</v>
      </c>
      <c r="B29" s="1073"/>
      <c r="C29" s="1073"/>
      <c r="D29" s="322" t="s">
        <v>161</v>
      </c>
      <c r="E29" s="994" t="s">
        <v>160</v>
      </c>
      <c r="F29" s="979"/>
      <c r="G29" s="979"/>
      <c r="H29" s="979"/>
      <c r="I29" s="1078" t="s">
        <v>162</v>
      </c>
      <c r="J29" s="1075"/>
      <c r="K29" s="994" t="s">
        <v>160</v>
      </c>
      <c r="L29" s="979"/>
      <c r="M29" s="979"/>
      <c r="N29" s="1079" t="s">
        <v>162</v>
      </c>
      <c r="O29" s="1080"/>
    </row>
    <row r="30" spans="1:16" s="113" customFormat="1" ht="12.75" customHeight="1">
      <c r="A30" s="994" t="s">
        <v>43</v>
      </c>
      <c r="B30" s="1073"/>
      <c r="C30" s="1073"/>
      <c r="D30" s="323">
        <v>0</v>
      </c>
      <c r="E30" s="994" t="s">
        <v>43</v>
      </c>
      <c r="F30" s="979"/>
      <c r="G30" s="979"/>
      <c r="H30" s="979"/>
      <c r="I30" s="1074">
        <v>1152</v>
      </c>
      <c r="J30" s="1075"/>
      <c r="K30" s="994" t="s">
        <v>43</v>
      </c>
      <c r="L30" s="979"/>
      <c r="M30" s="979"/>
      <c r="N30" s="1076">
        <v>2304</v>
      </c>
      <c r="O30" s="1077"/>
      <c r="P30" s="131"/>
    </row>
    <row r="31" spans="1:16" s="113" customFormat="1" ht="12.75" customHeight="1">
      <c r="A31" s="994" t="s">
        <v>3469</v>
      </c>
      <c r="B31" s="1073"/>
      <c r="C31" s="1073"/>
      <c r="D31" s="322" t="s">
        <v>165</v>
      </c>
      <c r="E31" s="994" t="s">
        <v>3469</v>
      </c>
      <c r="F31" s="979"/>
      <c r="G31" s="979"/>
      <c r="H31" s="979"/>
      <c r="I31" s="1078" t="s">
        <v>239</v>
      </c>
      <c r="J31" s="1075"/>
      <c r="K31" s="994" t="s">
        <v>3469</v>
      </c>
      <c r="L31" s="1073"/>
      <c r="M31" s="1073"/>
      <c r="N31" s="1079" t="s">
        <v>240</v>
      </c>
      <c r="O31" s="1080"/>
    </row>
    <row r="32" spans="1:16" s="113" customFormat="1" ht="12.75" customHeight="1">
      <c r="A32" s="994" t="s">
        <v>3471</v>
      </c>
      <c r="B32" s="1073"/>
      <c r="C32" s="1073"/>
      <c r="D32" s="322" t="s">
        <v>78</v>
      </c>
      <c r="E32" s="994" t="s">
        <v>3480</v>
      </c>
      <c r="F32" s="1073"/>
      <c r="G32" s="1073"/>
      <c r="H32" s="1073"/>
      <c r="I32" s="1078" t="s">
        <v>49</v>
      </c>
      <c r="J32" s="1173"/>
      <c r="K32" s="994" t="s">
        <v>3481</v>
      </c>
      <c r="L32" s="1073"/>
      <c r="M32" s="1073"/>
      <c r="N32" s="1079" t="s">
        <v>241</v>
      </c>
      <c r="O32" s="1080"/>
    </row>
    <row r="33" spans="1:16" s="113" customFormat="1" ht="12.75" customHeight="1">
      <c r="A33" s="1368" t="s">
        <v>3470</v>
      </c>
      <c r="B33" s="1374"/>
      <c r="C33" s="1374"/>
      <c r="D33" s="656" t="s">
        <v>165</v>
      </c>
      <c r="E33" s="1368" t="s">
        <v>3470</v>
      </c>
      <c r="F33" s="1369"/>
      <c r="G33" s="1369"/>
      <c r="H33" s="1369"/>
      <c r="I33" s="1387" t="s">
        <v>165</v>
      </c>
      <c r="J33" s="1388"/>
      <c r="K33" s="1368" t="s">
        <v>3470</v>
      </c>
      <c r="L33" s="1374"/>
      <c r="M33" s="1374"/>
      <c r="N33" s="1383" t="s">
        <v>165</v>
      </c>
      <c r="O33" s="1384"/>
    </row>
    <row r="34" spans="1:16" s="113" customFormat="1" ht="12.75" customHeight="1">
      <c r="A34" s="1368" t="s">
        <v>3466</v>
      </c>
      <c r="B34" s="1374"/>
      <c r="C34" s="1374"/>
      <c r="D34" s="654" t="s">
        <v>3477</v>
      </c>
      <c r="E34" s="1368" t="s">
        <v>3466</v>
      </c>
      <c r="F34" s="1369"/>
      <c r="G34" s="1369"/>
      <c r="H34" s="1369"/>
      <c r="I34" s="1370" t="s">
        <v>3477</v>
      </c>
      <c r="J34" s="1371"/>
      <c r="K34" s="1368" t="s">
        <v>3466</v>
      </c>
      <c r="L34" s="1374"/>
      <c r="M34" s="1374"/>
      <c r="N34" s="1370" t="s">
        <v>3477</v>
      </c>
      <c r="O34" s="1371"/>
    </row>
    <row r="35" spans="1:16" s="113" customFormat="1" ht="12.75" customHeight="1">
      <c r="A35" s="1368" t="s">
        <v>3467</v>
      </c>
      <c r="B35" s="1374"/>
      <c r="C35" s="1374"/>
      <c r="D35" s="654" t="s">
        <v>3478</v>
      </c>
      <c r="E35" s="1368" t="s">
        <v>3467</v>
      </c>
      <c r="F35" s="1369"/>
      <c r="G35" s="1369"/>
      <c r="H35" s="1369"/>
      <c r="I35" s="1370" t="s">
        <v>3478</v>
      </c>
      <c r="J35" s="1371"/>
      <c r="K35" s="1368" t="s">
        <v>3467</v>
      </c>
      <c r="L35" s="1374"/>
      <c r="M35" s="1374"/>
      <c r="N35" s="1370" t="s">
        <v>3478</v>
      </c>
      <c r="O35" s="1371"/>
    </row>
    <row r="36" spans="1:16" s="113" customFormat="1" ht="12.75" customHeight="1" thickBot="1">
      <c r="A36" s="1364" t="s">
        <v>3468</v>
      </c>
      <c r="B36" s="1365"/>
      <c r="C36" s="1365"/>
      <c r="D36" s="655" t="s">
        <v>3479</v>
      </c>
      <c r="E36" s="1364" t="s">
        <v>3468</v>
      </c>
      <c r="F36" s="1381"/>
      <c r="G36" s="1381"/>
      <c r="H36" s="1381"/>
      <c r="I36" s="1366" t="s">
        <v>3479</v>
      </c>
      <c r="J36" s="1367"/>
      <c r="K36" s="1364" t="s">
        <v>3468</v>
      </c>
      <c r="L36" s="1365"/>
      <c r="M36" s="1365"/>
      <c r="N36" s="1366" t="s">
        <v>3479</v>
      </c>
      <c r="O36" s="1367"/>
    </row>
    <row r="37" spans="1:16" s="113" customFormat="1" ht="12.6" customHeight="1">
      <c r="D37" s="136"/>
      <c r="E37" s="136"/>
      <c r="F37" s="135"/>
      <c r="H37" s="123"/>
    </row>
    <row r="38" spans="1:16" s="113" customFormat="1" ht="12.75" customHeight="1">
      <c r="C38" s="140"/>
      <c r="D38" s="136"/>
      <c r="E38" s="136"/>
      <c r="F38" s="135"/>
      <c r="G38" s="135"/>
      <c r="H38" s="135"/>
      <c r="I38" s="653"/>
      <c r="J38" s="653"/>
      <c r="K38" s="653"/>
      <c r="L38" s="142"/>
    </row>
    <row r="39" spans="1:16" s="113" customFormat="1" ht="12.75" customHeight="1">
      <c r="A39" s="1087"/>
      <c r="B39" s="979"/>
      <c r="C39" s="979"/>
      <c r="D39" s="979"/>
      <c r="E39" s="136"/>
      <c r="F39" s="135"/>
      <c r="G39" s="135"/>
      <c r="H39" s="135"/>
      <c r="I39" s="653"/>
      <c r="J39" s="653"/>
      <c r="K39" s="653"/>
      <c r="L39" s="142"/>
    </row>
    <row r="40" spans="1:16" s="113" customFormat="1" ht="12.75" customHeight="1">
      <c r="A40" s="1073"/>
      <c r="B40" s="979"/>
      <c r="C40" s="979"/>
      <c r="E40" s="136"/>
      <c r="F40" s="135"/>
      <c r="G40" s="135"/>
      <c r="H40" s="135"/>
      <c r="I40" s="653"/>
      <c r="J40" s="653"/>
      <c r="K40" s="653"/>
      <c r="L40" s="142"/>
    </row>
    <row r="41" spans="1:16" s="113" customFormat="1" ht="12.75" customHeight="1" thickBot="1">
      <c r="A41" s="1073"/>
      <c r="B41" s="979"/>
      <c r="C41" s="979"/>
      <c r="E41" s="136"/>
      <c r="F41" s="135"/>
      <c r="G41" s="150"/>
      <c r="I41" s="150"/>
      <c r="J41" s="150"/>
      <c r="K41" s="150"/>
      <c r="L41" s="150"/>
    </row>
    <row r="42" spans="1:16" s="113" customFormat="1" ht="15.75" customHeight="1" thickBot="1">
      <c r="A42" s="1081"/>
      <c r="B42" s="996"/>
      <c r="C42" s="996"/>
      <c r="D42" s="505"/>
      <c r="F42" s="1007" t="s">
        <v>167</v>
      </c>
      <c r="G42" s="1089"/>
      <c r="H42" s="1008"/>
      <c r="I42" s="1009" t="s">
        <v>168</v>
      </c>
      <c r="J42" s="1002"/>
      <c r="K42" s="1002"/>
      <c r="L42" s="1002"/>
      <c r="M42" s="1002"/>
      <c r="N42" s="1002"/>
      <c r="O42" s="1003"/>
      <c r="P42" s="104"/>
    </row>
    <row r="43" spans="1:16" s="151" customFormat="1" ht="58.5" customHeight="1" thickBot="1">
      <c r="A43" s="82" t="s">
        <v>122</v>
      </c>
      <c r="B43" s="82" t="s">
        <v>169</v>
      </c>
      <c r="C43" s="506" t="s">
        <v>170</v>
      </c>
      <c r="D43" s="83" t="s">
        <v>171</v>
      </c>
      <c r="E43" s="83" t="s">
        <v>172</v>
      </c>
      <c r="F43" s="83" t="s">
        <v>173</v>
      </c>
      <c r="G43" s="82" t="s">
        <v>174</v>
      </c>
      <c r="H43" s="83" t="s">
        <v>175</v>
      </c>
      <c r="I43" s="82" t="s">
        <v>174</v>
      </c>
      <c r="J43" s="83" t="s">
        <v>176</v>
      </c>
      <c r="K43" s="82" t="s">
        <v>174</v>
      </c>
      <c r="L43" s="83" t="s">
        <v>177</v>
      </c>
      <c r="M43" s="82" t="s">
        <v>174</v>
      </c>
      <c r="N43" s="83" t="s">
        <v>178</v>
      </c>
      <c r="O43" s="82" t="s">
        <v>174</v>
      </c>
    </row>
    <row r="44" spans="1:16" s="155" customFormat="1" ht="29.25" customHeight="1" thickBot="1">
      <c r="A44" s="1092">
        <v>57</v>
      </c>
      <c r="B44" s="1092"/>
      <c r="C44" s="86" t="s">
        <v>1242</v>
      </c>
      <c r="D44" s="152" t="s">
        <v>1241</v>
      </c>
      <c r="E44" s="153">
        <v>18568.37</v>
      </c>
      <c r="F44" s="20">
        <f>SUM(E44,,E45)*(1-70%)</f>
        <v>5593.0110000000004</v>
      </c>
      <c r="G44" s="987">
        <f>F44*B44</f>
        <v>0</v>
      </c>
      <c r="H44" s="20">
        <f>F44*0.0832</f>
        <v>465.33851520000002</v>
      </c>
      <c r="I44" s="987">
        <f>H44*B44</f>
        <v>0</v>
      </c>
      <c r="J44" s="20">
        <f>F44*0.0313</f>
        <v>175.06124430000003</v>
      </c>
      <c r="K44" s="987">
        <f>J44*B44</f>
        <v>0</v>
      </c>
      <c r="L44" s="20">
        <f>F44*0.0256</f>
        <v>143.18108160000003</v>
      </c>
      <c r="M44" s="987">
        <f>L44*B44</f>
        <v>0</v>
      </c>
      <c r="N44" s="20">
        <f>F44*0.0213</f>
        <v>119.1311343</v>
      </c>
      <c r="O44" s="987">
        <f>N44*B44</f>
        <v>0</v>
      </c>
      <c r="P44" s="154"/>
    </row>
    <row r="45" spans="1:16" s="156" customFormat="1" ht="13.5" thickBot="1">
      <c r="A45" s="1093"/>
      <c r="B45" s="1093"/>
      <c r="C45" s="478" t="s">
        <v>179</v>
      </c>
      <c r="D45" s="479" t="s">
        <v>180</v>
      </c>
      <c r="E45" s="92">
        <v>75</v>
      </c>
      <c r="F45" s="93" t="s">
        <v>162</v>
      </c>
      <c r="G45" s="1091"/>
      <c r="H45" s="218" t="s">
        <v>162</v>
      </c>
      <c r="I45" s="1091"/>
      <c r="J45" s="218" t="s">
        <v>162</v>
      </c>
      <c r="K45" s="1091"/>
      <c r="L45" s="218" t="s">
        <v>162</v>
      </c>
      <c r="M45" s="1091"/>
      <c r="N45" s="218" t="s">
        <v>162</v>
      </c>
      <c r="O45" s="1091"/>
    </row>
    <row r="46" spans="1:16" s="156" customFormat="1" ht="13.5" thickBot="1">
      <c r="A46" s="94"/>
      <c r="B46" s="95"/>
      <c r="C46" s="96"/>
      <c r="D46" s="97"/>
      <c r="E46" s="98"/>
      <c r="F46" s="48"/>
      <c r="G46" s="41"/>
      <c r="H46" s="40"/>
      <c r="I46" s="41"/>
      <c r="J46" s="40"/>
      <c r="K46" s="42"/>
      <c r="L46" s="40"/>
      <c r="M46" s="41"/>
      <c r="N46" s="40"/>
      <c r="O46" s="42"/>
    </row>
    <row r="47" spans="1:16" s="155" customFormat="1" ht="29.25" customHeight="1" thickBot="1">
      <c r="A47" s="1092" t="s">
        <v>1236</v>
      </c>
      <c r="B47" s="1092"/>
      <c r="C47" s="86" t="s">
        <v>1242</v>
      </c>
      <c r="D47" s="152" t="s">
        <v>1241</v>
      </c>
      <c r="E47" s="153">
        <v>18568.37</v>
      </c>
      <c r="F47" s="20">
        <f>SUM(E47,,E48)*(1-70%)</f>
        <v>5593.0110000000004</v>
      </c>
      <c r="G47" s="987">
        <f>F47*B47</f>
        <v>0</v>
      </c>
      <c r="H47" s="20">
        <f>F47*0.0832+I30/12</f>
        <v>561.33851520000007</v>
      </c>
      <c r="I47" s="987">
        <f>H47*B47</f>
        <v>0</v>
      </c>
      <c r="J47" s="20">
        <f>F47*0.0313+I30/12</f>
        <v>271.0612443</v>
      </c>
      <c r="K47" s="987">
        <f>J47*B47</f>
        <v>0</v>
      </c>
      <c r="L47" s="20">
        <f>F47*0.0256+I30/12</f>
        <v>239.18108160000003</v>
      </c>
      <c r="M47" s="987">
        <f>L47*B47</f>
        <v>0</v>
      </c>
      <c r="N47" s="20">
        <f>F47*0.0213+I30/12</f>
        <v>215.13113429999999</v>
      </c>
      <c r="O47" s="987">
        <f>N47*B47</f>
        <v>0</v>
      </c>
      <c r="P47" s="154"/>
    </row>
    <row r="48" spans="1:16" s="156" customFormat="1" ht="13.5" thickBot="1">
      <c r="A48" s="1093"/>
      <c r="B48" s="1093"/>
      <c r="C48" s="478" t="s">
        <v>179</v>
      </c>
      <c r="D48" s="479" t="s">
        <v>180</v>
      </c>
      <c r="E48" s="92">
        <v>75</v>
      </c>
      <c r="F48" s="47" t="s">
        <v>162</v>
      </c>
      <c r="G48" s="1091"/>
      <c r="H48" s="36" t="s">
        <v>162</v>
      </c>
      <c r="I48" s="1091"/>
      <c r="J48" s="36" t="s">
        <v>162</v>
      </c>
      <c r="K48" s="1091"/>
      <c r="L48" s="36" t="s">
        <v>162</v>
      </c>
      <c r="M48" s="1091"/>
      <c r="N48" s="36" t="s">
        <v>162</v>
      </c>
      <c r="O48" s="1091"/>
    </row>
    <row r="49" spans="1:16" s="156" customFormat="1" ht="13.5" thickBot="1">
      <c r="A49" s="94"/>
      <c r="B49" s="95"/>
      <c r="C49" s="96"/>
      <c r="D49" s="97"/>
      <c r="E49" s="98"/>
      <c r="F49" s="48"/>
      <c r="G49" s="41"/>
      <c r="H49" s="40"/>
      <c r="I49" s="41"/>
      <c r="J49" s="40"/>
      <c r="K49" s="42"/>
      <c r="L49" s="40"/>
      <c r="M49" s="41"/>
      <c r="N49" s="40"/>
      <c r="O49" s="42"/>
    </row>
    <row r="50" spans="1:16" s="155" customFormat="1" ht="29.25" customHeight="1" thickBot="1">
      <c r="A50" s="1092" t="s">
        <v>1237</v>
      </c>
      <c r="B50" s="1092"/>
      <c r="C50" s="86" t="s">
        <v>1242</v>
      </c>
      <c r="D50" s="152" t="s">
        <v>1241</v>
      </c>
      <c r="E50" s="153">
        <v>18568.37</v>
      </c>
      <c r="F50" s="20">
        <f>SUM(E50,,E51)*(1-70%)</f>
        <v>5593.0110000000004</v>
      </c>
      <c r="G50" s="987">
        <f>F50*B50</f>
        <v>0</v>
      </c>
      <c r="H50" s="20">
        <f>F50*0.0832+N30/12</f>
        <v>657.33851520000007</v>
      </c>
      <c r="I50" s="987">
        <f>H50*B50</f>
        <v>0</v>
      </c>
      <c r="J50" s="20">
        <f>F50*0.0313+N30/12</f>
        <v>367.0612443</v>
      </c>
      <c r="K50" s="987">
        <f>J50*B50</f>
        <v>0</v>
      </c>
      <c r="L50" s="20">
        <f>F50*0.0256+N30/12</f>
        <v>335.18108160000003</v>
      </c>
      <c r="M50" s="987">
        <f>L50*B50</f>
        <v>0</v>
      </c>
      <c r="N50" s="20">
        <f>F50*0.0213+N30/12</f>
        <v>311.13113429999999</v>
      </c>
      <c r="O50" s="987">
        <f>N50*B50</f>
        <v>0</v>
      </c>
      <c r="P50" s="154"/>
    </row>
    <row r="51" spans="1:16" s="156" customFormat="1" ht="13.5" thickBot="1">
      <c r="A51" s="1097"/>
      <c r="B51" s="1097"/>
      <c r="C51" s="478" t="s">
        <v>179</v>
      </c>
      <c r="D51" s="479" t="s">
        <v>180</v>
      </c>
      <c r="E51" s="92">
        <v>75</v>
      </c>
      <c r="F51" s="93" t="s">
        <v>162</v>
      </c>
      <c r="G51" s="1090"/>
      <c r="H51" s="509" t="s">
        <v>162</v>
      </c>
      <c r="I51" s="1090"/>
      <c r="J51" s="509" t="s">
        <v>162</v>
      </c>
      <c r="K51" s="1090"/>
      <c r="L51" s="509" t="s">
        <v>162</v>
      </c>
      <c r="M51" s="1090"/>
      <c r="N51" s="509" t="s">
        <v>162</v>
      </c>
      <c r="O51" s="1090"/>
    </row>
    <row r="52" spans="1:16" s="156" customFormat="1" ht="13.5" customHeight="1" thickBot="1">
      <c r="A52" s="1001" t="s">
        <v>182</v>
      </c>
      <c r="B52" s="1002"/>
      <c r="C52" s="1002"/>
      <c r="D52" s="1002"/>
      <c r="E52" s="1002"/>
      <c r="F52" s="1002"/>
      <c r="G52" s="1002"/>
      <c r="H52" s="1002"/>
      <c r="I52" s="1002"/>
      <c r="J52" s="1002"/>
      <c r="K52" s="1002"/>
      <c r="L52" s="1002"/>
      <c r="M52" s="1002"/>
      <c r="N52" s="1002"/>
      <c r="O52" s="1003"/>
    </row>
    <row r="53" spans="1:16" s="151" customFormat="1" ht="22.5" customHeight="1" thickBot="1">
      <c r="A53" s="1094"/>
      <c r="B53" s="370"/>
      <c r="C53" s="158" t="s">
        <v>3341</v>
      </c>
      <c r="D53" s="371" t="s">
        <v>3315</v>
      </c>
      <c r="E53" s="372">
        <v>1108</v>
      </c>
      <c r="F53" s="23">
        <f t="shared" ref="F53:F78" si="0">E53*(1-40%)</f>
        <v>664.8</v>
      </c>
      <c r="G53" s="4">
        <f t="shared" ref="G53:G78" si="1">F53*B53</f>
        <v>0</v>
      </c>
      <c r="H53" s="4">
        <f t="shared" ref="H53:H78" si="2">F53*0.0832</f>
        <v>55.311359999999993</v>
      </c>
      <c r="I53" s="4">
        <f t="shared" ref="I53:I78" si="3">H53*B53</f>
        <v>0</v>
      </c>
      <c r="J53" s="4">
        <f t="shared" ref="J53:J78" si="4">F53*0.0313</f>
        <v>20.808239999999998</v>
      </c>
      <c r="K53" s="4">
        <f t="shared" ref="K53:K78" si="5">J53*B53</f>
        <v>0</v>
      </c>
      <c r="L53" s="4">
        <f t="shared" ref="L53:L78" si="6">F53*0.0256</f>
        <v>17.018879999999999</v>
      </c>
      <c r="M53" s="4">
        <f t="shared" ref="M53:M78" si="7">L53*B53</f>
        <v>0</v>
      </c>
      <c r="N53" s="4">
        <f t="shared" ref="N53:N78" si="8">F53*0.0213</f>
        <v>14.160239999999998</v>
      </c>
      <c r="O53" s="4">
        <f t="shared" ref="O53:O78" si="9">N53*B53</f>
        <v>0</v>
      </c>
    </row>
    <row r="54" spans="1:16" s="151" customFormat="1" ht="22.5" customHeight="1" thickBot="1">
      <c r="A54" s="1095"/>
      <c r="B54" s="370"/>
      <c r="C54" s="158" t="s">
        <v>3342</v>
      </c>
      <c r="D54" s="371" t="s">
        <v>3316</v>
      </c>
      <c r="E54" s="372">
        <v>2258</v>
      </c>
      <c r="F54" s="23">
        <f t="shared" si="0"/>
        <v>1354.8</v>
      </c>
      <c r="G54" s="6">
        <f t="shared" si="1"/>
        <v>0</v>
      </c>
      <c r="H54" s="4">
        <f t="shared" si="2"/>
        <v>112.71935999999999</v>
      </c>
      <c r="I54" s="4">
        <f t="shared" si="3"/>
        <v>0</v>
      </c>
      <c r="J54" s="4">
        <f t="shared" si="4"/>
        <v>42.405239999999999</v>
      </c>
      <c r="K54" s="4">
        <f t="shared" si="5"/>
        <v>0</v>
      </c>
      <c r="L54" s="4">
        <f t="shared" si="6"/>
        <v>34.682879999999997</v>
      </c>
      <c r="M54" s="4">
        <f t="shared" si="7"/>
        <v>0</v>
      </c>
      <c r="N54" s="4">
        <f t="shared" si="8"/>
        <v>28.857239999999997</v>
      </c>
      <c r="O54" s="4">
        <f t="shared" si="9"/>
        <v>0</v>
      </c>
    </row>
    <row r="55" spans="1:16" s="151" customFormat="1" ht="22.5" customHeight="1" thickBot="1">
      <c r="A55" s="1095"/>
      <c r="B55" s="370"/>
      <c r="C55" s="158" t="s">
        <v>3343</v>
      </c>
      <c r="D55" s="371" t="s">
        <v>3317</v>
      </c>
      <c r="E55" s="372">
        <v>3750</v>
      </c>
      <c r="F55" s="23">
        <f t="shared" si="0"/>
        <v>2250</v>
      </c>
      <c r="G55" s="6">
        <f t="shared" si="1"/>
        <v>0</v>
      </c>
      <c r="H55" s="4">
        <f t="shared" si="2"/>
        <v>187.2</v>
      </c>
      <c r="I55" s="4">
        <f t="shared" si="3"/>
        <v>0</v>
      </c>
      <c r="J55" s="4">
        <f t="shared" si="4"/>
        <v>70.424999999999997</v>
      </c>
      <c r="K55" s="4">
        <f t="shared" si="5"/>
        <v>0</v>
      </c>
      <c r="L55" s="4">
        <f t="shared" si="6"/>
        <v>57.6</v>
      </c>
      <c r="M55" s="4">
        <f t="shared" si="7"/>
        <v>0</v>
      </c>
      <c r="N55" s="4">
        <f t="shared" si="8"/>
        <v>47.924999999999997</v>
      </c>
      <c r="O55" s="4">
        <f t="shared" si="9"/>
        <v>0</v>
      </c>
    </row>
    <row r="56" spans="1:16" s="151" customFormat="1" ht="22.5" customHeight="1" thickBot="1">
      <c r="A56" s="1095"/>
      <c r="B56" s="370"/>
      <c r="C56" s="158" t="s">
        <v>3344</v>
      </c>
      <c r="D56" s="371" t="s">
        <v>3318</v>
      </c>
      <c r="E56" s="372">
        <v>5241</v>
      </c>
      <c r="F56" s="23">
        <f t="shared" si="0"/>
        <v>3144.6</v>
      </c>
      <c r="G56" s="6">
        <f t="shared" si="1"/>
        <v>0</v>
      </c>
      <c r="H56" s="4">
        <f t="shared" si="2"/>
        <v>261.63072</v>
      </c>
      <c r="I56" s="4">
        <f t="shared" si="3"/>
        <v>0</v>
      </c>
      <c r="J56" s="4">
        <f t="shared" si="4"/>
        <v>98.425979999999996</v>
      </c>
      <c r="K56" s="4">
        <f t="shared" si="5"/>
        <v>0</v>
      </c>
      <c r="L56" s="4">
        <f t="shared" si="6"/>
        <v>80.501760000000004</v>
      </c>
      <c r="M56" s="4">
        <f t="shared" si="7"/>
        <v>0</v>
      </c>
      <c r="N56" s="4">
        <f t="shared" si="8"/>
        <v>66.979979999999998</v>
      </c>
      <c r="O56" s="4">
        <f t="shared" si="9"/>
        <v>0</v>
      </c>
    </row>
    <row r="57" spans="1:16" s="151" customFormat="1" ht="22.5" customHeight="1" thickBot="1">
      <c r="A57" s="1095"/>
      <c r="B57" s="370"/>
      <c r="C57" s="158" t="s">
        <v>3345</v>
      </c>
      <c r="D57" s="371" t="s">
        <v>3319</v>
      </c>
      <c r="E57" s="372">
        <v>5250.5375999999997</v>
      </c>
      <c r="F57" s="23">
        <f t="shared" si="0"/>
        <v>3150.3225599999996</v>
      </c>
      <c r="G57" s="6">
        <f t="shared" si="1"/>
        <v>0</v>
      </c>
      <c r="H57" s="4">
        <f t="shared" si="2"/>
        <v>262.10683699199996</v>
      </c>
      <c r="I57" s="4">
        <f t="shared" si="3"/>
        <v>0</v>
      </c>
      <c r="J57" s="4">
        <f t="shared" si="4"/>
        <v>98.605096127999985</v>
      </c>
      <c r="K57" s="4">
        <f t="shared" si="5"/>
        <v>0</v>
      </c>
      <c r="L57" s="4">
        <f t="shared" si="6"/>
        <v>80.648257535999988</v>
      </c>
      <c r="M57" s="4">
        <f t="shared" si="7"/>
        <v>0</v>
      </c>
      <c r="N57" s="4">
        <f t="shared" si="8"/>
        <v>67.101870527999992</v>
      </c>
      <c r="O57" s="4">
        <f t="shared" si="9"/>
        <v>0</v>
      </c>
    </row>
    <row r="58" spans="1:16" s="151" customFormat="1" ht="22.5" customHeight="1" thickBot="1">
      <c r="A58" s="1095"/>
      <c r="B58" s="370"/>
      <c r="C58" s="158" t="s">
        <v>3346</v>
      </c>
      <c r="D58" s="371" t="s">
        <v>3320</v>
      </c>
      <c r="E58" s="372">
        <v>1825.0255999999999</v>
      </c>
      <c r="F58" s="23">
        <f t="shared" si="0"/>
        <v>1095.0153599999999</v>
      </c>
      <c r="G58" s="6">
        <f t="shared" si="1"/>
        <v>0</v>
      </c>
      <c r="H58" s="4">
        <f t="shared" si="2"/>
        <v>91.10527795199998</v>
      </c>
      <c r="I58" s="4">
        <f t="shared" si="3"/>
        <v>0</v>
      </c>
      <c r="J58" s="4">
        <f t="shared" si="4"/>
        <v>34.273980767999994</v>
      </c>
      <c r="K58" s="4">
        <f t="shared" si="5"/>
        <v>0</v>
      </c>
      <c r="L58" s="4">
        <f t="shared" si="6"/>
        <v>28.032393215999999</v>
      </c>
      <c r="M58" s="4">
        <f t="shared" si="7"/>
        <v>0</v>
      </c>
      <c r="N58" s="4">
        <f t="shared" si="8"/>
        <v>23.323827167999998</v>
      </c>
      <c r="O58" s="4">
        <f t="shared" si="9"/>
        <v>0</v>
      </c>
    </row>
    <row r="59" spans="1:16" s="151" customFormat="1" ht="22.5" customHeight="1" thickBot="1">
      <c r="A59" s="1095"/>
      <c r="B59" s="370"/>
      <c r="C59" s="158" t="s">
        <v>3347</v>
      </c>
      <c r="D59" s="371" t="s">
        <v>3321</v>
      </c>
      <c r="E59" s="372">
        <v>471.62500000000011</v>
      </c>
      <c r="F59" s="23">
        <f t="shared" si="0"/>
        <v>282.97500000000008</v>
      </c>
      <c r="G59" s="6">
        <f t="shared" si="1"/>
        <v>0</v>
      </c>
      <c r="H59" s="4">
        <f t="shared" si="2"/>
        <v>23.543520000000004</v>
      </c>
      <c r="I59" s="4">
        <f t="shared" si="3"/>
        <v>0</v>
      </c>
      <c r="J59" s="4">
        <f t="shared" si="4"/>
        <v>8.8571175000000029</v>
      </c>
      <c r="K59" s="4">
        <f t="shared" si="5"/>
        <v>0</v>
      </c>
      <c r="L59" s="4">
        <f t="shared" si="6"/>
        <v>7.2441600000000026</v>
      </c>
      <c r="M59" s="4">
        <f t="shared" si="7"/>
        <v>0</v>
      </c>
      <c r="N59" s="4">
        <f t="shared" si="8"/>
        <v>6.0273675000000013</v>
      </c>
      <c r="O59" s="4">
        <f t="shared" si="9"/>
        <v>0</v>
      </c>
    </row>
    <row r="60" spans="1:16" s="162" customFormat="1" ht="22.5" customHeight="1" thickBot="1">
      <c r="A60" s="1095"/>
      <c r="B60" s="510"/>
      <c r="C60" s="158" t="s">
        <v>3348</v>
      </c>
      <c r="D60" s="371" t="s">
        <v>3322</v>
      </c>
      <c r="E60" s="372">
        <v>44.73</v>
      </c>
      <c r="F60" s="23">
        <f t="shared" si="0"/>
        <v>26.837999999999997</v>
      </c>
      <c r="G60" s="6">
        <f t="shared" si="1"/>
        <v>0</v>
      </c>
      <c r="H60" s="4">
        <f t="shared" si="2"/>
        <v>2.2329215999999996</v>
      </c>
      <c r="I60" s="4">
        <f t="shared" si="3"/>
        <v>0</v>
      </c>
      <c r="J60" s="4">
        <f t="shared" si="4"/>
        <v>0.84002939999999993</v>
      </c>
      <c r="K60" s="4">
        <f t="shared" si="5"/>
        <v>0</v>
      </c>
      <c r="L60" s="4">
        <f t="shared" si="6"/>
        <v>0.68705280000000002</v>
      </c>
      <c r="M60" s="4">
        <f t="shared" si="7"/>
        <v>0</v>
      </c>
      <c r="N60" s="4">
        <f t="shared" si="8"/>
        <v>0.57164939999999997</v>
      </c>
      <c r="O60" s="4">
        <f t="shared" si="9"/>
        <v>0</v>
      </c>
    </row>
    <row r="61" spans="1:16" s="156" customFormat="1" ht="22.5" customHeight="1" thickBot="1">
      <c r="A61" s="1095"/>
      <c r="B61" s="467"/>
      <c r="C61" s="158" t="s">
        <v>907</v>
      </c>
      <c r="D61" s="371" t="s">
        <v>3323</v>
      </c>
      <c r="E61" s="372">
        <v>135.49</v>
      </c>
      <c r="F61" s="23">
        <f t="shared" si="0"/>
        <v>81.293999999999997</v>
      </c>
      <c r="G61" s="6">
        <f t="shared" si="1"/>
        <v>0</v>
      </c>
      <c r="H61" s="4">
        <f t="shared" si="2"/>
        <v>6.7636607999999994</v>
      </c>
      <c r="I61" s="4">
        <f t="shared" si="3"/>
        <v>0</v>
      </c>
      <c r="J61" s="4">
        <f t="shared" si="4"/>
        <v>2.5445022000000002</v>
      </c>
      <c r="K61" s="4">
        <f t="shared" si="5"/>
        <v>0</v>
      </c>
      <c r="L61" s="4">
        <f t="shared" si="6"/>
        <v>2.0811264</v>
      </c>
      <c r="M61" s="4">
        <f t="shared" si="7"/>
        <v>0</v>
      </c>
      <c r="N61" s="4">
        <f t="shared" si="8"/>
        <v>1.7315621999999999</v>
      </c>
      <c r="O61" s="4">
        <f t="shared" si="9"/>
        <v>0</v>
      </c>
    </row>
    <row r="62" spans="1:16" s="156" customFormat="1" ht="22.5" customHeight="1" thickBot="1">
      <c r="A62" s="1095"/>
      <c r="B62" s="467"/>
      <c r="C62" s="511" t="s">
        <v>908</v>
      </c>
      <c r="D62" s="371" t="s">
        <v>3324</v>
      </c>
      <c r="E62" s="372">
        <v>147.91999999999999</v>
      </c>
      <c r="F62" s="23">
        <f t="shared" si="0"/>
        <v>88.751999999999995</v>
      </c>
      <c r="G62" s="6">
        <f t="shared" si="1"/>
        <v>0</v>
      </c>
      <c r="H62" s="4">
        <f t="shared" si="2"/>
        <v>7.3841663999999989</v>
      </c>
      <c r="I62" s="4">
        <f t="shared" si="3"/>
        <v>0</v>
      </c>
      <c r="J62" s="4">
        <f t="shared" si="4"/>
        <v>2.7779376</v>
      </c>
      <c r="K62" s="4">
        <f t="shared" si="5"/>
        <v>0</v>
      </c>
      <c r="L62" s="4">
        <f t="shared" si="6"/>
        <v>2.2720511999999999</v>
      </c>
      <c r="M62" s="4">
        <f t="shared" si="7"/>
        <v>0</v>
      </c>
      <c r="N62" s="4">
        <f t="shared" si="8"/>
        <v>1.8904175999999999</v>
      </c>
      <c r="O62" s="4">
        <f t="shared" si="9"/>
        <v>0</v>
      </c>
    </row>
    <row r="63" spans="1:16" s="274" customFormat="1" ht="22.5" customHeight="1" thickBot="1">
      <c r="A63" s="1095"/>
      <c r="B63" s="467"/>
      <c r="C63" s="158" t="s">
        <v>3349</v>
      </c>
      <c r="D63" s="371" t="s">
        <v>3325</v>
      </c>
      <c r="E63" s="372">
        <v>482.9</v>
      </c>
      <c r="F63" s="23">
        <f t="shared" si="0"/>
        <v>289.73999999999995</v>
      </c>
      <c r="G63" s="6">
        <f t="shared" si="1"/>
        <v>0</v>
      </c>
      <c r="H63" s="4">
        <f t="shared" si="2"/>
        <v>24.106367999999996</v>
      </c>
      <c r="I63" s="4">
        <f t="shared" si="3"/>
        <v>0</v>
      </c>
      <c r="J63" s="4">
        <f t="shared" si="4"/>
        <v>9.0688619999999993</v>
      </c>
      <c r="K63" s="4">
        <f t="shared" si="5"/>
        <v>0</v>
      </c>
      <c r="L63" s="4">
        <f t="shared" si="6"/>
        <v>7.417343999999999</v>
      </c>
      <c r="M63" s="4">
        <f t="shared" si="7"/>
        <v>0</v>
      </c>
      <c r="N63" s="4">
        <f t="shared" si="8"/>
        <v>6.1714619999999991</v>
      </c>
      <c r="O63" s="4">
        <f t="shared" si="9"/>
        <v>0</v>
      </c>
    </row>
    <row r="64" spans="1:16" s="156" customFormat="1" ht="22.5" customHeight="1" thickBot="1">
      <c r="A64" s="1095"/>
      <c r="B64" s="467"/>
      <c r="C64" s="158" t="s">
        <v>3350</v>
      </c>
      <c r="D64" s="371" t="s">
        <v>3326</v>
      </c>
      <c r="E64" s="372">
        <v>542.53</v>
      </c>
      <c r="F64" s="23">
        <f t="shared" si="0"/>
        <v>325.51799999999997</v>
      </c>
      <c r="G64" s="6">
        <f t="shared" si="1"/>
        <v>0</v>
      </c>
      <c r="H64" s="4">
        <f t="shared" si="2"/>
        <v>27.083097599999995</v>
      </c>
      <c r="I64" s="4">
        <f t="shared" si="3"/>
        <v>0</v>
      </c>
      <c r="J64" s="4">
        <f t="shared" si="4"/>
        <v>10.188713399999999</v>
      </c>
      <c r="K64" s="4">
        <f t="shared" si="5"/>
        <v>0</v>
      </c>
      <c r="L64" s="4">
        <f t="shared" si="6"/>
        <v>8.3332607999999997</v>
      </c>
      <c r="M64" s="4">
        <f t="shared" si="7"/>
        <v>0</v>
      </c>
      <c r="N64" s="4">
        <f t="shared" si="8"/>
        <v>6.9335333999999991</v>
      </c>
      <c r="O64" s="4">
        <f t="shared" si="9"/>
        <v>0</v>
      </c>
    </row>
    <row r="65" spans="1:15" s="151" customFormat="1" ht="22.5" customHeight="1" thickBot="1">
      <c r="A65" s="1095"/>
      <c r="B65" s="370"/>
      <c r="C65" s="158" t="s">
        <v>3351</v>
      </c>
      <c r="D65" s="371" t="s">
        <v>3327</v>
      </c>
      <c r="E65" s="372">
        <v>371.67</v>
      </c>
      <c r="F65" s="23">
        <f t="shared" ref="F65:F74" si="10">E65*(1-40%)</f>
        <v>223.00200000000001</v>
      </c>
      <c r="G65" s="6">
        <f t="shared" ref="G65:G74" si="11">F65*B65</f>
        <v>0</v>
      </c>
      <c r="H65" s="4">
        <f t="shared" si="2"/>
        <v>18.553766400000001</v>
      </c>
      <c r="I65" s="4">
        <f t="shared" ref="I65:I74" si="12">H65*B65</f>
        <v>0</v>
      </c>
      <c r="J65" s="4">
        <f t="shared" si="4"/>
        <v>6.9799626000000004</v>
      </c>
      <c r="K65" s="4">
        <f t="shared" ref="K65:K74" si="13">J65*B65</f>
        <v>0</v>
      </c>
      <c r="L65" s="4">
        <f t="shared" si="6"/>
        <v>5.7088512000000007</v>
      </c>
      <c r="M65" s="4">
        <f t="shared" ref="M65:M74" si="14">L65*B65</f>
        <v>0</v>
      </c>
      <c r="N65" s="4">
        <f t="shared" si="8"/>
        <v>4.7499425999999998</v>
      </c>
      <c r="O65" s="4">
        <f t="shared" ref="O65:O74" si="15">N65*B65</f>
        <v>0</v>
      </c>
    </row>
    <row r="66" spans="1:15" s="151" customFormat="1" ht="22.5" customHeight="1" thickBot="1">
      <c r="A66" s="1095"/>
      <c r="B66" s="370"/>
      <c r="C66" s="158" t="s">
        <v>3352</v>
      </c>
      <c r="D66" s="371" t="s">
        <v>3328</v>
      </c>
      <c r="E66" s="372">
        <v>147.91999999999999</v>
      </c>
      <c r="F66" s="23">
        <f t="shared" si="10"/>
        <v>88.751999999999995</v>
      </c>
      <c r="G66" s="6">
        <f t="shared" si="11"/>
        <v>0</v>
      </c>
      <c r="H66" s="4">
        <f t="shared" si="2"/>
        <v>7.3841663999999989</v>
      </c>
      <c r="I66" s="4">
        <f t="shared" si="12"/>
        <v>0</v>
      </c>
      <c r="J66" s="4">
        <f t="shared" si="4"/>
        <v>2.7779376</v>
      </c>
      <c r="K66" s="4">
        <f t="shared" si="13"/>
        <v>0</v>
      </c>
      <c r="L66" s="4">
        <f t="shared" si="6"/>
        <v>2.2720511999999999</v>
      </c>
      <c r="M66" s="4">
        <f t="shared" si="14"/>
        <v>0</v>
      </c>
      <c r="N66" s="4">
        <f t="shared" si="8"/>
        <v>1.8904175999999999</v>
      </c>
      <c r="O66" s="4">
        <f t="shared" si="15"/>
        <v>0</v>
      </c>
    </row>
    <row r="67" spans="1:15" s="151" customFormat="1" ht="22.5" customHeight="1" thickBot="1">
      <c r="A67" s="1095"/>
      <c r="B67" s="370"/>
      <c r="C67" s="158" t="s">
        <v>3353</v>
      </c>
      <c r="D67" s="371" t="s">
        <v>3329</v>
      </c>
      <c r="E67" s="372">
        <v>247.37</v>
      </c>
      <c r="F67" s="23">
        <f t="shared" si="10"/>
        <v>148.422</v>
      </c>
      <c r="G67" s="6">
        <f t="shared" si="11"/>
        <v>0</v>
      </c>
      <c r="H67" s="4">
        <f t="shared" si="2"/>
        <v>12.3487104</v>
      </c>
      <c r="I67" s="4">
        <f t="shared" si="12"/>
        <v>0</v>
      </c>
      <c r="J67" s="4">
        <f t="shared" si="4"/>
        <v>4.6456086000000001</v>
      </c>
      <c r="K67" s="4">
        <f t="shared" si="13"/>
        <v>0</v>
      </c>
      <c r="L67" s="4">
        <f t="shared" si="6"/>
        <v>3.7996032</v>
      </c>
      <c r="M67" s="4">
        <f t="shared" si="14"/>
        <v>0</v>
      </c>
      <c r="N67" s="4">
        <f t="shared" si="8"/>
        <v>3.1613886</v>
      </c>
      <c r="O67" s="4">
        <f t="shared" si="15"/>
        <v>0</v>
      </c>
    </row>
    <row r="68" spans="1:15" s="151" customFormat="1" ht="22.5" customHeight="1" thickBot="1">
      <c r="A68" s="1095"/>
      <c r="B68" s="370"/>
      <c r="C68" s="158" t="s">
        <v>3354</v>
      </c>
      <c r="D68" s="371" t="s">
        <v>3330</v>
      </c>
      <c r="E68" s="372">
        <v>616.82000000000005</v>
      </c>
      <c r="F68" s="23">
        <f t="shared" si="10"/>
        <v>370.09200000000004</v>
      </c>
      <c r="G68" s="6">
        <f t="shared" si="11"/>
        <v>0</v>
      </c>
      <c r="H68" s="4">
        <f t="shared" si="2"/>
        <v>30.791654400000002</v>
      </c>
      <c r="I68" s="4">
        <f t="shared" si="12"/>
        <v>0</v>
      </c>
      <c r="J68" s="4">
        <f t="shared" si="4"/>
        <v>11.583879600000001</v>
      </c>
      <c r="K68" s="4">
        <f t="shared" si="13"/>
        <v>0</v>
      </c>
      <c r="L68" s="4">
        <f t="shared" si="6"/>
        <v>9.4743552000000015</v>
      </c>
      <c r="M68" s="4">
        <f t="shared" si="14"/>
        <v>0</v>
      </c>
      <c r="N68" s="4">
        <f t="shared" si="8"/>
        <v>7.8829596000000004</v>
      </c>
      <c r="O68" s="4">
        <f t="shared" si="15"/>
        <v>0</v>
      </c>
    </row>
    <row r="69" spans="1:15" s="151" customFormat="1" ht="22.5" customHeight="1" thickBot="1">
      <c r="A69" s="1095"/>
      <c r="B69" s="370"/>
      <c r="C69" s="158" t="s">
        <v>3355</v>
      </c>
      <c r="D69" s="371" t="s">
        <v>3331</v>
      </c>
      <c r="E69" s="372">
        <v>82.97</v>
      </c>
      <c r="F69" s="23">
        <f t="shared" si="10"/>
        <v>49.781999999999996</v>
      </c>
      <c r="G69" s="6">
        <f t="shared" si="11"/>
        <v>0</v>
      </c>
      <c r="H69" s="4">
        <f t="shared" si="2"/>
        <v>4.1418623999999999</v>
      </c>
      <c r="I69" s="4">
        <f t="shared" si="12"/>
        <v>0</v>
      </c>
      <c r="J69" s="4">
        <f t="shared" si="4"/>
        <v>1.5581765999999999</v>
      </c>
      <c r="K69" s="4">
        <f t="shared" si="13"/>
        <v>0</v>
      </c>
      <c r="L69" s="4">
        <f t="shared" si="6"/>
        <v>1.2744191999999999</v>
      </c>
      <c r="M69" s="4">
        <f t="shared" si="14"/>
        <v>0</v>
      </c>
      <c r="N69" s="4">
        <f t="shared" si="8"/>
        <v>1.0603566</v>
      </c>
      <c r="O69" s="4">
        <f t="shared" si="15"/>
        <v>0</v>
      </c>
    </row>
    <row r="70" spans="1:15" s="162" customFormat="1" ht="22.5" customHeight="1" thickBot="1">
      <c r="A70" s="1095"/>
      <c r="B70" s="510"/>
      <c r="C70" s="158" t="s">
        <v>3356</v>
      </c>
      <c r="D70" s="371" t="s">
        <v>3332</v>
      </c>
      <c r="E70" s="372">
        <v>114.8</v>
      </c>
      <c r="F70" s="23">
        <f t="shared" si="10"/>
        <v>68.88</v>
      </c>
      <c r="G70" s="6">
        <f t="shared" si="11"/>
        <v>0</v>
      </c>
      <c r="H70" s="4">
        <f t="shared" si="2"/>
        <v>5.730815999999999</v>
      </c>
      <c r="I70" s="4">
        <f t="shared" si="12"/>
        <v>0</v>
      </c>
      <c r="J70" s="4">
        <f t="shared" si="4"/>
        <v>2.1559439999999999</v>
      </c>
      <c r="K70" s="4">
        <f t="shared" si="13"/>
        <v>0</v>
      </c>
      <c r="L70" s="4">
        <f t="shared" si="6"/>
        <v>1.763328</v>
      </c>
      <c r="M70" s="4">
        <f t="shared" si="14"/>
        <v>0</v>
      </c>
      <c r="N70" s="4">
        <f t="shared" si="8"/>
        <v>1.4671439999999998</v>
      </c>
      <c r="O70" s="4">
        <f t="shared" si="15"/>
        <v>0</v>
      </c>
    </row>
    <row r="71" spans="1:15" s="156" customFormat="1" ht="22.5" customHeight="1" thickBot="1">
      <c r="A71" s="1095"/>
      <c r="B71" s="467"/>
      <c r="C71" s="158" t="s">
        <v>3357</v>
      </c>
      <c r="D71" s="371" t="s">
        <v>3333</v>
      </c>
      <c r="E71" s="372">
        <v>114.8</v>
      </c>
      <c r="F71" s="23">
        <f t="shared" si="10"/>
        <v>68.88</v>
      </c>
      <c r="G71" s="6">
        <f t="shared" si="11"/>
        <v>0</v>
      </c>
      <c r="H71" s="4">
        <f t="shared" si="2"/>
        <v>5.730815999999999</v>
      </c>
      <c r="I71" s="4">
        <f t="shared" si="12"/>
        <v>0</v>
      </c>
      <c r="J71" s="4">
        <f t="shared" si="4"/>
        <v>2.1559439999999999</v>
      </c>
      <c r="K71" s="4">
        <f t="shared" si="13"/>
        <v>0</v>
      </c>
      <c r="L71" s="4">
        <f t="shared" si="6"/>
        <v>1.763328</v>
      </c>
      <c r="M71" s="4">
        <f t="shared" si="14"/>
        <v>0</v>
      </c>
      <c r="N71" s="4">
        <f t="shared" si="8"/>
        <v>1.4671439999999998</v>
      </c>
      <c r="O71" s="4">
        <f t="shared" si="15"/>
        <v>0</v>
      </c>
    </row>
    <row r="72" spans="1:15" s="156" customFormat="1" ht="22.5" customHeight="1" thickBot="1">
      <c r="A72" s="1095"/>
      <c r="B72" s="467"/>
      <c r="C72" s="511" t="s">
        <v>3358</v>
      </c>
      <c r="D72" s="371" t="s">
        <v>3334</v>
      </c>
      <c r="E72" s="372">
        <v>114.8</v>
      </c>
      <c r="F72" s="23">
        <f t="shared" si="10"/>
        <v>68.88</v>
      </c>
      <c r="G72" s="6">
        <f t="shared" si="11"/>
        <v>0</v>
      </c>
      <c r="H72" s="4">
        <f t="shared" si="2"/>
        <v>5.730815999999999</v>
      </c>
      <c r="I72" s="4">
        <f t="shared" si="12"/>
        <v>0</v>
      </c>
      <c r="J72" s="4">
        <f t="shared" si="4"/>
        <v>2.1559439999999999</v>
      </c>
      <c r="K72" s="4">
        <f t="shared" si="13"/>
        <v>0</v>
      </c>
      <c r="L72" s="4">
        <f t="shared" si="6"/>
        <v>1.763328</v>
      </c>
      <c r="M72" s="4">
        <f t="shared" si="14"/>
        <v>0</v>
      </c>
      <c r="N72" s="4">
        <f t="shared" si="8"/>
        <v>1.4671439999999998</v>
      </c>
      <c r="O72" s="4">
        <f t="shared" si="15"/>
        <v>0</v>
      </c>
    </row>
    <row r="73" spans="1:15" s="274" customFormat="1" ht="22.5" customHeight="1" thickBot="1">
      <c r="A73" s="1095"/>
      <c r="B73" s="467"/>
      <c r="C73" s="158" t="s">
        <v>3359</v>
      </c>
      <c r="D73" s="371" t="s">
        <v>3335</v>
      </c>
      <c r="E73" s="372">
        <v>69.849999999999994</v>
      </c>
      <c r="F73" s="23">
        <f t="shared" si="10"/>
        <v>41.91</v>
      </c>
      <c r="G73" s="6">
        <f t="shared" si="11"/>
        <v>0</v>
      </c>
      <c r="H73" s="4">
        <f t="shared" si="2"/>
        <v>3.4869119999999993</v>
      </c>
      <c r="I73" s="4">
        <f t="shared" si="12"/>
        <v>0</v>
      </c>
      <c r="J73" s="4">
        <f t="shared" si="4"/>
        <v>1.3117829999999999</v>
      </c>
      <c r="K73" s="4">
        <f t="shared" si="13"/>
        <v>0</v>
      </c>
      <c r="L73" s="4">
        <f t="shared" si="6"/>
        <v>1.0728960000000001</v>
      </c>
      <c r="M73" s="4">
        <f t="shared" si="14"/>
        <v>0</v>
      </c>
      <c r="N73" s="4">
        <f t="shared" si="8"/>
        <v>0.89268299999999989</v>
      </c>
      <c r="O73" s="4">
        <f t="shared" si="15"/>
        <v>0</v>
      </c>
    </row>
    <row r="74" spans="1:15" s="156" customFormat="1" ht="22.5" customHeight="1" thickBot="1">
      <c r="A74" s="1095"/>
      <c r="B74" s="467"/>
      <c r="C74" s="158" t="s">
        <v>3360</v>
      </c>
      <c r="D74" s="371" t="s">
        <v>3336</v>
      </c>
      <c r="E74" s="372">
        <v>386</v>
      </c>
      <c r="F74" s="23">
        <f t="shared" si="10"/>
        <v>231.6</v>
      </c>
      <c r="G74" s="6">
        <f t="shared" si="11"/>
        <v>0</v>
      </c>
      <c r="H74" s="4">
        <f t="shared" si="2"/>
        <v>19.269119999999997</v>
      </c>
      <c r="I74" s="4">
        <f t="shared" si="12"/>
        <v>0</v>
      </c>
      <c r="J74" s="4">
        <f t="shared" si="4"/>
        <v>7.2490800000000002</v>
      </c>
      <c r="K74" s="4">
        <f t="shared" si="13"/>
        <v>0</v>
      </c>
      <c r="L74" s="4">
        <f t="shared" si="6"/>
        <v>5.92896</v>
      </c>
      <c r="M74" s="4">
        <f t="shared" si="14"/>
        <v>0</v>
      </c>
      <c r="N74" s="4">
        <f t="shared" si="8"/>
        <v>4.9330799999999995</v>
      </c>
      <c r="O74" s="4">
        <f t="shared" si="15"/>
        <v>0</v>
      </c>
    </row>
    <row r="75" spans="1:15" s="162" customFormat="1" ht="22.5" customHeight="1" thickBot="1">
      <c r="A75" s="1095"/>
      <c r="B75" s="510"/>
      <c r="C75" s="158" t="s">
        <v>3361</v>
      </c>
      <c r="D75" s="371" t="s">
        <v>3337</v>
      </c>
      <c r="E75" s="372">
        <v>99</v>
      </c>
      <c r="F75" s="23">
        <f t="shared" si="0"/>
        <v>59.4</v>
      </c>
      <c r="G75" s="6">
        <f>F75*B75</f>
        <v>0</v>
      </c>
      <c r="H75" s="4">
        <f t="shared" si="2"/>
        <v>4.9420799999999998</v>
      </c>
      <c r="I75" s="4">
        <f t="shared" si="3"/>
        <v>0</v>
      </c>
      <c r="J75" s="4">
        <f t="shared" si="4"/>
        <v>1.8592200000000001</v>
      </c>
      <c r="K75" s="4">
        <f t="shared" si="5"/>
        <v>0</v>
      </c>
      <c r="L75" s="4">
        <f t="shared" si="6"/>
        <v>1.52064</v>
      </c>
      <c r="M75" s="4">
        <f t="shared" si="7"/>
        <v>0</v>
      </c>
      <c r="N75" s="4">
        <f t="shared" si="8"/>
        <v>1.26522</v>
      </c>
      <c r="O75" s="4">
        <f t="shared" si="9"/>
        <v>0</v>
      </c>
    </row>
    <row r="76" spans="1:15" s="502" customFormat="1" ht="22.5" customHeight="1" thickBot="1">
      <c r="A76" s="1095"/>
      <c r="B76" s="102"/>
      <c r="C76" s="90" t="s">
        <v>3362</v>
      </c>
      <c r="D76" s="235" t="s">
        <v>3338</v>
      </c>
      <c r="E76" s="518">
        <v>19</v>
      </c>
      <c r="F76" s="44">
        <f t="shared" si="0"/>
        <v>11.4</v>
      </c>
      <c r="G76" s="46">
        <f t="shared" si="1"/>
        <v>0</v>
      </c>
      <c r="H76" s="45">
        <f t="shared" si="2"/>
        <v>0.94847999999999999</v>
      </c>
      <c r="I76" s="45">
        <f t="shared" si="3"/>
        <v>0</v>
      </c>
      <c r="J76" s="45">
        <f t="shared" si="4"/>
        <v>0.35682000000000003</v>
      </c>
      <c r="K76" s="45">
        <f t="shared" si="5"/>
        <v>0</v>
      </c>
      <c r="L76" s="45">
        <f t="shared" si="6"/>
        <v>0.29184000000000004</v>
      </c>
      <c r="M76" s="45">
        <f t="shared" si="7"/>
        <v>0</v>
      </c>
      <c r="N76" s="45">
        <f t="shared" si="8"/>
        <v>0.24282000000000001</v>
      </c>
      <c r="O76" s="45">
        <f t="shared" si="9"/>
        <v>0</v>
      </c>
    </row>
    <row r="77" spans="1:15" s="162" customFormat="1" ht="22.5" customHeight="1" thickBot="1">
      <c r="A77" s="1095"/>
      <c r="B77" s="510"/>
      <c r="C77" s="158" t="s">
        <v>3363</v>
      </c>
      <c r="D77" s="371" t="s">
        <v>3339</v>
      </c>
      <c r="E77" s="372">
        <v>126</v>
      </c>
      <c r="F77" s="23">
        <f t="shared" si="0"/>
        <v>75.599999999999994</v>
      </c>
      <c r="G77" s="6">
        <f t="shared" si="1"/>
        <v>0</v>
      </c>
      <c r="H77" s="4">
        <f t="shared" si="2"/>
        <v>6.2899199999999995</v>
      </c>
      <c r="I77" s="4">
        <f t="shared" si="3"/>
        <v>0</v>
      </c>
      <c r="J77" s="4">
        <f t="shared" si="4"/>
        <v>2.3662799999999997</v>
      </c>
      <c r="K77" s="4">
        <f t="shared" si="5"/>
        <v>0</v>
      </c>
      <c r="L77" s="4">
        <f t="shared" si="6"/>
        <v>1.93536</v>
      </c>
      <c r="M77" s="4">
        <f t="shared" si="7"/>
        <v>0</v>
      </c>
      <c r="N77" s="4">
        <f t="shared" si="8"/>
        <v>1.6102799999999999</v>
      </c>
      <c r="O77" s="4">
        <f t="shared" si="9"/>
        <v>0</v>
      </c>
    </row>
    <row r="78" spans="1:15" s="162" customFormat="1" ht="22.5" customHeight="1" thickBot="1">
      <c r="A78" s="1096"/>
      <c r="B78" s="510"/>
      <c r="C78" s="158" t="s">
        <v>3364</v>
      </c>
      <c r="D78" s="371" t="s">
        <v>3340</v>
      </c>
      <c r="E78" s="372">
        <v>12.09</v>
      </c>
      <c r="F78" s="23">
        <f t="shared" si="0"/>
        <v>7.2539999999999996</v>
      </c>
      <c r="G78" s="6">
        <f t="shared" si="1"/>
        <v>0</v>
      </c>
      <c r="H78" s="4">
        <f t="shared" si="2"/>
        <v>0.60353279999999998</v>
      </c>
      <c r="I78" s="4">
        <f t="shared" si="3"/>
        <v>0</v>
      </c>
      <c r="J78" s="4">
        <f t="shared" si="4"/>
        <v>0.22705020000000001</v>
      </c>
      <c r="K78" s="4">
        <f t="shared" si="5"/>
        <v>0</v>
      </c>
      <c r="L78" s="4">
        <f t="shared" si="6"/>
        <v>0.18570239999999999</v>
      </c>
      <c r="M78" s="4">
        <f t="shared" si="7"/>
        <v>0</v>
      </c>
      <c r="N78" s="4">
        <f t="shared" si="8"/>
        <v>0.15451019999999999</v>
      </c>
      <c r="O78" s="4">
        <f t="shared" si="9"/>
        <v>0</v>
      </c>
    </row>
    <row r="79" spans="1:15" s="162" customFormat="1" ht="15">
      <c r="C79" s="163"/>
      <c r="D79" s="997" t="s">
        <v>183</v>
      </c>
      <c r="E79" s="998"/>
      <c r="F79" s="998"/>
      <c r="G79" s="9">
        <f t="array" ref="G79">SUM(G53:G78)+G44:G53:G78+G47:G53:G78+G50</f>
        <v>0</v>
      </c>
      <c r="H79" s="143" t="s">
        <v>184</v>
      </c>
      <c r="I79" s="9">
        <f t="array" ref="I79">SUM(I53:I78)+I44:I53:I78+I47:I53:I78+I50</f>
        <v>0</v>
      </c>
      <c r="J79" s="143" t="s">
        <v>185</v>
      </c>
      <c r="K79" s="9">
        <f t="array" ref="K79">SUM(K53:K78)+K44:K53:K78+K47:K53:K78+K50</f>
        <v>0</v>
      </c>
      <c r="L79" s="143" t="s">
        <v>186</v>
      </c>
      <c r="M79" s="9">
        <f t="array" ref="M79">SUM(M53:M78)+M44:M53:M78+M47:M53:M78+M50</f>
        <v>0</v>
      </c>
      <c r="N79" s="143" t="s">
        <v>187</v>
      </c>
      <c r="O79" s="9">
        <f t="array" ref="O79">SUM(O53:O78)+O44:O53:O78+O47:O53:O78+O50</f>
        <v>0</v>
      </c>
    </row>
    <row r="80" spans="1:15" s="162" customFormat="1" ht="14.25">
      <c r="C80" s="171"/>
      <c r="F80" s="172"/>
      <c r="G80" s="504"/>
    </row>
    <row r="81" spans="1:6" s="162" customFormat="1">
      <c r="C81" s="104"/>
      <c r="F81" s="172"/>
    </row>
    <row r="82" spans="1:6" ht="18">
      <c r="A82" s="512"/>
    </row>
    <row r="83" spans="1:6" ht="18">
      <c r="A83" s="512"/>
    </row>
    <row r="100" spans="3:3">
      <c r="C100" s="106"/>
    </row>
  </sheetData>
  <mergeCells count="78">
    <mergeCell ref="O50:O51"/>
    <mergeCell ref="A52:O52"/>
    <mergeCell ref="A53:A78"/>
    <mergeCell ref="D79:F79"/>
    <mergeCell ref="A50:A51"/>
    <mergeCell ref="B50:B51"/>
    <mergeCell ref="G50:G51"/>
    <mergeCell ref="I50:I51"/>
    <mergeCell ref="K50:K51"/>
    <mergeCell ref="M50:M51"/>
    <mergeCell ref="O44:O45"/>
    <mergeCell ref="A47:A48"/>
    <mergeCell ref="B47:B48"/>
    <mergeCell ref="G47:G48"/>
    <mergeCell ref="I47:I48"/>
    <mergeCell ref="K47:K48"/>
    <mergeCell ref="M47:M48"/>
    <mergeCell ref="O47:O48"/>
    <mergeCell ref="A44:A45"/>
    <mergeCell ref="B44:B45"/>
    <mergeCell ref="G44:G45"/>
    <mergeCell ref="I44:I45"/>
    <mergeCell ref="K44:K45"/>
    <mergeCell ref="M44:M45"/>
    <mergeCell ref="A39:D39"/>
    <mergeCell ref="A40:C40"/>
    <mergeCell ref="A41:C41"/>
    <mergeCell ref="A42:C42"/>
    <mergeCell ref="F42:H42"/>
    <mergeCell ref="I42:O42"/>
    <mergeCell ref="A31:C31"/>
    <mergeCell ref="E31:H31"/>
    <mergeCell ref="I31:J31"/>
    <mergeCell ref="K31:M31"/>
    <mergeCell ref="N31:O31"/>
    <mergeCell ref="E32:H32"/>
    <mergeCell ref="I32:J32"/>
    <mergeCell ref="K32:M32"/>
    <mergeCell ref="N32:O32"/>
    <mergeCell ref="A32:C32"/>
    <mergeCell ref="A35:C35"/>
    <mergeCell ref="E35:H35"/>
    <mergeCell ref="I35:J35"/>
    <mergeCell ref="K35:M35"/>
    <mergeCell ref="N35:O35"/>
    <mergeCell ref="K30:M30"/>
    <mergeCell ref="N30:O30"/>
    <mergeCell ref="A29:C29"/>
    <mergeCell ref="E29:H29"/>
    <mergeCell ref="I29:J29"/>
    <mergeCell ref="K29:M29"/>
    <mergeCell ref="N29:O29"/>
    <mergeCell ref="A4:O4"/>
    <mergeCell ref="A5:O5"/>
    <mergeCell ref="F10:I10"/>
    <mergeCell ref="F24:G24"/>
    <mergeCell ref="A27:O27"/>
    <mergeCell ref="A28:D28"/>
    <mergeCell ref="E28:J28"/>
    <mergeCell ref="K28:O28"/>
    <mergeCell ref="A34:C34"/>
    <mergeCell ref="E34:H34"/>
    <mergeCell ref="I34:J34"/>
    <mergeCell ref="K34:M34"/>
    <mergeCell ref="N34:O34"/>
    <mergeCell ref="A33:C33"/>
    <mergeCell ref="E33:H33"/>
    <mergeCell ref="I33:J33"/>
    <mergeCell ref="K33:M33"/>
    <mergeCell ref="N33:O33"/>
    <mergeCell ref="A30:C30"/>
    <mergeCell ref="E30:H30"/>
    <mergeCell ref="I30:J30"/>
    <mergeCell ref="A36:C36"/>
    <mergeCell ref="E36:H36"/>
    <mergeCell ref="I36:J36"/>
    <mergeCell ref="K36:M36"/>
    <mergeCell ref="N36:O36"/>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3CEC9-2BB7-4FEB-94B7-90022FA016D5}">
  <sheetPr>
    <tabColor indexed="62"/>
  </sheetPr>
  <dimension ref="A1:P107"/>
  <sheetViews>
    <sheetView topLeftCell="A5" zoomScale="96" zoomScaleNormal="96" workbookViewId="0">
      <selection activeCell="J15" sqref="J15"/>
    </sheetView>
  </sheetViews>
  <sheetFormatPr defaultColWidth="8.85546875" defaultRowHeight="12.75"/>
  <cols>
    <col min="1" max="1" width="14.42578125" style="378" customWidth="1"/>
    <col min="2" max="2" width="8.7109375" style="378" customWidth="1"/>
    <col min="3" max="3" width="21.42578125" style="769" customWidth="1"/>
    <col min="4" max="4" width="49.28515625" style="378" customWidth="1"/>
    <col min="5" max="5" width="16.140625" style="378" customWidth="1"/>
    <col min="6" max="6" width="15.42578125" style="455" customWidth="1"/>
    <col min="7" max="7" width="20.5703125" style="455" customWidth="1"/>
    <col min="8" max="8" width="23.42578125" style="378" customWidth="1"/>
    <col min="9" max="9" width="20.5703125" style="378" customWidth="1"/>
    <col min="10" max="10" width="24.28515625" style="378" customWidth="1"/>
    <col min="11" max="11" width="21.140625" style="378" customWidth="1"/>
    <col min="12" max="12" width="23.85546875" style="378" customWidth="1"/>
    <col min="13" max="13" width="21.85546875" style="378" customWidth="1"/>
    <col min="14" max="14" width="23.42578125" style="378" customWidth="1"/>
    <col min="15" max="15" width="21.85546875" style="378" customWidth="1"/>
    <col min="16" max="16" width="10.140625" style="378" customWidth="1"/>
    <col min="17" max="16384" width="8.85546875" style="378"/>
  </cols>
  <sheetData>
    <row r="1" spans="1:15" s="437" customFormat="1" ht="13.5" thickBot="1">
      <c r="B1" s="852"/>
      <c r="C1" s="852"/>
      <c r="D1" s="380"/>
      <c r="E1" s="380"/>
      <c r="F1" s="381"/>
      <c r="G1" s="381"/>
      <c r="H1" s="381"/>
      <c r="I1" s="381"/>
      <c r="J1" s="381"/>
      <c r="K1" s="380"/>
      <c r="L1" s="381"/>
    </row>
    <row r="2" spans="1:15" s="437" customFormat="1">
      <c r="A2" s="853"/>
      <c r="B2" s="854"/>
      <c r="C2" s="854"/>
      <c r="D2" s="384"/>
      <c r="E2" s="384"/>
      <c r="F2" s="385"/>
      <c r="G2" s="385"/>
      <c r="H2" s="385"/>
      <c r="I2" s="386"/>
      <c r="J2" s="386"/>
      <c r="K2" s="386"/>
      <c r="L2" s="386"/>
      <c r="M2" s="853"/>
      <c r="N2" s="853"/>
      <c r="O2" s="853"/>
    </row>
    <row r="3" spans="1:15" s="437" customFormat="1">
      <c r="B3" s="852"/>
      <c r="C3" s="852"/>
      <c r="D3" s="380"/>
      <c r="E3" s="380"/>
      <c r="F3" s="381"/>
      <c r="G3" s="381"/>
      <c r="H3" s="381"/>
      <c r="I3" s="387"/>
      <c r="J3" s="387"/>
      <c r="K3" s="387"/>
      <c r="L3" s="387"/>
    </row>
    <row r="4" spans="1:15" s="437" customFormat="1" ht="27">
      <c r="A4" s="1141" t="s">
        <v>4456</v>
      </c>
      <c r="B4" s="1023"/>
      <c r="C4" s="1023"/>
      <c r="D4" s="1023"/>
      <c r="E4" s="1023"/>
      <c r="F4" s="1023"/>
      <c r="G4" s="1023"/>
      <c r="H4" s="1023"/>
      <c r="I4" s="1023"/>
      <c r="J4" s="1023"/>
      <c r="K4" s="1023"/>
      <c r="L4" s="1023"/>
      <c r="M4" s="1023"/>
      <c r="N4" s="1023"/>
      <c r="O4" s="1023"/>
    </row>
    <row r="5" spans="1:15" ht="56.25" customHeight="1">
      <c r="A5" s="1142" t="s">
        <v>702</v>
      </c>
      <c r="B5" s="1143"/>
      <c r="C5" s="1143"/>
      <c r="D5" s="1143"/>
      <c r="E5" s="1143"/>
      <c r="F5" s="1143"/>
      <c r="G5" s="1143"/>
      <c r="H5" s="1143"/>
      <c r="I5" s="1143"/>
      <c r="J5" s="1143"/>
      <c r="K5" s="1143"/>
      <c r="L5" s="1143"/>
      <c r="M5" s="1143"/>
      <c r="N5" s="1143"/>
      <c r="O5" s="1143"/>
    </row>
    <row r="6" spans="1:15" ht="13.5" thickBot="1">
      <c r="A6" s="389"/>
      <c r="B6" s="389"/>
      <c r="C6" s="389"/>
      <c r="D6" s="389"/>
      <c r="E6" s="389"/>
      <c r="F6" s="389"/>
      <c r="G6" s="389"/>
      <c r="H6" s="389"/>
      <c r="I6" s="389"/>
      <c r="J6" s="389"/>
      <c r="K6" s="389"/>
      <c r="L6" s="389"/>
      <c r="M6" s="389"/>
      <c r="N6" s="389"/>
      <c r="O6" s="389"/>
    </row>
    <row r="7" spans="1:15">
      <c r="B7" s="769"/>
    </row>
    <row r="8" spans="1:15">
      <c r="B8" s="769"/>
    </row>
    <row r="9" spans="1:15" ht="14.25">
      <c r="B9" s="851"/>
      <c r="C9" s="851"/>
      <c r="D9" s="391"/>
      <c r="E9" s="391"/>
      <c r="F9" s="391"/>
      <c r="G9" s="391"/>
      <c r="H9" s="391"/>
      <c r="I9" s="391"/>
      <c r="J9" s="391"/>
      <c r="K9" s="387"/>
      <c r="L9" s="392"/>
      <c r="M9" s="387"/>
      <c r="N9" s="387"/>
    </row>
    <row r="10" spans="1:15" ht="14.25">
      <c r="B10" s="404"/>
      <c r="C10" s="404"/>
      <c r="D10" s="387"/>
      <c r="E10" s="387"/>
      <c r="F10" s="1026" t="s">
        <v>3</v>
      </c>
      <c r="G10" s="1026"/>
      <c r="H10" s="1023"/>
      <c r="I10" s="1023"/>
      <c r="K10" s="387"/>
      <c r="L10" s="392"/>
      <c r="M10" s="395"/>
      <c r="N10" s="387"/>
    </row>
    <row r="11" spans="1:15" ht="14.25">
      <c r="B11" s="404"/>
      <c r="C11" s="404"/>
      <c r="D11" s="387"/>
      <c r="E11" s="387"/>
      <c r="F11" s="387"/>
      <c r="G11" s="392" t="s">
        <v>210</v>
      </c>
      <c r="H11" s="850" t="s">
        <v>458</v>
      </c>
      <c r="I11" s="394"/>
      <c r="J11" s="394"/>
      <c r="K11" s="399"/>
      <c r="L11" s="392"/>
      <c r="M11" s="387"/>
      <c r="N11" s="387"/>
    </row>
    <row r="12" spans="1:15" ht="14.25">
      <c r="B12" s="404"/>
      <c r="C12" s="404"/>
      <c r="D12" s="387"/>
      <c r="E12" s="387"/>
      <c r="F12" s="387"/>
      <c r="G12" s="392" t="s">
        <v>212</v>
      </c>
      <c r="H12" s="850" t="s">
        <v>459</v>
      </c>
      <c r="I12" s="394"/>
      <c r="J12" s="394"/>
      <c r="K12" s="399"/>
      <c r="L12" s="392"/>
      <c r="M12" s="387"/>
      <c r="N12" s="387"/>
    </row>
    <row r="13" spans="1:15">
      <c r="B13" s="404"/>
      <c r="C13" s="404"/>
      <c r="D13" s="387"/>
      <c r="E13" s="387"/>
      <c r="F13" s="387"/>
      <c r="G13" s="392" t="s">
        <v>214</v>
      </c>
      <c r="H13" s="850" t="s">
        <v>460</v>
      </c>
    </row>
    <row r="14" spans="1:15" ht="14.25">
      <c r="B14" s="404"/>
      <c r="C14" s="404"/>
      <c r="D14" s="387"/>
      <c r="E14" s="387"/>
      <c r="F14" s="387"/>
      <c r="G14" s="392" t="s">
        <v>8</v>
      </c>
      <c r="H14" s="387" t="s">
        <v>703</v>
      </c>
      <c r="I14" s="394"/>
      <c r="J14" s="394"/>
      <c r="K14" s="394"/>
      <c r="L14" s="394"/>
    </row>
    <row r="15" spans="1:15" ht="14.25">
      <c r="B15" s="404"/>
      <c r="C15" s="404"/>
      <c r="D15" s="387"/>
      <c r="E15" s="387"/>
      <c r="F15" s="387"/>
      <c r="G15" s="392" t="s">
        <v>9</v>
      </c>
      <c r="H15" s="387" t="s">
        <v>463</v>
      </c>
      <c r="I15" s="394"/>
      <c r="J15" s="394"/>
      <c r="K15" s="394"/>
      <c r="L15" s="394"/>
    </row>
    <row r="16" spans="1:15" ht="14.25">
      <c r="B16" s="404"/>
      <c r="C16" s="404"/>
      <c r="D16" s="387"/>
      <c r="E16" s="387"/>
      <c r="F16" s="387"/>
      <c r="G16" s="392" t="s">
        <v>10</v>
      </c>
      <c r="H16" s="387" t="s">
        <v>215</v>
      </c>
      <c r="I16" s="394"/>
      <c r="J16" s="394"/>
      <c r="K16" s="394"/>
      <c r="L16" s="394"/>
    </row>
    <row r="17" spans="1:15" ht="14.25">
      <c r="B17" s="404"/>
      <c r="C17" s="404"/>
      <c r="D17" s="387"/>
      <c r="E17" s="387"/>
      <c r="F17" s="387"/>
      <c r="G17" s="392" t="s">
        <v>12</v>
      </c>
      <c r="H17" s="387" t="s">
        <v>704</v>
      </c>
      <c r="I17" s="394"/>
      <c r="J17" s="394"/>
      <c r="K17" s="394"/>
      <c r="L17" s="394"/>
    </row>
    <row r="18" spans="1:15" ht="14.25">
      <c r="B18" s="404"/>
      <c r="C18" s="404"/>
      <c r="D18" s="387"/>
      <c r="E18" s="387"/>
      <c r="F18" s="387"/>
      <c r="G18" s="392"/>
      <c r="H18" s="387" t="s">
        <v>705</v>
      </c>
      <c r="I18" s="394"/>
      <c r="J18" s="394"/>
      <c r="K18" s="394"/>
      <c r="L18" s="394"/>
    </row>
    <row r="19" spans="1:15" ht="14.25">
      <c r="B19" s="404"/>
      <c r="C19" s="404"/>
      <c r="D19" s="387"/>
      <c r="E19" s="387"/>
      <c r="F19" s="387"/>
      <c r="G19" s="392" t="s">
        <v>13</v>
      </c>
      <c r="H19" s="387" t="s">
        <v>60</v>
      </c>
      <c r="I19" s="397"/>
      <c r="J19" s="397"/>
      <c r="K19" s="397"/>
      <c r="L19" s="397"/>
    </row>
    <row r="20" spans="1:15" ht="14.25">
      <c r="B20" s="404"/>
      <c r="C20" s="404"/>
      <c r="D20" s="387"/>
      <c r="E20" s="387"/>
      <c r="F20" s="387"/>
      <c r="G20" s="392" t="s">
        <v>16</v>
      </c>
      <c r="H20" s="387" t="s">
        <v>218</v>
      </c>
      <c r="I20" s="397"/>
      <c r="J20" s="397"/>
      <c r="K20" s="397"/>
      <c r="L20" s="397"/>
    </row>
    <row r="21" spans="1:15" ht="14.25">
      <c r="B21" s="404"/>
      <c r="C21" s="404"/>
      <c r="D21" s="387"/>
      <c r="E21" s="387"/>
      <c r="F21" s="387"/>
      <c r="G21" s="392" t="s">
        <v>219</v>
      </c>
      <c r="H21" s="850" t="s">
        <v>706</v>
      </c>
      <c r="I21" s="397"/>
      <c r="J21" s="397"/>
      <c r="K21" s="397"/>
      <c r="L21" s="397"/>
    </row>
    <row r="22" spans="1:15" ht="14.25">
      <c r="B22" s="404"/>
      <c r="C22" s="404"/>
      <c r="D22" s="387"/>
      <c r="E22" s="387"/>
      <c r="F22" s="387"/>
      <c r="G22" s="392" t="s">
        <v>220</v>
      </c>
      <c r="H22" s="850" t="s">
        <v>461</v>
      </c>
      <c r="I22" s="397"/>
      <c r="J22" s="397"/>
      <c r="K22" s="397"/>
      <c r="L22" s="397"/>
    </row>
    <row r="23" spans="1:15" ht="14.25">
      <c r="B23" s="404"/>
      <c r="C23" s="404"/>
      <c r="D23" s="387"/>
      <c r="E23" s="387"/>
      <c r="F23" s="387"/>
      <c r="G23" s="392" t="s">
        <v>21</v>
      </c>
      <c r="H23" s="850" t="s">
        <v>707</v>
      </c>
      <c r="I23" s="397"/>
      <c r="J23" s="397"/>
      <c r="K23" s="397"/>
      <c r="L23" s="397"/>
    </row>
    <row r="24" spans="1:15" ht="13.5" customHeight="1">
      <c r="B24" s="404"/>
      <c r="C24" s="404"/>
      <c r="D24" s="387"/>
      <c r="E24" s="387"/>
      <c r="F24" s="387"/>
      <c r="G24" s="392" t="s">
        <v>22</v>
      </c>
      <c r="H24" s="400" t="s">
        <v>708</v>
      </c>
      <c r="I24" s="397"/>
      <c r="J24" s="397"/>
      <c r="K24" s="397"/>
      <c r="L24" s="397"/>
    </row>
    <row r="25" spans="1:15" s="387" customFormat="1" ht="15" thickBot="1">
      <c r="A25" s="1104" t="s">
        <v>23</v>
      </c>
      <c r="B25" s="1037"/>
      <c r="C25" s="1037"/>
      <c r="D25" s="1037"/>
      <c r="E25" s="1037"/>
      <c r="F25" s="1037"/>
      <c r="G25" s="1037"/>
      <c r="H25" s="1037"/>
      <c r="I25" s="1037"/>
      <c r="J25" s="1037"/>
      <c r="K25" s="1037"/>
      <c r="L25" s="1037"/>
      <c r="M25" s="1037"/>
      <c r="N25" s="1037"/>
      <c r="O25" s="1037"/>
    </row>
    <row r="26" spans="1:15" s="387" customFormat="1" ht="14.25">
      <c r="A26" s="1098" t="s">
        <v>221</v>
      </c>
      <c r="B26" s="1099"/>
      <c r="C26" s="1099"/>
      <c r="D26" s="1100"/>
      <c r="E26" s="1101" t="s">
        <v>222</v>
      </c>
      <c r="F26" s="1061"/>
      <c r="G26" s="1061"/>
      <c r="H26" s="1061"/>
      <c r="I26" s="1061"/>
      <c r="J26" s="1061"/>
      <c r="K26" s="1102"/>
      <c r="L26" s="1098" t="s">
        <v>223</v>
      </c>
      <c r="M26" s="1061"/>
      <c r="N26" s="1061"/>
      <c r="O26" s="1102"/>
    </row>
    <row r="27" spans="1:15" s="387" customFormat="1" ht="12.75" customHeight="1">
      <c r="A27" s="1030" t="s">
        <v>160</v>
      </c>
      <c r="B27" s="1031"/>
      <c r="C27" s="1031"/>
      <c r="D27" s="401" t="s">
        <v>161</v>
      </c>
      <c r="E27" s="1030" t="s">
        <v>160</v>
      </c>
      <c r="F27" s="1023"/>
      <c r="G27" s="1023"/>
      <c r="H27" s="1023"/>
      <c r="I27" s="1109" t="s">
        <v>162</v>
      </c>
      <c r="J27" s="1139"/>
      <c r="K27" s="1106"/>
      <c r="L27" s="1030" t="s">
        <v>160</v>
      </c>
      <c r="M27" s="1023"/>
      <c r="N27" s="1110" t="s">
        <v>162</v>
      </c>
      <c r="O27" s="1111"/>
    </row>
    <row r="28" spans="1:15" s="387" customFormat="1" ht="12.75" customHeight="1">
      <c r="A28" s="1030" t="s">
        <v>43</v>
      </c>
      <c r="B28" s="1031"/>
      <c r="C28" s="1031"/>
      <c r="D28" s="402">
        <v>0</v>
      </c>
      <c r="E28" s="1030" t="s">
        <v>43</v>
      </c>
      <c r="F28" s="1023"/>
      <c r="G28" s="1023"/>
      <c r="H28" s="1023"/>
      <c r="I28" s="1105">
        <v>450</v>
      </c>
      <c r="J28" s="1139"/>
      <c r="K28" s="1106"/>
      <c r="L28" s="1030" t="s">
        <v>43</v>
      </c>
      <c r="M28" s="1023"/>
      <c r="N28" s="1107">
        <v>675</v>
      </c>
      <c r="O28" s="1108"/>
    </row>
    <row r="29" spans="1:15" s="387" customFormat="1" ht="12.75" customHeight="1">
      <c r="A29" s="1030" t="s">
        <v>164</v>
      </c>
      <c r="B29" s="1031"/>
      <c r="C29" s="1031"/>
      <c r="D29" s="401" t="s">
        <v>165</v>
      </c>
      <c r="E29" s="1030" t="s">
        <v>164</v>
      </c>
      <c r="F29" s="1023"/>
      <c r="G29" s="1023"/>
      <c r="H29" s="1023"/>
      <c r="I29" s="1109" t="s">
        <v>44</v>
      </c>
      <c r="J29" s="1139"/>
      <c r="K29" s="1106"/>
      <c r="L29" s="1030" t="s">
        <v>164</v>
      </c>
      <c r="M29" s="1023"/>
      <c r="N29" s="1110" t="s">
        <v>45</v>
      </c>
      <c r="O29" s="1111"/>
    </row>
    <row r="30" spans="1:15" s="387" customFormat="1" ht="12.75" customHeight="1">
      <c r="A30" s="1030" t="s">
        <v>46</v>
      </c>
      <c r="B30" s="1031"/>
      <c r="C30" s="1031"/>
      <c r="D30" s="401" t="s">
        <v>78</v>
      </c>
      <c r="E30" s="1030" t="s">
        <v>47</v>
      </c>
      <c r="F30" s="1031"/>
      <c r="G30" s="1031"/>
      <c r="H30" s="1031"/>
      <c r="I30" s="1109" t="s">
        <v>48</v>
      </c>
      <c r="J30" s="1109"/>
      <c r="K30" s="1140"/>
      <c r="L30" s="1030" t="s">
        <v>166</v>
      </c>
      <c r="M30" s="1031"/>
      <c r="N30" s="1110" t="s">
        <v>48</v>
      </c>
      <c r="O30" s="1111"/>
    </row>
    <row r="31" spans="1:15" s="387" customFormat="1" ht="12.75" customHeight="1" thickBot="1">
      <c r="A31" s="1035" t="s">
        <v>225</v>
      </c>
      <c r="B31" s="1036"/>
      <c r="C31" s="1036"/>
      <c r="D31" s="403" t="s">
        <v>809</v>
      </c>
      <c r="E31" s="1035" t="s">
        <v>225</v>
      </c>
      <c r="F31" s="1036"/>
      <c r="G31" s="1036"/>
      <c r="H31" s="1036"/>
      <c r="I31" s="1112" t="s">
        <v>3550</v>
      </c>
      <c r="J31" s="1112"/>
      <c r="K31" s="1138"/>
      <c r="L31" s="1035" t="s">
        <v>225</v>
      </c>
      <c r="M31" s="1036"/>
      <c r="N31" s="1037" t="s">
        <v>3550</v>
      </c>
      <c r="O31" s="1038"/>
    </row>
    <row r="32" spans="1:15" ht="14.25">
      <c r="B32" s="404"/>
      <c r="C32" s="404"/>
      <c r="D32" s="399"/>
      <c r="E32" s="399"/>
      <c r="F32" s="387"/>
      <c r="G32" s="387"/>
      <c r="H32" s="392"/>
      <c r="I32" s="387"/>
      <c r="J32" s="387"/>
      <c r="K32" s="397"/>
      <c r="L32" s="387"/>
    </row>
    <row r="33" spans="1:15" s="387" customFormat="1" ht="12.75" customHeight="1">
      <c r="D33" s="399"/>
      <c r="E33" s="399"/>
      <c r="F33" s="1039"/>
      <c r="G33" s="1023"/>
      <c r="H33" s="1023"/>
      <c r="I33" s="1023"/>
      <c r="J33" s="1023"/>
      <c r="K33" s="778"/>
      <c r="L33" s="778"/>
      <c r="M33" s="392"/>
    </row>
    <row r="34" spans="1:15" s="387" customFormat="1" ht="12.75" customHeight="1">
      <c r="D34" s="399"/>
      <c r="E34" s="399"/>
      <c r="F34" s="1039"/>
      <c r="G34" s="1023"/>
      <c r="H34" s="1023"/>
      <c r="I34" s="1023"/>
      <c r="J34" s="1023"/>
      <c r="K34" s="778"/>
      <c r="L34" s="778"/>
      <c r="M34" s="392"/>
    </row>
    <row r="35" spans="1:15" ht="15" thickBot="1">
      <c r="B35" s="404"/>
      <c r="C35" s="404"/>
      <c r="D35" s="387"/>
      <c r="E35" s="387"/>
      <c r="F35" s="616"/>
      <c r="G35" s="616"/>
      <c r="H35" s="392"/>
      <c r="I35" s="387"/>
      <c r="J35" s="387"/>
      <c r="K35" s="397"/>
      <c r="L35" s="387"/>
    </row>
    <row r="36" spans="1:15" ht="13.5" thickBot="1">
      <c r="B36" s="404"/>
      <c r="C36" s="404"/>
      <c r="D36" s="387"/>
      <c r="E36" s="387"/>
      <c r="F36" s="1088" t="s">
        <v>167</v>
      </c>
      <c r="G36" s="1041"/>
      <c r="H36" s="1042" t="s">
        <v>168</v>
      </c>
      <c r="I36" s="1043"/>
      <c r="J36" s="1116"/>
      <c r="K36" s="1044"/>
      <c r="L36" s="1044"/>
      <c r="M36" s="1044"/>
      <c r="N36" s="1044"/>
      <c r="O36" s="1045"/>
    </row>
    <row r="37" spans="1:15" ht="58.5" customHeight="1" thickBot="1">
      <c r="A37" s="411" t="s">
        <v>122</v>
      </c>
      <c r="B37" s="411" t="s">
        <v>169</v>
      </c>
      <c r="C37" s="849" t="s">
        <v>170</v>
      </c>
      <c r="D37" s="412" t="s">
        <v>171</v>
      </c>
      <c r="E37" s="412" t="s">
        <v>172</v>
      </c>
      <c r="F37" s="412" t="s">
        <v>173</v>
      </c>
      <c r="G37" s="411" t="s">
        <v>174</v>
      </c>
      <c r="H37" s="412" t="s">
        <v>175</v>
      </c>
      <c r="I37" s="411" t="s">
        <v>174</v>
      </c>
      <c r="J37" s="848" t="s">
        <v>176</v>
      </c>
      <c r="K37" s="411" t="s">
        <v>174</v>
      </c>
      <c r="L37" s="412" t="s">
        <v>177</v>
      </c>
      <c r="M37" s="411" t="s">
        <v>174</v>
      </c>
      <c r="N37" s="412" t="s">
        <v>178</v>
      </c>
      <c r="O37" s="411" t="s">
        <v>174</v>
      </c>
    </row>
    <row r="38" spans="1:15" s="388" customFormat="1" ht="13.5" thickBot="1">
      <c r="A38" s="1046">
        <v>11</v>
      </c>
      <c r="B38" s="1136"/>
      <c r="C38" s="839" t="s">
        <v>4454</v>
      </c>
      <c r="D38" s="838" t="s">
        <v>4455</v>
      </c>
      <c r="E38" s="837">
        <v>14086</v>
      </c>
      <c r="F38" s="720">
        <f>SUM(E38,E39,E40)*(1-76%)</f>
        <v>3466.3199999999997</v>
      </c>
      <c r="G38" s="1062">
        <f>F38*B38</f>
        <v>0</v>
      </c>
      <c r="H38" s="836">
        <f>F38*0.0832</f>
        <v>288.39782399999996</v>
      </c>
      <c r="I38" s="1062">
        <f>H38*B38</f>
        <v>0</v>
      </c>
      <c r="J38" s="835">
        <f>F38*0.0313</f>
        <v>108.49581599999999</v>
      </c>
      <c r="K38" s="1131">
        <f>J38*B38</f>
        <v>0</v>
      </c>
      <c r="L38" s="51">
        <f>F38*0.0256</f>
        <v>88.737791999999999</v>
      </c>
      <c r="M38" s="1062">
        <f>L38*B38</f>
        <v>0</v>
      </c>
      <c r="N38" s="51">
        <f>F38*0.0213</f>
        <v>73.832615999999987</v>
      </c>
      <c r="O38" s="1062">
        <f>N38*B38</f>
        <v>0</v>
      </c>
    </row>
    <row r="39" spans="1:15" ht="15" thickBot="1">
      <c r="A39" s="1047"/>
      <c r="B39" s="1137"/>
      <c r="C39" s="834">
        <v>135700</v>
      </c>
      <c r="D39" s="833" t="s">
        <v>670</v>
      </c>
      <c r="E39" s="832">
        <v>282</v>
      </c>
      <c r="F39" s="422" t="s">
        <v>162</v>
      </c>
      <c r="G39" s="1130"/>
      <c r="H39" s="422" t="s">
        <v>162</v>
      </c>
      <c r="I39" s="1130"/>
      <c r="J39" s="847" t="s">
        <v>162</v>
      </c>
      <c r="K39" s="1132"/>
      <c r="L39" s="423" t="s">
        <v>162</v>
      </c>
      <c r="M39" s="1117"/>
      <c r="N39" s="423" t="s">
        <v>162</v>
      </c>
      <c r="O39" s="1117"/>
    </row>
    <row r="40" spans="1:15" ht="13.5" thickBot="1">
      <c r="A40" s="1048"/>
      <c r="B40" s="1049"/>
      <c r="C40" s="764" t="s">
        <v>179</v>
      </c>
      <c r="D40" s="795" t="s">
        <v>180</v>
      </c>
      <c r="E40" s="830">
        <v>75</v>
      </c>
      <c r="F40" s="52" t="s">
        <v>162</v>
      </c>
      <c r="G40" s="1134"/>
      <c r="H40" s="52" t="s">
        <v>162</v>
      </c>
      <c r="I40" s="1134"/>
      <c r="J40" s="831" t="s">
        <v>162</v>
      </c>
      <c r="K40" s="1132"/>
      <c r="L40" s="53" t="s">
        <v>162</v>
      </c>
      <c r="M40" s="1117"/>
      <c r="N40" s="53" t="s">
        <v>162</v>
      </c>
      <c r="O40" s="1127"/>
    </row>
    <row r="41" spans="1:15" ht="13.5" thickBot="1">
      <c r="A41" s="846"/>
      <c r="B41" s="430"/>
      <c r="C41" s="765"/>
      <c r="D41" s="757"/>
      <c r="E41" s="845"/>
      <c r="F41" s="434"/>
      <c r="G41" s="844"/>
      <c r="H41" s="54"/>
      <c r="I41" s="844"/>
      <c r="J41" s="54"/>
      <c r="K41" s="843"/>
      <c r="L41" s="842"/>
      <c r="M41" s="841"/>
      <c r="N41" s="841"/>
      <c r="O41" s="840"/>
    </row>
    <row r="42" spans="1:15" s="388" customFormat="1" ht="13.5" thickBot="1">
      <c r="A42" s="1046" t="s">
        <v>226</v>
      </c>
      <c r="B42" s="1136"/>
      <c r="C42" s="839" t="s">
        <v>4454</v>
      </c>
      <c r="D42" s="838" t="s">
        <v>4455</v>
      </c>
      <c r="E42" s="837">
        <v>14086</v>
      </c>
      <c r="F42" s="720">
        <f>SUM(E42,E43,E44)*(1-76%)</f>
        <v>3466.3199999999997</v>
      </c>
      <c r="G42" s="1062">
        <f>F42*B42</f>
        <v>0</v>
      </c>
      <c r="H42" s="836">
        <f>F42*0.0832+I28/12</f>
        <v>325.89782399999996</v>
      </c>
      <c r="I42" s="1062">
        <f>H42*B42</f>
        <v>0</v>
      </c>
      <c r="J42" s="835">
        <f>F42*0.0313+I28/12</f>
        <v>145.99581599999999</v>
      </c>
      <c r="K42" s="1131">
        <f>J42*B42</f>
        <v>0</v>
      </c>
      <c r="L42" s="51">
        <f>F42*0.0256+I28/12</f>
        <v>126.237792</v>
      </c>
      <c r="M42" s="1062">
        <f>L42*B42</f>
        <v>0</v>
      </c>
      <c r="N42" s="51">
        <f>F42*0.0213+I28/12</f>
        <v>111.33261599999999</v>
      </c>
      <c r="O42" s="1062">
        <f>N42*B42</f>
        <v>0</v>
      </c>
    </row>
    <row r="43" spans="1:15" ht="15" thickBot="1">
      <c r="A43" s="1047"/>
      <c r="B43" s="1137"/>
      <c r="C43" s="834">
        <v>135700</v>
      </c>
      <c r="D43" s="833" t="s">
        <v>670</v>
      </c>
      <c r="E43" s="832">
        <v>282</v>
      </c>
      <c r="F43" s="52" t="s">
        <v>162</v>
      </c>
      <c r="G43" s="1130"/>
      <c r="H43" s="52" t="s">
        <v>162</v>
      </c>
      <c r="I43" s="1130"/>
      <c r="J43" s="831" t="s">
        <v>162</v>
      </c>
      <c r="K43" s="1132"/>
      <c r="L43" s="53" t="s">
        <v>162</v>
      </c>
      <c r="M43" s="1117"/>
      <c r="N43" s="53" t="s">
        <v>162</v>
      </c>
      <c r="O43" s="1117"/>
    </row>
    <row r="44" spans="1:15" ht="13.5" thickBot="1">
      <c r="A44" s="1048"/>
      <c r="B44" s="1049"/>
      <c r="C44" s="764" t="s">
        <v>179</v>
      </c>
      <c r="D44" s="795" t="s">
        <v>180</v>
      </c>
      <c r="E44" s="830">
        <v>75</v>
      </c>
      <c r="F44" s="422" t="s">
        <v>162</v>
      </c>
      <c r="G44" s="1134"/>
      <c r="H44" s="422" t="s">
        <v>162</v>
      </c>
      <c r="I44" s="1134"/>
      <c r="J44" s="847" t="s">
        <v>162</v>
      </c>
      <c r="K44" s="1132"/>
      <c r="L44" s="423" t="s">
        <v>162</v>
      </c>
      <c r="M44" s="1117"/>
      <c r="N44" s="423" t="s">
        <v>162</v>
      </c>
      <c r="O44" s="1127"/>
    </row>
    <row r="45" spans="1:15" ht="13.5" thickBot="1">
      <c r="A45" s="846"/>
      <c r="B45" s="430"/>
      <c r="C45" s="765"/>
      <c r="D45" s="757"/>
      <c r="E45" s="845"/>
      <c r="F45" s="54"/>
      <c r="G45" s="844"/>
      <c r="H45" s="54"/>
      <c r="I45" s="844"/>
      <c r="J45" s="54"/>
      <c r="K45" s="843"/>
      <c r="L45" s="842"/>
      <c r="M45" s="841"/>
      <c r="N45" s="841"/>
      <c r="O45" s="840"/>
    </row>
    <row r="46" spans="1:15" s="388" customFormat="1" ht="13.5" thickBot="1">
      <c r="A46" s="1046" t="s">
        <v>227</v>
      </c>
      <c r="B46" s="1136"/>
      <c r="C46" s="839" t="s">
        <v>4454</v>
      </c>
      <c r="D46" s="838" t="s">
        <v>4455</v>
      </c>
      <c r="E46" s="837">
        <v>14086</v>
      </c>
      <c r="F46" s="720">
        <f>SUM(E46,E47,E48)*(1-76%)</f>
        <v>3466.3199999999997</v>
      </c>
      <c r="G46" s="1062">
        <f>F46*B46</f>
        <v>0</v>
      </c>
      <c r="H46" s="836">
        <f>F46*0.0832+N28/12</f>
        <v>344.64782399999996</v>
      </c>
      <c r="I46" s="1062">
        <f>H46*B46</f>
        <v>0</v>
      </c>
      <c r="J46" s="835">
        <f>F46*0.0313+N28/12</f>
        <v>164.74581599999999</v>
      </c>
      <c r="K46" s="1131">
        <f>J46*B46</f>
        <v>0</v>
      </c>
      <c r="L46" s="51">
        <f>F46*0.0256+N28/12</f>
        <v>144.98779200000001</v>
      </c>
      <c r="M46" s="1062">
        <f>L46*B46</f>
        <v>0</v>
      </c>
      <c r="N46" s="51">
        <f>F46*0.0213+N28/12</f>
        <v>130.08261599999997</v>
      </c>
      <c r="O46" s="1062">
        <f>N46*B46</f>
        <v>0</v>
      </c>
    </row>
    <row r="47" spans="1:15" ht="15" thickBot="1">
      <c r="A47" s="1047"/>
      <c r="B47" s="1137"/>
      <c r="C47" s="834">
        <v>135700</v>
      </c>
      <c r="D47" s="833" t="s">
        <v>670</v>
      </c>
      <c r="E47" s="832">
        <v>282</v>
      </c>
      <c r="F47" s="52" t="s">
        <v>162</v>
      </c>
      <c r="G47" s="1130"/>
      <c r="H47" s="52" t="s">
        <v>162</v>
      </c>
      <c r="I47" s="1130"/>
      <c r="J47" s="831" t="s">
        <v>162</v>
      </c>
      <c r="K47" s="1132"/>
      <c r="L47" s="53" t="s">
        <v>162</v>
      </c>
      <c r="M47" s="1117"/>
      <c r="N47" s="53" t="s">
        <v>162</v>
      </c>
      <c r="O47" s="1117"/>
    </row>
    <row r="48" spans="1:15" ht="13.5" thickBot="1">
      <c r="A48" s="1047"/>
      <c r="B48" s="1137"/>
      <c r="C48" s="764" t="s">
        <v>179</v>
      </c>
      <c r="D48" s="795" t="s">
        <v>180</v>
      </c>
      <c r="E48" s="830">
        <v>75</v>
      </c>
      <c r="F48" s="52" t="s">
        <v>162</v>
      </c>
      <c r="G48" s="1130"/>
      <c r="H48" s="58" t="s">
        <v>162</v>
      </c>
      <c r="I48" s="1130"/>
      <c r="J48" s="829" t="s">
        <v>162</v>
      </c>
      <c r="K48" s="1133"/>
      <c r="L48" s="828" t="s">
        <v>162</v>
      </c>
      <c r="M48" s="1117"/>
      <c r="N48" s="828" t="s">
        <v>162</v>
      </c>
      <c r="O48" s="1127"/>
    </row>
    <row r="49" spans="1:16" ht="13.5" customHeight="1" thickBot="1">
      <c r="A49" s="1135" t="s">
        <v>182</v>
      </c>
      <c r="B49" s="1044"/>
      <c r="C49" s="1044"/>
      <c r="D49" s="1044"/>
      <c r="E49" s="1044"/>
      <c r="F49" s="1055"/>
      <c r="G49" s="1055"/>
      <c r="H49" s="1055"/>
      <c r="I49" s="1055"/>
      <c r="J49" s="1055"/>
      <c r="K49" s="1055"/>
      <c r="L49" s="1055"/>
      <c r="M49" s="1055"/>
      <c r="N49" s="1055"/>
      <c r="O49" s="1056"/>
    </row>
    <row r="50" spans="1:16" ht="13.5" thickBot="1">
      <c r="A50" s="1126"/>
      <c r="B50" s="440"/>
      <c r="C50" s="824" t="s">
        <v>209</v>
      </c>
      <c r="D50" s="827" t="s">
        <v>66</v>
      </c>
      <c r="E50" s="823">
        <v>975.85567010309285</v>
      </c>
      <c r="F50" s="822">
        <f t="shared" ref="F50:F81" si="0">E50*(1-40%)</f>
        <v>585.51340206185569</v>
      </c>
      <c r="G50" s="819">
        <f t="shared" ref="G50:G81" si="1">F50*B50</f>
        <v>0</v>
      </c>
      <c r="H50" s="60">
        <f t="shared" ref="H50:H81" si="2">F50*0.0832</f>
        <v>48.714715051546392</v>
      </c>
      <c r="I50" s="819">
        <f t="shared" ref="I50:I81" si="3">H50*B50</f>
        <v>0</v>
      </c>
      <c r="J50" s="820">
        <f t="shared" ref="J50:J81" si="4">F50*0.0313</f>
        <v>18.326569484536083</v>
      </c>
      <c r="K50" s="819">
        <f t="shared" ref="K50:K81" si="5">J50*B50</f>
        <v>0</v>
      </c>
      <c r="L50" s="60">
        <f t="shared" ref="L50:L81" si="6">F50*0.0256</f>
        <v>14.989143092783506</v>
      </c>
      <c r="M50" s="819">
        <f t="shared" ref="M50:M81" si="7">L50*B50</f>
        <v>0</v>
      </c>
      <c r="N50" s="820">
        <f t="shared" ref="N50:N81" si="8">F50*0.0213</f>
        <v>12.471435463917526</v>
      </c>
      <c r="O50" s="819">
        <f t="shared" ref="O50:O81" si="9">N50*B50</f>
        <v>0</v>
      </c>
      <c r="P50" s="818"/>
    </row>
    <row r="51" spans="1:16" ht="13.5" thickBot="1">
      <c r="A51" s="1122"/>
      <c r="B51" s="440"/>
      <c r="C51" s="419" t="s">
        <v>486</v>
      </c>
      <c r="D51" s="825" t="s">
        <v>671</v>
      </c>
      <c r="E51" s="823">
        <v>134.01030927835052</v>
      </c>
      <c r="F51" s="822">
        <f t="shared" si="0"/>
        <v>80.406185567010311</v>
      </c>
      <c r="G51" s="821">
        <f t="shared" si="1"/>
        <v>0</v>
      </c>
      <c r="H51" s="60">
        <f t="shared" si="2"/>
        <v>6.6897946391752576</v>
      </c>
      <c r="I51" s="819">
        <f t="shared" si="3"/>
        <v>0</v>
      </c>
      <c r="J51" s="820">
        <f t="shared" si="4"/>
        <v>2.5167136082474229</v>
      </c>
      <c r="K51" s="819">
        <f t="shared" si="5"/>
        <v>0</v>
      </c>
      <c r="L51" s="60">
        <f t="shared" si="6"/>
        <v>2.0583983505154642</v>
      </c>
      <c r="M51" s="819">
        <f t="shared" si="7"/>
        <v>0</v>
      </c>
      <c r="N51" s="820">
        <f t="shared" si="8"/>
        <v>1.7126517525773195</v>
      </c>
      <c r="O51" s="819">
        <f t="shared" si="9"/>
        <v>0</v>
      </c>
      <c r="P51" s="818"/>
    </row>
    <row r="52" spans="1:16" ht="13.5" thickBot="1">
      <c r="A52" s="1122"/>
      <c r="B52" s="441"/>
      <c r="C52" s="824" t="s">
        <v>3491</v>
      </c>
      <c r="D52" s="825" t="s">
        <v>3568</v>
      </c>
      <c r="E52" s="823">
        <v>411.34020618556701</v>
      </c>
      <c r="F52" s="822">
        <f t="shared" si="0"/>
        <v>246.8041237113402</v>
      </c>
      <c r="G52" s="821">
        <f t="shared" si="1"/>
        <v>0</v>
      </c>
      <c r="H52" s="60">
        <f t="shared" si="2"/>
        <v>20.534103092783504</v>
      </c>
      <c r="I52" s="819">
        <f t="shared" si="3"/>
        <v>0</v>
      </c>
      <c r="J52" s="820">
        <f t="shared" si="4"/>
        <v>7.7249690721649484</v>
      </c>
      <c r="K52" s="819">
        <f t="shared" si="5"/>
        <v>0</v>
      </c>
      <c r="L52" s="60">
        <f t="shared" si="6"/>
        <v>6.3181855670103095</v>
      </c>
      <c r="M52" s="819">
        <f t="shared" si="7"/>
        <v>0</v>
      </c>
      <c r="N52" s="820">
        <f t="shared" si="8"/>
        <v>5.2569278350515463</v>
      </c>
      <c r="O52" s="819">
        <f t="shared" si="9"/>
        <v>0</v>
      </c>
      <c r="P52" s="818"/>
    </row>
    <row r="53" spans="1:16" ht="13.5" thickBot="1">
      <c r="A53" s="1122"/>
      <c r="B53" s="441"/>
      <c r="C53" s="419" t="s">
        <v>472</v>
      </c>
      <c r="D53" s="825" t="s">
        <v>720</v>
      </c>
      <c r="E53" s="823">
        <v>257.73195876288662</v>
      </c>
      <c r="F53" s="822">
        <f t="shared" si="0"/>
        <v>154.63917525773198</v>
      </c>
      <c r="G53" s="821">
        <f t="shared" si="1"/>
        <v>0</v>
      </c>
      <c r="H53" s="60">
        <f t="shared" si="2"/>
        <v>12.865979381443299</v>
      </c>
      <c r="I53" s="819">
        <f t="shared" si="3"/>
        <v>0</v>
      </c>
      <c r="J53" s="820">
        <f t="shared" si="4"/>
        <v>4.8402061855670109</v>
      </c>
      <c r="K53" s="819">
        <f t="shared" si="5"/>
        <v>0</v>
      </c>
      <c r="L53" s="60">
        <f t="shared" si="6"/>
        <v>3.9587628865979387</v>
      </c>
      <c r="M53" s="819">
        <f t="shared" si="7"/>
        <v>0</v>
      </c>
      <c r="N53" s="820">
        <f t="shared" si="8"/>
        <v>3.293814432989691</v>
      </c>
      <c r="O53" s="819">
        <f t="shared" si="9"/>
        <v>0</v>
      </c>
      <c r="P53" s="818"/>
    </row>
    <row r="54" spans="1:16" ht="13.5" thickBot="1">
      <c r="A54" s="1122"/>
      <c r="B54" s="440"/>
      <c r="C54" s="824" t="s">
        <v>689</v>
      </c>
      <c r="D54" s="827" t="s">
        <v>712</v>
      </c>
      <c r="E54" s="823">
        <v>412.37113402061857</v>
      </c>
      <c r="F54" s="822">
        <f t="shared" si="0"/>
        <v>247.42268041237114</v>
      </c>
      <c r="G54" s="819">
        <f t="shared" si="1"/>
        <v>0</v>
      </c>
      <c r="H54" s="60">
        <f t="shared" si="2"/>
        <v>20.585567010309276</v>
      </c>
      <c r="I54" s="819">
        <f t="shared" si="3"/>
        <v>0</v>
      </c>
      <c r="J54" s="820">
        <f t="shared" si="4"/>
        <v>7.7443298969072165</v>
      </c>
      <c r="K54" s="819">
        <f t="shared" si="5"/>
        <v>0</v>
      </c>
      <c r="L54" s="60">
        <f t="shared" si="6"/>
        <v>6.3340206185567016</v>
      </c>
      <c r="M54" s="819">
        <f t="shared" si="7"/>
        <v>0</v>
      </c>
      <c r="N54" s="820">
        <f t="shared" si="8"/>
        <v>5.2701030927835051</v>
      </c>
      <c r="O54" s="819">
        <f t="shared" si="9"/>
        <v>0</v>
      </c>
      <c r="P54" s="818"/>
    </row>
    <row r="55" spans="1:16" ht="13.5" thickBot="1">
      <c r="A55" s="1122"/>
      <c r="B55" s="440"/>
      <c r="C55" s="419" t="s">
        <v>690</v>
      </c>
      <c r="D55" s="825" t="s">
        <v>721</v>
      </c>
      <c r="E55" s="823">
        <v>514.43298969072168</v>
      </c>
      <c r="F55" s="822">
        <f t="shared" si="0"/>
        <v>308.65979381443299</v>
      </c>
      <c r="G55" s="821">
        <f t="shared" si="1"/>
        <v>0</v>
      </c>
      <c r="H55" s="60">
        <f t="shared" si="2"/>
        <v>25.680494845360823</v>
      </c>
      <c r="I55" s="819">
        <f t="shared" si="3"/>
        <v>0</v>
      </c>
      <c r="J55" s="820">
        <f t="shared" si="4"/>
        <v>9.6610515463917537</v>
      </c>
      <c r="K55" s="819">
        <f t="shared" si="5"/>
        <v>0</v>
      </c>
      <c r="L55" s="60">
        <f t="shared" si="6"/>
        <v>7.9016907216494845</v>
      </c>
      <c r="M55" s="819">
        <f t="shared" si="7"/>
        <v>0</v>
      </c>
      <c r="N55" s="820">
        <f t="shared" si="8"/>
        <v>6.5744536082474223</v>
      </c>
      <c r="O55" s="819">
        <f t="shared" si="9"/>
        <v>0</v>
      </c>
      <c r="P55" s="818"/>
    </row>
    <row r="56" spans="1:16" ht="13.5" thickBot="1">
      <c r="A56" s="1122"/>
      <c r="B56" s="440"/>
      <c r="C56" s="419" t="s">
        <v>198</v>
      </c>
      <c r="D56" s="420" t="s">
        <v>815</v>
      </c>
      <c r="E56" s="823">
        <v>339.17525773195877</v>
      </c>
      <c r="F56" s="822">
        <f t="shared" si="0"/>
        <v>203.50515463917526</v>
      </c>
      <c r="G56" s="821">
        <f t="shared" si="1"/>
        <v>0</v>
      </c>
      <c r="H56" s="60">
        <f t="shared" si="2"/>
        <v>16.931628865979381</v>
      </c>
      <c r="I56" s="819">
        <f t="shared" si="3"/>
        <v>0</v>
      </c>
      <c r="J56" s="820">
        <f t="shared" si="4"/>
        <v>6.3697113402061856</v>
      </c>
      <c r="K56" s="819">
        <f t="shared" si="5"/>
        <v>0</v>
      </c>
      <c r="L56" s="60">
        <f t="shared" si="6"/>
        <v>5.2097319587628865</v>
      </c>
      <c r="M56" s="819">
        <f t="shared" si="7"/>
        <v>0</v>
      </c>
      <c r="N56" s="820">
        <f t="shared" si="8"/>
        <v>4.3346597938144331</v>
      </c>
      <c r="O56" s="819">
        <f t="shared" si="9"/>
        <v>0</v>
      </c>
      <c r="P56" s="818"/>
    </row>
    <row r="57" spans="1:16" ht="13.5" thickBot="1">
      <c r="A57" s="1122"/>
      <c r="B57" s="440"/>
      <c r="C57" s="419" t="s">
        <v>542</v>
      </c>
      <c r="D57" s="420" t="s">
        <v>3607</v>
      </c>
      <c r="E57" s="823">
        <v>1025.7731958762886</v>
      </c>
      <c r="F57" s="822">
        <f t="shared" si="0"/>
        <v>615.46391752577313</v>
      </c>
      <c r="G57" s="821">
        <f t="shared" si="1"/>
        <v>0</v>
      </c>
      <c r="H57" s="60">
        <f t="shared" si="2"/>
        <v>51.20659793814432</v>
      </c>
      <c r="I57" s="819">
        <f t="shared" si="3"/>
        <v>0</v>
      </c>
      <c r="J57" s="820">
        <f t="shared" si="4"/>
        <v>19.2640206185567</v>
      </c>
      <c r="K57" s="819">
        <f t="shared" si="5"/>
        <v>0</v>
      </c>
      <c r="L57" s="60">
        <f t="shared" si="6"/>
        <v>15.755876288659794</v>
      </c>
      <c r="M57" s="819">
        <f t="shared" si="7"/>
        <v>0</v>
      </c>
      <c r="N57" s="820">
        <f t="shared" si="8"/>
        <v>13.109381443298968</v>
      </c>
      <c r="O57" s="819">
        <f t="shared" si="9"/>
        <v>0</v>
      </c>
      <c r="P57" s="818"/>
    </row>
    <row r="58" spans="1:16" ht="26.25" thickBot="1">
      <c r="A58" s="1122"/>
      <c r="B58" s="440"/>
      <c r="C58" s="419">
        <v>3000005452</v>
      </c>
      <c r="D58" s="420" t="s">
        <v>3608</v>
      </c>
      <c r="E58" s="823">
        <v>3505.1546391752577</v>
      </c>
      <c r="F58" s="822">
        <f t="shared" si="0"/>
        <v>2103.0927835051543</v>
      </c>
      <c r="G58" s="821">
        <f t="shared" si="1"/>
        <v>0</v>
      </c>
      <c r="H58" s="60">
        <f t="shared" si="2"/>
        <v>174.97731958762884</v>
      </c>
      <c r="I58" s="819">
        <f t="shared" si="3"/>
        <v>0</v>
      </c>
      <c r="J58" s="820">
        <f t="shared" si="4"/>
        <v>65.826804123711327</v>
      </c>
      <c r="K58" s="819">
        <f t="shared" si="5"/>
        <v>0</v>
      </c>
      <c r="L58" s="60">
        <f t="shared" si="6"/>
        <v>53.839175257731952</v>
      </c>
      <c r="M58" s="819">
        <f t="shared" si="7"/>
        <v>0</v>
      </c>
      <c r="N58" s="820">
        <f t="shared" si="8"/>
        <v>44.795876288659784</v>
      </c>
      <c r="O58" s="819">
        <f t="shared" si="9"/>
        <v>0</v>
      </c>
      <c r="P58" s="818"/>
    </row>
    <row r="59" spans="1:16" ht="13.5" thickBot="1">
      <c r="A59" s="1122"/>
      <c r="B59" s="440"/>
      <c r="C59" s="824" t="s">
        <v>272</v>
      </c>
      <c r="D59" s="827" t="s">
        <v>3609</v>
      </c>
      <c r="E59" s="823">
        <v>1134.020618556701</v>
      </c>
      <c r="F59" s="822">
        <f t="shared" si="0"/>
        <v>680.41237113402065</v>
      </c>
      <c r="G59" s="821">
        <f t="shared" si="1"/>
        <v>0</v>
      </c>
      <c r="H59" s="60">
        <f t="shared" si="2"/>
        <v>56.610309278350513</v>
      </c>
      <c r="I59" s="819">
        <f t="shared" si="3"/>
        <v>0</v>
      </c>
      <c r="J59" s="820">
        <f t="shared" si="4"/>
        <v>21.296907216494848</v>
      </c>
      <c r="K59" s="819">
        <f t="shared" si="5"/>
        <v>0</v>
      </c>
      <c r="L59" s="60">
        <f t="shared" si="6"/>
        <v>17.41855670103093</v>
      </c>
      <c r="M59" s="819">
        <f t="shared" si="7"/>
        <v>0</v>
      </c>
      <c r="N59" s="820">
        <f t="shared" si="8"/>
        <v>14.492783505154639</v>
      </c>
      <c r="O59" s="819">
        <f t="shared" si="9"/>
        <v>0</v>
      </c>
      <c r="P59" s="818"/>
    </row>
    <row r="60" spans="1:16" ht="13.5" thickBot="1">
      <c r="A60" s="1122"/>
      <c r="B60" s="445"/>
      <c r="C60" s="824" t="s">
        <v>487</v>
      </c>
      <c r="D60" s="825" t="s">
        <v>3610</v>
      </c>
      <c r="E60" s="823">
        <v>1025.7731958762886</v>
      </c>
      <c r="F60" s="822">
        <f t="shared" si="0"/>
        <v>615.46391752577313</v>
      </c>
      <c r="G60" s="821">
        <f t="shared" si="1"/>
        <v>0</v>
      </c>
      <c r="H60" s="60">
        <f t="shared" si="2"/>
        <v>51.20659793814432</v>
      </c>
      <c r="I60" s="819">
        <f t="shared" si="3"/>
        <v>0</v>
      </c>
      <c r="J60" s="820">
        <f t="shared" si="4"/>
        <v>19.2640206185567</v>
      </c>
      <c r="K60" s="819">
        <f t="shared" si="5"/>
        <v>0</v>
      </c>
      <c r="L60" s="60">
        <f t="shared" si="6"/>
        <v>15.755876288659794</v>
      </c>
      <c r="M60" s="819">
        <f t="shared" si="7"/>
        <v>0</v>
      </c>
      <c r="N60" s="820">
        <f t="shared" si="8"/>
        <v>13.109381443298968</v>
      </c>
      <c r="O60" s="819">
        <f t="shared" si="9"/>
        <v>0</v>
      </c>
      <c r="P60" s="818"/>
    </row>
    <row r="61" spans="1:16" ht="13.5" thickBot="1">
      <c r="A61" s="1122"/>
      <c r="B61" s="440"/>
      <c r="C61" s="419" t="s">
        <v>488</v>
      </c>
      <c r="D61" s="825" t="s">
        <v>3611</v>
      </c>
      <c r="E61" s="823">
        <v>5463.9175257731958</v>
      </c>
      <c r="F61" s="822">
        <f t="shared" si="0"/>
        <v>3278.3505154639174</v>
      </c>
      <c r="G61" s="821">
        <f t="shared" si="1"/>
        <v>0</v>
      </c>
      <c r="H61" s="60">
        <f t="shared" si="2"/>
        <v>272.75876288659794</v>
      </c>
      <c r="I61" s="819">
        <f t="shared" si="3"/>
        <v>0</v>
      </c>
      <c r="J61" s="820">
        <f t="shared" si="4"/>
        <v>102.61237113402062</v>
      </c>
      <c r="K61" s="819">
        <f t="shared" si="5"/>
        <v>0</v>
      </c>
      <c r="L61" s="60">
        <f t="shared" si="6"/>
        <v>83.925773195876289</v>
      </c>
      <c r="M61" s="819">
        <f t="shared" si="7"/>
        <v>0</v>
      </c>
      <c r="N61" s="820">
        <f t="shared" si="8"/>
        <v>69.828865979381433</v>
      </c>
      <c r="O61" s="819">
        <f t="shared" si="9"/>
        <v>0</v>
      </c>
      <c r="P61" s="818"/>
    </row>
    <row r="62" spans="1:16" ht="13.5" thickBot="1">
      <c r="A62" s="1122"/>
      <c r="B62" s="440"/>
      <c r="C62" s="419" t="s">
        <v>484</v>
      </c>
      <c r="D62" s="825" t="s">
        <v>409</v>
      </c>
      <c r="E62" s="823">
        <v>206.18556701030928</v>
      </c>
      <c r="F62" s="822">
        <f t="shared" si="0"/>
        <v>123.71134020618557</v>
      </c>
      <c r="G62" s="821">
        <f t="shared" si="1"/>
        <v>0</v>
      </c>
      <c r="H62" s="60">
        <f t="shared" si="2"/>
        <v>10.292783505154638</v>
      </c>
      <c r="I62" s="819">
        <f t="shared" si="3"/>
        <v>0</v>
      </c>
      <c r="J62" s="820">
        <f t="shared" si="4"/>
        <v>3.8721649484536083</v>
      </c>
      <c r="K62" s="819">
        <f t="shared" si="5"/>
        <v>0</v>
      </c>
      <c r="L62" s="60">
        <f t="shared" si="6"/>
        <v>3.1670103092783508</v>
      </c>
      <c r="M62" s="819">
        <f t="shared" si="7"/>
        <v>0</v>
      </c>
      <c r="N62" s="820">
        <f t="shared" si="8"/>
        <v>2.6350515463917525</v>
      </c>
      <c r="O62" s="819">
        <f t="shared" si="9"/>
        <v>0</v>
      </c>
      <c r="P62" s="818"/>
    </row>
    <row r="63" spans="1:16" ht="26.25" thickBot="1">
      <c r="A63" s="1122"/>
      <c r="B63" s="441"/>
      <c r="C63" s="419" t="s">
        <v>485</v>
      </c>
      <c r="D63" s="825" t="s">
        <v>3511</v>
      </c>
      <c r="E63" s="823">
        <v>287.62886597938143</v>
      </c>
      <c r="F63" s="822">
        <f t="shared" si="0"/>
        <v>172.57731958762886</v>
      </c>
      <c r="G63" s="821">
        <f t="shared" si="1"/>
        <v>0</v>
      </c>
      <c r="H63" s="60">
        <f t="shared" si="2"/>
        <v>14.358432989690721</v>
      </c>
      <c r="I63" s="819">
        <f t="shared" si="3"/>
        <v>0</v>
      </c>
      <c r="J63" s="820">
        <f t="shared" si="4"/>
        <v>5.4016701030927834</v>
      </c>
      <c r="K63" s="819">
        <f t="shared" si="5"/>
        <v>0</v>
      </c>
      <c r="L63" s="60">
        <f t="shared" si="6"/>
        <v>4.417979381443299</v>
      </c>
      <c r="M63" s="819">
        <f t="shared" si="7"/>
        <v>0</v>
      </c>
      <c r="N63" s="820">
        <f t="shared" si="8"/>
        <v>3.6758969072164946</v>
      </c>
      <c r="O63" s="819">
        <f t="shared" si="9"/>
        <v>0</v>
      </c>
      <c r="P63" s="818"/>
    </row>
    <row r="64" spans="1:16" ht="13.5" thickBot="1">
      <c r="A64" s="1122"/>
      <c r="B64" s="440"/>
      <c r="C64" s="419" t="s">
        <v>3489</v>
      </c>
      <c r="D64" s="825" t="s">
        <v>3564</v>
      </c>
      <c r="E64" s="823">
        <v>875.25773195876286</v>
      </c>
      <c r="F64" s="822">
        <f t="shared" si="0"/>
        <v>525.15463917525767</v>
      </c>
      <c r="G64" s="821">
        <f t="shared" si="1"/>
        <v>0</v>
      </c>
      <c r="H64" s="60">
        <f t="shared" si="2"/>
        <v>43.692865979381438</v>
      </c>
      <c r="I64" s="819">
        <f t="shared" si="3"/>
        <v>0</v>
      </c>
      <c r="J64" s="820">
        <f t="shared" si="4"/>
        <v>16.437340206185567</v>
      </c>
      <c r="K64" s="819">
        <f t="shared" si="5"/>
        <v>0</v>
      </c>
      <c r="L64" s="60">
        <f t="shared" si="6"/>
        <v>13.443958762886597</v>
      </c>
      <c r="M64" s="819">
        <f t="shared" si="7"/>
        <v>0</v>
      </c>
      <c r="N64" s="820">
        <f t="shared" si="8"/>
        <v>11.185793814432989</v>
      </c>
      <c r="O64" s="819">
        <f t="shared" si="9"/>
        <v>0</v>
      </c>
      <c r="P64" s="818"/>
    </row>
    <row r="65" spans="1:16" ht="13.5" thickBot="1">
      <c r="A65" s="1122"/>
      <c r="B65" s="440"/>
      <c r="C65" s="824" t="s">
        <v>87</v>
      </c>
      <c r="D65" s="825" t="s">
        <v>722</v>
      </c>
      <c r="E65" s="823">
        <v>1389.6907216494847</v>
      </c>
      <c r="F65" s="822">
        <f t="shared" si="0"/>
        <v>833.81443298969077</v>
      </c>
      <c r="G65" s="821">
        <f t="shared" si="1"/>
        <v>0</v>
      </c>
      <c r="H65" s="60">
        <f t="shared" si="2"/>
        <v>69.373360824742264</v>
      </c>
      <c r="I65" s="819">
        <f t="shared" si="3"/>
        <v>0</v>
      </c>
      <c r="J65" s="820">
        <f t="shared" si="4"/>
        <v>26.098391752577321</v>
      </c>
      <c r="K65" s="819">
        <f t="shared" si="5"/>
        <v>0</v>
      </c>
      <c r="L65" s="60">
        <f t="shared" si="6"/>
        <v>21.345649484536086</v>
      </c>
      <c r="M65" s="819">
        <f t="shared" si="7"/>
        <v>0</v>
      </c>
      <c r="N65" s="820">
        <f t="shared" si="8"/>
        <v>17.760247422680415</v>
      </c>
      <c r="O65" s="819">
        <f t="shared" si="9"/>
        <v>0</v>
      </c>
      <c r="P65" s="818"/>
    </row>
    <row r="66" spans="1:16" ht="13.5" thickBot="1">
      <c r="A66" s="1122"/>
      <c r="B66" s="440"/>
      <c r="C66" s="824" t="s">
        <v>474</v>
      </c>
      <c r="D66" s="825" t="s">
        <v>723</v>
      </c>
      <c r="E66" s="823">
        <v>229.48453608247422</v>
      </c>
      <c r="F66" s="822">
        <f t="shared" si="0"/>
        <v>137.69072164948452</v>
      </c>
      <c r="G66" s="821">
        <f t="shared" si="1"/>
        <v>0</v>
      </c>
      <c r="H66" s="60">
        <f t="shared" si="2"/>
        <v>11.45586804123711</v>
      </c>
      <c r="I66" s="819">
        <f t="shared" si="3"/>
        <v>0</v>
      </c>
      <c r="J66" s="820">
        <f t="shared" si="4"/>
        <v>4.3097195876288659</v>
      </c>
      <c r="K66" s="819">
        <f t="shared" si="5"/>
        <v>0</v>
      </c>
      <c r="L66" s="60">
        <f t="shared" si="6"/>
        <v>3.5248824742268039</v>
      </c>
      <c r="M66" s="819">
        <f t="shared" si="7"/>
        <v>0</v>
      </c>
      <c r="N66" s="820">
        <f t="shared" si="8"/>
        <v>2.9328123711340202</v>
      </c>
      <c r="O66" s="819">
        <f t="shared" si="9"/>
        <v>0</v>
      </c>
      <c r="P66" s="818"/>
    </row>
    <row r="67" spans="1:16" ht="13.5" thickBot="1">
      <c r="A67" s="1122"/>
      <c r="B67" s="441"/>
      <c r="C67" s="824">
        <v>45206712</v>
      </c>
      <c r="D67" s="825" t="s">
        <v>3612</v>
      </c>
      <c r="E67" s="823">
        <v>2577.319587628866</v>
      </c>
      <c r="F67" s="822">
        <f t="shared" si="0"/>
        <v>1546.3917525773195</v>
      </c>
      <c r="G67" s="821">
        <f t="shared" si="1"/>
        <v>0</v>
      </c>
      <c r="H67" s="60">
        <f t="shared" si="2"/>
        <v>128.65979381443299</v>
      </c>
      <c r="I67" s="819">
        <f t="shared" si="3"/>
        <v>0</v>
      </c>
      <c r="J67" s="820">
        <f t="shared" si="4"/>
        <v>48.402061855670105</v>
      </c>
      <c r="K67" s="819">
        <f t="shared" si="5"/>
        <v>0</v>
      </c>
      <c r="L67" s="60">
        <f t="shared" si="6"/>
        <v>39.587628865979383</v>
      </c>
      <c r="M67" s="819">
        <f t="shared" si="7"/>
        <v>0</v>
      </c>
      <c r="N67" s="820">
        <f t="shared" si="8"/>
        <v>32.938144329896907</v>
      </c>
      <c r="O67" s="819">
        <f t="shared" si="9"/>
        <v>0</v>
      </c>
      <c r="P67" s="818"/>
    </row>
    <row r="68" spans="1:16" ht="13.5" thickBot="1">
      <c r="A68" s="1122"/>
      <c r="B68" s="441"/>
      <c r="C68" s="824">
        <v>45206719</v>
      </c>
      <c r="D68" s="825" t="s">
        <v>3613</v>
      </c>
      <c r="E68" s="823">
        <v>3092.7835051546394</v>
      </c>
      <c r="F68" s="822">
        <f t="shared" si="0"/>
        <v>1855.6701030927836</v>
      </c>
      <c r="G68" s="821">
        <f t="shared" si="1"/>
        <v>0</v>
      </c>
      <c r="H68" s="60">
        <f t="shared" si="2"/>
        <v>154.39175257731958</v>
      </c>
      <c r="I68" s="819">
        <f t="shared" si="3"/>
        <v>0</v>
      </c>
      <c r="J68" s="820">
        <f t="shared" si="4"/>
        <v>58.082474226804131</v>
      </c>
      <c r="K68" s="819">
        <f t="shared" si="5"/>
        <v>0</v>
      </c>
      <c r="L68" s="60">
        <f t="shared" si="6"/>
        <v>47.505154639175259</v>
      </c>
      <c r="M68" s="819">
        <f t="shared" si="7"/>
        <v>0</v>
      </c>
      <c r="N68" s="820">
        <f t="shared" si="8"/>
        <v>39.52577319587629</v>
      </c>
      <c r="O68" s="819">
        <f t="shared" si="9"/>
        <v>0</v>
      </c>
      <c r="P68" s="818"/>
    </row>
    <row r="69" spans="1:16" ht="26.25" thickBot="1">
      <c r="A69" s="1122"/>
      <c r="B69" s="441"/>
      <c r="C69" s="824" t="s">
        <v>490</v>
      </c>
      <c r="D69" s="825" t="s">
        <v>3505</v>
      </c>
      <c r="E69" s="823">
        <v>1103.0927835051546</v>
      </c>
      <c r="F69" s="822">
        <f t="shared" si="0"/>
        <v>661.85567010309273</v>
      </c>
      <c r="G69" s="819">
        <f t="shared" si="1"/>
        <v>0</v>
      </c>
      <c r="H69" s="60">
        <f t="shared" si="2"/>
        <v>55.06639175257731</v>
      </c>
      <c r="I69" s="819">
        <f t="shared" si="3"/>
        <v>0</v>
      </c>
      <c r="J69" s="820">
        <f t="shared" si="4"/>
        <v>20.716082474226802</v>
      </c>
      <c r="K69" s="819">
        <f t="shared" si="5"/>
        <v>0</v>
      </c>
      <c r="L69" s="60">
        <f t="shared" si="6"/>
        <v>16.943505154639176</v>
      </c>
      <c r="M69" s="819">
        <f t="shared" si="7"/>
        <v>0</v>
      </c>
      <c r="N69" s="820">
        <f t="shared" si="8"/>
        <v>14.097525773195875</v>
      </c>
      <c r="O69" s="819">
        <f t="shared" si="9"/>
        <v>0</v>
      </c>
      <c r="P69" s="818"/>
    </row>
    <row r="70" spans="1:16" ht="13.5" thickBot="1">
      <c r="A70" s="1122"/>
      <c r="B70" s="440"/>
      <c r="C70" s="419" t="s">
        <v>455</v>
      </c>
      <c r="D70" s="827" t="s">
        <v>3506</v>
      </c>
      <c r="E70" s="823">
        <v>1101.5257731958764</v>
      </c>
      <c r="F70" s="822">
        <f t="shared" si="0"/>
        <v>660.91546391752581</v>
      </c>
      <c r="G70" s="821">
        <f t="shared" si="1"/>
        <v>0</v>
      </c>
      <c r="H70" s="60">
        <f t="shared" si="2"/>
        <v>54.988166597938147</v>
      </c>
      <c r="I70" s="819">
        <f t="shared" si="3"/>
        <v>0</v>
      </c>
      <c r="J70" s="820">
        <f t="shared" si="4"/>
        <v>20.686654020618558</v>
      </c>
      <c r="K70" s="819">
        <f t="shared" si="5"/>
        <v>0</v>
      </c>
      <c r="L70" s="60">
        <f t="shared" si="6"/>
        <v>16.919435876288663</v>
      </c>
      <c r="M70" s="819">
        <f t="shared" si="7"/>
        <v>0</v>
      </c>
      <c r="N70" s="820">
        <f t="shared" si="8"/>
        <v>14.0774993814433</v>
      </c>
      <c r="O70" s="819">
        <f t="shared" si="9"/>
        <v>0</v>
      </c>
      <c r="P70" s="818"/>
    </row>
    <row r="71" spans="1:16" ht="13.5" thickBot="1">
      <c r="A71" s="1122"/>
      <c r="B71" s="440"/>
      <c r="C71" s="419" t="s">
        <v>3575</v>
      </c>
      <c r="D71" s="825" t="s">
        <v>3569</v>
      </c>
      <c r="E71" s="823">
        <v>1601.0309278350517</v>
      </c>
      <c r="F71" s="822">
        <f t="shared" si="0"/>
        <v>960.61855670103091</v>
      </c>
      <c r="G71" s="821">
        <f t="shared" si="1"/>
        <v>0</v>
      </c>
      <c r="H71" s="60">
        <f t="shared" si="2"/>
        <v>79.923463917525766</v>
      </c>
      <c r="I71" s="819">
        <f t="shared" si="3"/>
        <v>0</v>
      </c>
      <c r="J71" s="820">
        <f t="shared" si="4"/>
        <v>30.06736082474227</v>
      </c>
      <c r="K71" s="819">
        <f t="shared" si="5"/>
        <v>0</v>
      </c>
      <c r="L71" s="60">
        <f t="shared" si="6"/>
        <v>24.591835051546393</v>
      </c>
      <c r="M71" s="819">
        <f t="shared" si="7"/>
        <v>0</v>
      </c>
      <c r="N71" s="820">
        <f t="shared" si="8"/>
        <v>20.461175257731959</v>
      </c>
      <c r="O71" s="819">
        <f t="shared" si="9"/>
        <v>0</v>
      </c>
      <c r="P71" s="818"/>
    </row>
    <row r="72" spans="1:16" s="413" customFormat="1" ht="26.25" thickBot="1">
      <c r="A72" s="1122"/>
      <c r="B72" s="805"/>
      <c r="C72" s="808" t="s">
        <v>3794</v>
      </c>
      <c r="D72" s="420" t="s">
        <v>3633</v>
      </c>
      <c r="E72" s="823">
        <v>2020.340206185567</v>
      </c>
      <c r="F72" s="59">
        <f t="shared" si="0"/>
        <v>1212.2041237113401</v>
      </c>
      <c r="G72" s="527">
        <f t="shared" si="1"/>
        <v>0</v>
      </c>
      <c r="H72" s="528">
        <f t="shared" si="2"/>
        <v>100.8553830927835</v>
      </c>
      <c r="I72" s="528">
        <f t="shared" si="3"/>
        <v>0</v>
      </c>
      <c r="J72" s="528">
        <f t="shared" si="4"/>
        <v>37.941989072164951</v>
      </c>
      <c r="K72" s="528">
        <f t="shared" si="5"/>
        <v>0</v>
      </c>
      <c r="L72" s="528">
        <f t="shared" si="6"/>
        <v>31.032425567010307</v>
      </c>
      <c r="M72" s="528">
        <f t="shared" si="7"/>
        <v>0</v>
      </c>
      <c r="N72" s="528">
        <f t="shared" si="8"/>
        <v>25.819947835051543</v>
      </c>
      <c r="O72" s="528">
        <f t="shared" si="9"/>
        <v>0</v>
      </c>
      <c r="P72" s="818"/>
    </row>
    <row r="73" spans="1:16" s="413" customFormat="1" ht="26.25" thickBot="1">
      <c r="A73" s="1122"/>
      <c r="B73" s="805"/>
      <c r="C73" s="808" t="s">
        <v>3496</v>
      </c>
      <c r="D73" s="420" t="s">
        <v>3634</v>
      </c>
      <c r="E73" s="823">
        <v>3510.0309278350514</v>
      </c>
      <c r="F73" s="59">
        <f t="shared" si="0"/>
        <v>2106.0185567010308</v>
      </c>
      <c r="G73" s="527">
        <f t="shared" si="1"/>
        <v>0</v>
      </c>
      <c r="H73" s="528">
        <f t="shared" si="2"/>
        <v>175.22074391752577</v>
      </c>
      <c r="I73" s="528">
        <f t="shared" si="3"/>
        <v>0</v>
      </c>
      <c r="J73" s="528">
        <f t="shared" si="4"/>
        <v>65.918380824742272</v>
      </c>
      <c r="K73" s="528">
        <f t="shared" si="5"/>
        <v>0</v>
      </c>
      <c r="L73" s="528">
        <f t="shared" si="6"/>
        <v>53.914075051546391</v>
      </c>
      <c r="M73" s="528">
        <f t="shared" si="7"/>
        <v>0</v>
      </c>
      <c r="N73" s="528">
        <f t="shared" si="8"/>
        <v>44.858195257731957</v>
      </c>
      <c r="O73" s="528">
        <f t="shared" si="9"/>
        <v>0</v>
      </c>
      <c r="P73" s="818"/>
    </row>
    <row r="74" spans="1:16" ht="13.5" thickBot="1">
      <c r="A74" s="1122"/>
      <c r="B74" s="440"/>
      <c r="C74" s="419" t="s">
        <v>691</v>
      </c>
      <c r="D74" s="827" t="s">
        <v>3614</v>
      </c>
      <c r="E74" s="823">
        <v>4286.5979381443303</v>
      </c>
      <c r="F74" s="822">
        <f t="shared" si="0"/>
        <v>2571.9587628865979</v>
      </c>
      <c r="G74" s="821">
        <f t="shared" si="1"/>
        <v>0</v>
      </c>
      <c r="H74" s="60">
        <f t="shared" si="2"/>
        <v>213.98696907216492</v>
      </c>
      <c r="I74" s="819">
        <f t="shared" si="3"/>
        <v>0</v>
      </c>
      <c r="J74" s="820">
        <f t="shared" si="4"/>
        <v>80.502309278350523</v>
      </c>
      <c r="K74" s="819">
        <f t="shared" si="5"/>
        <v>0</v>
      </c>
      <c r="L74" s="60">
        <f t="shared" si="6"/>
        <v>65.842144329896911</v>
      </c>
      <c r="M74" s="819">
        <f t="shared" si="7"/>
        <v>0</v>
      </c>
      <c r="N74" s="820">
        <f t="shared" si="8"/>
        <v>54.782721649484536</v>
      </c>
      <c r="O74" s="819">
        <f t="shared" si="9"/>
        <v>0</v>
      </c>
      <c r="P74" s="818"/>
    </row>
    <row r="75" spans="1:16" ht="13.5" thickBot="1">
      <c r="A75" s="1122"/>
      <c r="B75" s="441"/>
      <c r="C75" s="824" t="s">
        <v>3574</v>
      </c>
      <c r="D75" s="825" t="s">
        <v>3589</v>
      </c>
      <c r="E75" s="823">
        <v>308.2474226804124</v>
      </c>
      <c r="F75" s="822">
        <f t="shared" si="0"/>
        <v>184.94845360824743</v>
      </c>
      <c r="G75" s="821">
        <f t="shared" si="1"/>
        <v>0</v>
      </c>
      <c r="H75" s="60">
        <f t="shared" si="2"/>
        <v>15.387711340206186</v>
      </c>
      <c r="I75" s="819">
        <f t="shared" si="3"/>
        <v>0</v>
      </c>
      <c r="J75" s="820">
        <f t="shared" si="4"/>
        <v>5.788886597938145</v>
      </c>
      <c r="K75" s="819">
        <f t="shared" si="5"/>
        <v>0</v>
      </c>
      <c r="L75" s="60">
        <f t="shared" si="6"/>
        <v>4.7346804123711346</v>
      </c>
      <c r="M75" s="819">
        <f t="shared" si="7"/>
        <v>0</v>
      </c>
      <c r="N75" s="820">
        <f t="shared" si="8"/>
        <v>3.9394020618556702</v>
      </c>
      <c r="O75" s="819">
        <f t="shared" si="9"/>
        <v>0</v>
      </c>
      <c r="P75" s="818"/>
    </row>
    <row r="76" spans="1:16" ht="13.5" thickBot="1">
      <c r="A76" s="1122"/>
      <c r="B76" s="440"/>
      <c r="C76" s="419" t="s">
        <v>436</v>
      </c>
      <c r="D76" s="825" t="s">
        <v>673</v>
      </c>
      <c r="E76" s="823">
        <v>515.46391752577324</v>
      </c>
      <c r="F76" s="822">
        <f t="shared" si="0"/>
        <v>309.27835051546396</v>
      </c>
      <c r="G76" s="821">
        <f t="shared" si="1"/>
        <v>0</v>
      </c>
      <c r="H76" s="60">
        <f t="shared" si="2"/>
        <v>25.731958762886599</v>
      </c>
      <c r="I76" s="819">
        <f t="shared" si="3"/>
        <v>0</v>
      </c>
      <c r="J76" s="820">
        <f t="shared" si="4"/>
        <v>9.6804123711340218</v>
      </c>
      <c r="K76" s="819">
        <f t="shared" si="5"/>
        <v>0</v>
      </c>
      <c r="L76" s="60">
        <f t="shared" si="6"/>
        <v>7.9175257731958775</v>
      </c>
      <c r="M76" s="819">
        <f t="shared" si="7"/>
        <v>0</v>
      </c>
      <c r="N76" s="820">
        <f t="shared" si="8"/>
        <v>6.587628865979382</v>
      </c>
      <c r="O76" s="819">
        <f t="shared" si="9"/>
        <v>0</v>
      </c>
      <c r="P76" s="818"/>
    </row>
    <row r="77" spans="1:16" ht="13.5" thickBot="1">
      <c r="A77" s="1122"/>
      <c r="B77" s="440"/>
      <c r="C77" s="824" t="s">
        <v>477</v>
      </c>
      <c r="D77" s="420" t="s">
        <v>3615</v>
      </c>
      <c r="E77" s="823">
        <v>88.659793814432987</v>
      </c>
      <c r="F77" s="822">
        <f t="shared" si="0"/>
        <v>53.19587628865979</v>
      </c>
      <c r="G77" s="821">
        <f t="shared" si="1"/>
        <v>0</v>
      </c>
      <c r="H77" s="60">
        <f t="shared" si="2"/>
        <v>4.4258969072164946</v>
      </c>
      <c r="I77" s="819">
        <f t="shared" si="3"/>
        <v>0</v>
      </c>
      <c r="J77" s="820">
        <f t="shared" si="4"/>
        <v>1.6650309278350515</v>
      </c>
      <c r="K77" s="819">
        <f t="shared" si="5"/>
        <v>0</v>
      </c>
      <c r="L77" s="60">
        <f t="shared" si="6"/>
        <v>1.3618144329896906</v>
      </c>
      <c r="M77" s="819">
        <f t="shared" si="7"/>
        <v>0</v>
      </c>
      <c r="N77" s="820">
        <f t="shared" si="8"/>
        <v>1.1330721649484534</v>
      </c>
      <c r="O77" s="819">
        <f t="shared" si="9"/>
        <v>0</v>
      </c>
      <c r="P77" s="818"/>
    </row>
    <row r="78" spans="1:16" ht="13.5" thickBot="1">
      <c r="A78" s="1122"/>
      <c r="B78" s="440"/>
      <c r="C78" s="824" t="s">
        <v>692</v>
      </c>
      <c r="D78" s="825" t="s">
        <v>3510</v>
      </c>
      <c r="E78" s="823">
        <v>126.80412371134021</v>
      </c>
      <c r="F78" s="822">
        <f t="shared" si="0"/>
        <v>76.082474226804123</v>
      </c>
      <c r="G78" s="821">
        <f t="shared" si="1"/>
        <v>0</v>
      </c>
      <c r="H78" s="60">
        <f t="shared" si="2"/>
        <v>6.3300618556701025</v>
      </c>
      <c r="I78" s="819">
        <f t="shared" si="3"/>
        <v>0</v>
      </c>
      <c r="J78" s="820">
        <f t="shared" si="4"/>
        <v>2.3813814432989693</v>
      </c>
      <c r="K78" s="819">
        <f t="shared" si="5"/>
        <v>0</v>
      </c>
      <c r="L78" s="60">
        <f t="shared" si="6"/>
        <v>1.9477113402061856</v>
      </c>
      <c r="M78" s="819">
        <f t="shared" si="7"/>
        <v>0</v>
      </c>
      <c r="N78" s="820">
        <f t="shared" si="8"/>
        <v>1.6205567010309279</v>
      </c>
      <c r="O78" s="819">
        <f t="shared" si="9"/>
        <v>0</v>
      </c>
      <c r="P78" s="818"/>
    </row>
    <row r="79" spans="1:16" ht="13.5" thickBot="1">
      <c r="A79" s="1122"/>
      <c r="B79" s="440"/>
      <c r="C79" s="824" t="s">
        <v>693</v>
      </c>
      <c r="D79" s="420" t="s">
        <v>674</v>
      </c>
      <c r="E79" s="823">
        <v>129.89690721649484</v>
      </c>
      <c r="F79" s="822">
        <f t="shared" si="0"/>
        <v>77.9381443298969</v>
      </c>
      <c r="G79" s="821">
        <f t="shared" si="1"/>
        <v>0</v>
      </c>
      <c r="H79" s="60">
        <f t="shared" si="2"/>
        <v>6.4844536082474216</v>
      </c>
      <c r="I79" s="819">
        <f t="shared" si="3"/>
        <v>0</v>
      </c>
      <c r="J79" s="820">
        <f t="shared" si="4"/>
        <v>2.4394639175257731</v>
      </c>
      <c r="K79" s="819">
        <f t="shared" si="5"/>
        <v>0</v>
      </c>
      <c r="L79" s="60">
        <f t="shared" si="6"/>
        <v>1.9952164948453608</v>
      </c>
      <c r="M79" s="819">
        <f t="shared" si="7"/>
        <v>0</v>
      </c>
      <c r="N79" s="820">
        <f t="shared" si="8"/>
        <v>1.6600824742268039</v>
      </c>
      <c r="O79" s="819">
        <f t="shared" si="9"/>
        <v>0</v>
      </c>
      <c r="P79" s="818"/>
    </row>
    <row r="80" spans="1:16" ht="26.25" thickBot="1">
      <c r="A80" s="1122"/>
      <c r="B80" s="440"/>
      <c r="C80" s="419" t="s">
        <v>438</v>
      </c>
      <c r="D80" s="420" t="s">
        <v>594</v>
      </c>
      <c r="E80" s="823">
        <v>1134.020618556701</v>
      </c>
      <c r="F80" s="822">
        <f t="shared" si="0"/>
        <v>680.41237113402065</v>
      </c>
      <c r="G80" s="821">
        <f t="shared" si="1"/>
        <v>0</v>
      </c>
      <c r="H80" s="60">
        <f t="shared" si="2"/>
        <v>56.610309278350513</v>
      </c>
      <c r="I80" s="819">
        <f t="shared" si="3"/>
        <v>0</v>
      </c>
      <c r="J80" s="820">
        <f t="shared" si="4"/>
        <v>21.296907216494848</v>
      </c>
      <c r="K80" s="819">
        <f t="shared" si="5"/>
        <v>0</v>
      </c>
      <c r="L80" s="60">
        <f t="shared" si="6"/>
        <v>17.41855670103093</v>
      </c>
      <c r="M80" s="819">
        <f t="shared" si="7"/>
        <v>0</v>
      </c>
      <c r="N80" s="820">
        <f t="shared" si="8"/>
        <v>14.492783505154639</v>
      </c>
      <c r="O80" s="819">
        <f t="shared" si="9"/>
        <v>0</v>
      </c>
      <c r="P80" s="818"/>
    </row>
    <row r="81" spans="1:16" ht="13.5" thickBot="1">
      <c r="A81" s="1122"/>
      <c r="B81" s="440"/>
      <c r="C81" s="824" t="s">
        <v>439</v>
      </c>
      <c r="D81" s="827" t="s">
        <v>595</v>
      </c>
      <c r="E81" s="823">
        <v>809.2783505154639</v>
      </c>
      <c r="F81" s="822">
        <f t="shared" si="0"/>
        <v>485.56701030927832</v>
      </c>
      <c r="G81" s="821">
        <f t="shared" si="1"/>
        <v>0</v>
      </c>
      <c r="H81" s="60">
        <f t="shared" si="2"/>
        <v>40.399175257731955</v>
      </c>
      <c r="I81" s="819">
        <f t="shared" si="3"/>
        <v>0</v>
      </c>
      <c r="J81" s="820">
        <f t="shared" si="4"/>
        <v>15.198247422680412</v>
      </c>
      <c r="K81" s="819">
        <f t="shared" si="5"/>
        <v>0</v>
      </c>
      <c r="L81" s="60">
        <f t="shared" si="6"/>
        <v>12.430515463917526</v>
      </c>
      <c r="M81" s="819">
        <f t="shared" si="7"/>
        <v>0</v>
      </c>
      <c r="N81" s="820">
        <f t="shared" si="8"/>
        <v>10.342577319587628</v>
      </c>
      <c r="O81" s="819">
        <f t="shared" si="9"/>
        <v>0</v>
      </c>
      <c r="P81" s="818"/>
    </row>
    <row r="82" spans="1:16" ht="13.5" thickBot="1">
      <c r="A82" s="1122"/>
      <c r="B82" s="445"/>
      <c r="C82" s="824" t="s">
        <v>440</v>
      </c>
      <c r="D82" s="825" t="s">
        <v>418</v>
      </c>
      <c r="E82" s="823">
        <v>688.45360824742261</v>
      </c>
      <c r="F82" s="822">
        <f t="shared" ref="F82:F105" si="10">E82*(1-40%)</f>
        <v>413.07216494845358</v>
      </c>
      <c r="G82" s="821">
        <f t="shared" ref="G82:G105" si="11">F82*B82</f>
        <v>0</v>
      </c>
      <c r="H82" s="60">
        <f t="shared" ref="H82:H105" si="12">F82*0.0832</f>
        <v>34.367604123711338</v>
      </c>
      <c r="I82" s="819">
        <f t="shared" ref="I82:I105" si="13">H82*B82</f>
        <v>0</v>
      </c>
      <c r="J82" s="820">
        <f t="shared" ref="J82:J105" si="14">F82*0.0313</f>
        <v>12.929158762886598</v>
      </c>
      <c r="K82" s="819">
        <f t="shared" ref="K82:K105" si="15">J82*B82</f>
        <v>0</v>
      </c>
      <c r="L82" s="60">
        <f t="shared" ref="L82:L105" si="16">F82*0.0256</f>
        <v>10.574647422680412</v>
      </c>
      <c r="M82" s="819">
        <f t="shared" ref="M82:M105" si="17">L82*B82</f>
        <v>0</v>
      </c>
      <c r="N82" s="820">
        <f t="shared" ref="N82:N105" si="18">F82*0.0213</f>
        <v>8.7984371134020609</v>
      </c>
      <c r="O82" s="819">
        <f t="shared" ref="O82:O105" si="19">N82*B82</f>
        <v>0</v>
      </c>
      <c r="P82" s="818"/>
    </row>
    <row r="83" spans="1:16" ht="13.5" thickBot="1">
      <c r="A83" s="1122"/>
      <c r="B83" s="440"/>
      <c r="C83" s="824" t="s">
        <v>441</v>
      </c>
      <c r="D83" s="825" t="s">
        <v>596</v>
      </c>
      <c r="E83" s="823">
        <v>846.39175257731961</v>
      </c>
      <c r="F83" s="822">
        <f t="shared" si="10"/>
        <v>507.83505154639175</v>
      </c>
      <c r="G83" s="821">
        <f t="shared" si="11"/>
        <v>0</v>
      </c>
      <c r="H83" s="60">
        <f t="shared" si="12"/>
        <v>42.251876288659794</v>
      </c>
      <c r="I83" s="819">
        <f t="shared" si="13"/>
        <v>0</v>
      </c>
      <c r="J83" s="820">
        <f t="shared" si="14"/>
        <v>15.895237113402063</v>
      </c>
      <c r="K83" s="819">
        <f t="shared" si="15"/>
        <v>0</v>
      </c>
      <c r="L83" s="60">
        <f t="shared" si="16"/>
        <v>13.000577319587629</v>
      </c>
      <c r="M83" s="819">
        <f t="shared" si="17"/>
        <v>0</v>
      </c>
      <c r="N83" s="820">
        <f t="shared" si="18"/>
        <v>10.816886597938144</v>
      </c>
      <c r="O83" s="819">
        <f t="shared" si="19"/>
        <v>0</v>
      </c>
      <c r="P83" s="818"/>
    </row>
    <row r="84" spans="1:16" ht="13.5" thickBot="1">
      <c r="A84" s="1122"/>
      <c r="B84" s="440"/>
      <c r="C84" s="824" t="s">
        <v>442</v>
      </c>
      <c r="D84" s="825" t="s">
        <v>597</v>
      </c>
      <c r="E84" s="823">
        <v>711.34020618556701</v>
      </c>
      <c r="F84" s="822">
        <f t="shared" si="10"/>
        <v>426.8041237113402</v>
      </c>
      <c r="G84" s="821">
        <f t="shared" si="11"/>
        <v>0</v>
      </c>
      <c r="H84" s="60">
        <f t="shared" si="12"/>
        <v>35.510103092783503</v>
      </c>
      <c r="I84" s="819">
        <f t="shared" si="13"/>
        <v>0</v>
      </c>
      <c r="J84" s="820">
        <f t="shared" si="14"/>
        <v>13.358969072164948</v>
      </c>
      <c r="K84" s="819">
        <f t="shared" si="15"/>
        <v>0</v>
      </c>
      <c r="L84" s="60">
        <f t="shared" si="16"/>
        <v>10.926185567010309</v>
      </c>
      <c r="M84" s="819">
        <f t="shared" si="17"/>
        <v>0</v>
      </c>
      <c r="N84" s="820">
        <f t="shared" si="18"/>
        <v>9.0909278350515468</v>
      </c>
      <c r="O84" s="819">
        <f t="shared" si="19"/>
        <v>0</v>
      </c>
      <c r="P84" s="818"/>
    </row>
    <row r="85" spans="1:16" ht="13.5" thickBot="1">
      <c r="A85" s="1122"/>
      <c r="B85" s="441"/>
      <c r="C85" s="824" t="s">
        <v>443</v>
      </c>
      <c r="D85" s="825" t="s">
        <v>598</v>
      </c>
      <c r="E85" s="823">
        <v>196.90721649484536</v>
      </c>
      <c r="F85" s="822">
        <f t="shared" si="10"/>
        <v>118.14432989690721</v>
      </c>
      <c r="G85" s="821">
        <f t="shared" si="11"/>
        <v>0</v>
      </c>
      <c r="H85" s="60">
        <f t="shared" si="12"/>
        <v>9.82960824742268</v>
      </c>
      <c r="I85" s="819">
        <f t="shared" si="13"/>
        <v>0</v>
      </c>
      <c r="J85" s="820">
        <f t="shared" si="14"/>
        <v>3.697917525773196</v>
      </c>
      <c r="K85" s="819">
        <f t="shared" si="15"/>
        <v>0</v>
      </c>
      <c r="L85" s="60">
        <f t="shared" si="16"/>
        <v>3.0244948453608247</v>
      </c>
      <c r="M85" s="819">
        <f t="shared" si="17"/>
        <v>0</v>
      </c>
      <c r="N85" s="820">
        <f t="shared" si="18"/>
        <v>2.5164742268041236</v>
      </c>
      <c r="O85" s="819">
        <f t="shared" si="19"/>
        <v>0</v>
      </c>
      <c r="P85" s="818"/>
    </row>
    <row r="86" spans="1:16" ht="13.5" thickBot="1">
      <c r="A86" s="1122"/>
      <c r="B86" s="440"/>
      <c r="C86" s="824" t="s">
        <v>444</v>
      </c>
      <c r="D86" s="825" t="s">
        <v>680</v>
      </c>
      <c r="E86" s="823">
        <v>688.45360824742261</v>
      </c>
      <c r="F86" s="822">
        <f t="shared" si="10"/>
        <v>413.07216494845358</v>
      </c>
      <c r="G86" s="821">
        <f t="shared" si="11"/>
        <v>0</v>
      </c>
      <c r="H86" s="60">
        <f t="shared" si="12"/>
        <v>34.367604123711338</v>
      </c>
      <c r="I86" s="819">
        <f t="shared" si="13"/>
        <v>0</v>
      </c>
      <c r="J86" s="820">
        <f t="shared" si="14"/>
        <v>12.929158762886598</v>
      </c>
      <c r="K86" s="819">
        <f t="shared" si="15"/>
        <v>0</v>
      </c>
      <c r="L86" s="60">
        <f t="shared" si="16"/>
        <v>10.574647422680412</v>
      </c>
      <c r="M86" s="819">
        <f t="shared" si="17"/>
        <v>0</v>
      </c>
      <c r="N86" s="820">
        <f t="shared" si="18"/>
        <v>8.7984371134020609</v>
      </c>
      <c r="O86" s="819">
        <f t="shared" si="19"/>
        <v>0</v>
      </c>
      <c r="P86" s="818"/>
    </row>
    <row r="87" spans="1:16" ht="13.5" thickBot="1">
      <c r="A87" s="1122"/>
      <c r="B87" s="440"/>
      <c r="C87" s="824" t="s">
        <v>445</v>
      </c>
      <c r="D87" s="825" t="s">
        <v>681</v>
      </c>
      <c r="E87" s="823">
        <v>257.73195876288662</v>
      </c>
      <c r="F87" s="822">
        <f t="shared" si="10"/>
        <v>154.63917525773198</v>
      </c>
      <c r="G87" s="821">
        <f t="shared" si="11"/>
        <v>0</v>
      </c>
      <c r="H87" s="60">
        <f t="shared" si="12"/>
        <v>12.865979381443299</v>
      </c>
      <c r="I87" s="819">
        <f t="shared" si="13"/>
        <v>0</v>
      </c>
      <c r="J87" s="820">
        <f t="shared" si="14"/>
        <v>4.8402061855670109</v>
      </c>
      <c r="K87" s="819">
        <f t="shared" si="15"/>
        <v>0</v>
      </c>
      <c r="L87" s="60">
        <f t="shared" si="16"/>
        <v>3.9587628865979387</v>
      </c>
      <c r="M87" s="819">
        <f t="shared" si="17"/>
        <v>0</v>
      </c>
      <c r="N87" s="820">
        <f t="shared" si="18"/>
        <v>3.293814432989691</v>
      </c>
      <c r="O87" s="819">
        <f t="shared" si="19"/>
        <v>0</v>
      </c>
      <c r="P87" s="818"/>
    </row>
    <row r="88" spans="1:16" ht="13.5" thickBot="1">
      <c r="A88" s="1122"/>
      <c r="B88" s="440"/>
      <c r="C88" s="824" t="s">
        <v>3487</v>
      </c>
      <c r="D88" s="825" t="s">
        <v>3507</v>
      </c>
      <c r="E88" s="823">
        <v>407.21649484536084</v>
      </c>
      <c r="F88" s="822">
        <f t="shared" si="10"/>
        <v>244.32989690721649</v>
      </c>
      <c r="G88" s="821">
        <f t="shared" si="11"/>
        <v>0</v>
      </c>
      <c r="H88" s="60">
        <f t="shared" si="12"/>
        <v>20.328247422680413</v>
      </c>
      <c r="I88" s="819">
        <f t="shared" si="13"/>
        <v>0</v>
      </c>
      <c r="J88" s="820">
        <f t="shared" si="14"/>
        <v>7.647525773195877</v>
      </c>
      <c r="K88" s="819">
        <f t="shared" si="15"/>
        <v>0</v>
      </c>
      <c r="L88" s="60">
        <f t="shared" si="16"/>
        <v>6.254845360824743</v>
      </c>
      <c r="M88" s="819">
        <f t="shared" si="17"/>
        <v>0</v>
      </c>
      <c r="N88" s="820">
        <f t="shared" si="18"/>
        <v>5.204226804123711</v>
      </c>
      <c r="O88" s="819">
        <f t="shared" si="19"/>
        <v>0</v>
      </c>
      <c r="P88" s="818"/>
    </row>
    <row r="89" spans="1:16" ht="13.5" thickBot="1">
      <c r="A89" s="1122"/>
      <c r="B89" s="440"/>
      <c r="C89" s="824" t="s">
        <v>694</v>
      </c>
      <c r="D89" s="827" t="s">
        <v>3527</v>
      </c>
      <c r="E89" s="823">
        <v>1835.8762886597938</v>
      </c>
      <c r="F89" s="822">
        <f t="shared" si="10"/>
        <v>1101.5257731958761</v>
      </c>
      <c r="G89" s="821">
        <f t="shared" si="11"/>
        <v>0</v>
      </c>
      <c r="H89" s="60">
        <f t="shared" si="12"/>
        <v>91.646944329896883</v>
      </c>
      <c r="I89" s="819">
        <f t="shared" si="13"/>
        <v>0</v>
      </c>
      <c r="J89" s="820">
        <f t="shared" si="14"/>
        <v>34.477756701030927</v>
      </c>
      <c r="K89" s="819">
        <f t="shared" si="15"/>
        <v>0</v>
      </c>
      <c r="L89" s="60">
        <f t="shared" si="16"/>
        <v>28.199059793814431</v>
      </c>
      <c r="M89" s="819">
        <f t="shared" si="17"/>
        <v>0</v>
      </c>
      <c r="N89" s="820">
        <f t="shared" si="18"/>
        <v>23.462498969072161</v>
      </c>
      <c r="O89" s="819">
        <f t="shared" si="19"/>
        <v>0</v>
      </c>
      <c r="P89" s="818"/>
    </row>
    <row r="90" spans="1:16" ht="13.5" thickBot="1">
      <c r="A90" s="1122"/>
      <c r="B90" s="441"/>
      <c r="C90" s="824" t="s">
        <v>454</v>
      </c>
      <c r="D90" s="420" t="s">
        <v>3526</v>
      </c>
      <c r="E90" s="823">
        <v>872.1649484536083</v>
      </c>
      <c r="F90" s="822">
        <f t="shared" si="10"/>
        <v>523.29896907216494</v>
      </c>
      <c r="G90" s="821">
        <f t="shared" si="11"/>
        <v>0</v>
      </c>
      <c r="H90" s="60">
        <f t="shared" si="12"/>
        <v>43.538474226804119</v>
      </c>
      <c r="I90" s="819">
        <f t="shared" si="13"/>
        <v>0</v>
      </c>
      <c r="J90" s="820">
        <f t="shared" si="14"/>
        <v>16.379257731958763</v>
      </c>
      <c r="K90" s="819">
        <f t="shared" si="15"/>
        <v>0</v>
      </c>
      <c r="L90" s="60">
        <f t="shared" si="16"/>
        <v>13.396453608247423</v>
      </c>
      <c r="M90" s="819">
        <f t="shared" si="17"/>
        <v>0</v>
      </c>
      <c r="N90" s="820">
        <f t="shared" si="18"/>
        <v>11.146268041237112</v>
      </c>
      <c r="O90" s="819">
        <f t="shared" si="19"/>
        <v>0</v>
      </c>
      <c r="P90" s="818"/>
    </row>
    <row r="91" spans="1:16" ht="13.5" thickBot="1">
      <c r="A91" s="1122"/>
      <c r="B91" s="440"/>
      <c r="C91" s="824" t="s">
        <v>70</v>
      </c>
      <c r="D91" s="420" t="s">
        <v>682</v>
      </c>
      <c r="E91" s="823">
        <v>61.855670103092784</v>
      </c>
      <c r="F91" s="822">
        <f t="shared" si="10"/>
        <v>37.113402061855666</v>
      </c>
      <c r="G91" s="821">
        <f t="shared" si="11"/>
        <v>0</v>
      </c>
      <c r="H91" s="60">
        <f t="shared" si="12"/>
        <v>3.0878350515463913</v>
      </c>
      <c r="I91" s="819">
        <f t="shared" si="13"/>
        <v>0</v>
      </c>
      <c r="J91" s="820">
        <f t="shared" si="14"/>
        <v>1.1616494845360823</v>
      </c>
      <c r="K91" s="819">
        <f t="shared" si="15"/>
        <v>0</v>
      </c>
      <c r="L91" s="60">
        <f t="shared" si="16"/>
        <v>0.95010309278350513</v>
      </c>
      <c r="M91" s="819">
        <f t="shared" si="17"/>
        <v>0</v>
      </c>
      <c r="N91" s="820">
        <f t="shared" si="18"/>
        <v>0.7905154639175257</v>
      </c>
      <c r="O91" s="819">
        <f t="shared" si="19"/>
        <v>0</v>
      </c>
      <c r="P91" s="818"/>
    </row>
    <row r="92" spans="1:16" ht="13.5" thickBot="1">
      <c r="A92" s="1122"/>
      <c r="B92" s="440"/>
      <c r="C92" s="824" t="s">
        <v>456</v>
      </c>
      <c r="D92" s="420" t="s">
        <v>683</v>
      </c>
      <c r="E92" s="823">
        <v>123.71134020618557</v>
      </c>
      <c r="F92" s="822">
        <f t="shared" si="10"/>
        <v>74.226804123711332</v>
      </c>
      <c r="G92" s="821">
        <f t="shared" si="11"/>
        <v>0</v>
      </c>
      <c r="H92" s="60">
        <f t="shared" si="12"/>
        <v>6.1756701030927825</v>
      </c>
      <c r="I92" s="819">
        <f t="shared" si="13"/>
        <v>0</v>
      </c>
      <c r="J92" s="820">
        <f t="shared" si="14"/>
        <v>2.3232989690721646</v>
      </c>
      <c r="K92" s="819">
        <f t="shared" si="15"/>
        <v>0</v>
      </c>
      <c r="L92" s="60">
        <f t="shared" si="16"/>
        <v>1.9002061855670103</v>
      </c>
      <c r="M92" s="819">
        <f t="shared" si="17"/>
        <v>0</v>
      </c>
      <c r="N92" s="820">
        <f t="shared" si="18"/>
        <v>1.5810309278350514</v>
      </c>
      <c r="O92" s="819">
        <f t="shared" si="19"/>
        <v>0</v>
      </c>
      <c r="P92" s="818"/>
    </row>
    <row r="93" spans="1:16" ht="13.5" thickBot="1">
      <c r="A93" s="1122"/>
      <c r="B93" s="440"/>
      <c r="C93" s="824" t="s">
        <v>695</v>
      </c>
      <c r="D93" s="420" t="s">
        <v>3531</v>
      </c>
      <c r="E93" s="823">
        <v>941.23711340206194</v>
      </c>
      <c r="F93" s="822">
        <f t="shared" si="10"/>
        <v>564.74226804123714</v>
      </c>
      <c r="G93" s="821">
        <f t="shared" si="11"/>
        <v>0</v>
      </c>
      <c r="H93" s="60">
        <f t="shared" si="12"/>
        <v>46.986556701030928</v>
      </c>
      <c r="I93" s="819">
        <f t="shared" si="13"/>
        <v>0</v>
      </c>
      <c r="J93" s="820">
        <f t="shared" si="14"/>
        <v>17.676432989690724</v>
      </c>
      <c r="K93" s="819">
        <f t="shared" si="15"/>
        <v>0</v>
      </c>
      <c r="L93" s="60">
        <f t="shared" si="16"/>
        <v>14.457402061855671</v>
      </c>
      <c r="M93" s="819">
        <f t="shared" si="17"/>
        <v>0</v>
      </c>
      <c r="N93" s="820">
        <f t="shared" si="18"/>
        <v>12.02901030927835</v>
      </c>
      <c r="O93" s="819">
        <f t="shared" si="19"/>
        <v>0</v>
      </c>
      <c r="P93" s="818"/>
    </row>
    <row r="94" spans="1:16" ht="13.5" thickBot="1">
      <c r="A94" s="1122"/>
      <c r="B94" s="445"/>
      <c r="C94" s="824" t="s">
        <v>696</v>
      </c>
      <c r="D94" s="420" t="s">
        <v>3532</v>
      </c>
      <c r="E94" s="823">
        <v>1227.8350515463917</v>
      </c>
      <c r="F94" s="822">
        <f t="shared" si="10"/>
        <v>736.70103092783495</v>
      </c>
      <c r="G94" s="821">
        <f t="shared" si="11"/>
        <v>0</v>
      </c>
      <c r="H94" s="60">
        <f t="shared" si="12"/>
        <v>61.293525773195867</v>
      </c>
      <c r="I94" s="819">
        <f t="shared" si="13"/>
        <v>0</v>
      </c>
      <c r="J94" s="820">
        <f t="shared" si="14"/>
        <v>23.058742268041236</v>
      </c>
      <c r="K94" s="819">
        <f t="shared" si="15"/>
        <v>0</v>
      </c>
      <c r="L94" s="60">
        <f t="shared" si="16"/>
        <v>18.859546391752577</v>
      </c>
      <c r="M94" s="819">
        <f t="shared" si="17"/>
        <v>0</v>
      </c>
      <c r="N94" s="820">
        <f t="shared" si="18"/>
        <v>15.691731958762883</v>
      </c>
      <c r="O94" s="819">
        <f t="shared" si="19"/>
        <v>0</v>
      </c>
      <c r="P94" s="818"/>
    </row>
    <row r="95" spans="1:16" ht="13.5" thickBot="1">
      <c r="A95" s="1122"/>
      <c r="B95" s="441"/>
      <c r="C95" s="824" t="s">
        <v>697</v>
      </c>
      <c r="D95" s="825" t="s">
        <v>3529</v>
      </c>
      <c r="E95" s="823">
        <v>1445.3608247422681</v>
      </c>
      <c r="F95" s="822">
        <f t="shared" si="10"/>
        <v>867.21649484536078</v>
      </c>
      <c r="G95" s="821">
        <f t="shared" si="11"/>
        <v>0</v>
      </c>
      <c r="H95" s="60">
        <f t="shared" si="12"/>
        <v>72.15241237113402</v>
      </c>
      <c r="I95" s="819">
        <f t="shared" si="13"/>
        <v>0</v>
      </c>
      <c r="J95" s="820">
        <f t="shared" si="14"/>
        <v>27.143876288659794</v>
      </c>
      <c r="K95" s="819">
        <f t="shared" si="15"/>
        <v>0</v>
      </c>
      <c r="L95" s="60">
        <f t="shared" si="16"/>
        <v>22.200742268041235</v>
      </c>
      <c r="M95" s="819">
        <f t="shared" si="17"/>
        <v>0</v>
      </c>
      <c r="N95" s="820">
        <f t="shared" si="18"/>
        <v>18.471711340206184</v>
      </c>
      <c r="O95" s="819">
        <f t="shared" si="19"/>
        <v>0</v>
      </c>
      <c r="P95" s="818"/>
    </row>
    <row r="96" spans="1:16" ht="13.5" thickBot="1">
      <c r="A96" s="1122"/>
      <c r="B96" s="440"/>
      <c r="C96" s="824" t="s">
        <v>3504</v>
      </c>
      <c r="D96" s="825" t="s">
        <v>3530</v>
      </c>
      <c r="E96" s="823">
        <v>1720.6185567010309</v>
      </c>
      <c r="F96" s="822">
        <f t="shared" si="10"/>
        <v>1032.3711340206185</v>
      </c>
      <c r="G96" s="821">
        <f t="shared" si="11"/>
        <v>0</v>
      </c>
      <c r="H96" s="60">
        <f t="shared" si="12"/>
        <v>85.893278350515445</v>
      </c>
      <c r="I96" s="819">
        <f t="shared" si="13"/>
        <v>0</v>
      </c>
      <c r="J96" s="820">
        <f t="shared" si="14"/>
        <v>32.313216494845356</v>
      </c>
      <c r="K96" s="819">
        <f t="shared" si="15"/>
        <v>0</v>
      </c>
      <c r="L96" s="60">
        <f t="shared" si="16"/>
        <v>26.428701030927833</v>
      </c>
      <c r="M96" s="819">
        <f t="shared" si="17"/>
        <v>0</v>
      </c>
      <c r="N96" s="820">
        <f t="shared" si="18"/>
        <v>21.989505154639172</v>
      </c>
      <c r="O96" s="819">
        <f t="shared" si="19"/>
        <v>0</v>
      </c>
      <c r="P96" s="818"/>
    </row>
    <row r="97" spans="1:16" ht="13.5" thickBot="1">
      <c r="A97" s="1122"/>
      <c r="B97" s="441"/>
      <c r="C97" s="824" t="s">
        <v>450</v>
      </c>
      <c r="D97" s="825" t="s">
        <v>3570</v>
      </c>
      <c r="E97" s="823">
        <v>604.12371134020623</v>
      </c>
      <c r="F97" s="822">
        <f t="shared" si="10"/>
        <v>362.4742268041237</v>
      </c>
      <c r="G97" s="821">
        <f t="shared" si="11"/>
        <v>0</v>
      </c>
      <c r="H97" s="60">
        <f t="shared" si="12"/>
        <v>30.157855670103089</v>
      </c>
      <c r="I97" s="819">
        <f t="shared" si="13"/>
        <v>0</v>
      </c>
      <c r="J97" s="820">
        <f t="shared" si="14"/>
        <v>11.345443298969073</v>
      </c>
      <c r="K97" s="819">
        <f t="shared" si="15"/>
        <v>0</v>
      </c>
      <c r="L97" s="60">
        <f t="shared" si="16"/>
        <v>9.2793402061855677</v>
      </c>
      <c r="M97" s="819">
        <f t="shared" si="17"/>
        <v>0</v>
      </c>
      <c r="N97" s="820">
        <f t="shared" si="18"/>
        <v>7.7207010309278346</v>
      </c>
      <c r="O97" s="819">
        <f t="shared" si="19"/>
        <v>0</v>
      </c>
      <c r="P97" s="818"/>
    </row>
    <row r="98" spans="1:16" s="729" customFormat="1" ht="13.5" thickBot="1">
      <c r="A98" s="1122"/>
      <c r="B98" s="441"/>
      <c r="C98" s="419" t="s">
        <v>3499</v>
      </c>
      <c r="D98" s="420" t="s">
        <v>3522</v>
      </c>
      <c r="E98" s="826">
        <v>604.12371134020623</v>
      </c>
      <c r="F98" s="59">
        <f t="shared" si="10"/>
        <v>362.4742268041237</v>
      </c>
      <c r="G98" s="527">
        <f t="shared" si="11"/>
        <v>0</v>
      </c>
      <c r="H98" s="528">
        <f t="shared" si="12"/>
        <v>30.157855670103089</v>
      </c>
      <c r="I98" s="528">
        <f t="shared" si="13"/>
        <v>0</v>
      </c>
      <c r="J98" s="528">
        <f t="shared" si="14"/>
        <v>11.345443298969073</v>
      </c>
      <c r="K98" s="528">
        <f t="shared" si="15"/>
        <v>0</v>
      </c>
      <c r="L98" s="528">
        <f t="shared" si="16"/>
        <v>9.2793402061855677</v>
      </c>
      <c r="M98" s="528">
        <f t="shared" si="17"/>
        <v>0</v>
      </c>
      <c r="N98" s="528">
        <f t="shared" si="18"/>
        <v>7.7207010309278346</v>
      </c>
      <c r="O98" s="528">
        <f t="shared" si="19"/>
        <v>0</v>
      </c>
      <c r="P98" s="818"/>
    </row>
    <row r="99" spans="1:16" ht="13.5" thickBot="1">
      <c r="A99" s="1122"/>
      <c r="B99" s="440"/>
      <c r="C99" s="824" t="s">
        <v>698</v>
      </c>
      <c r="D99" s="420" t="s">
        <v>3565</v>
      </c>
      <c r="E99" s="823">
        <v>1262.8865979381444</v>
      </c>
      <c r="F99" s="822">
        <f t="shared" si="10"/>
        <v>757.73195876288662</v>
      </c>
      <c r="G99" s="821">
        <f t="shared" si="11"/>
        <v>0</v>
      </c>
      <c r="H99" s="60">
        <f t="shared" si="12"/>
        <v>63.043298969072161</v>
      </c>
      <c r="I99" s="819">
        <f t="shared" si="13"/>
        <v>0</v>
      </c>
      <c r="J99" s="820">
        <f t="shared" si="14"/>
        <v>23.717010309278351</v>
      </c>
      <c r="K99" s="819">
        <f t="shared" si="15"/>
        <v>0</v>
      </c>
      <c r="L99" s="60">
        <f t="shared" si="16"/>
        <v>19.397938144329899</v>
      </c>
      <c r="M99" s="819">
        <f t="shared" si="17"/>
        <v>0</v>
      </c>
      <c r="N99" s="820">
        <f t="shared" si="18"/>
        <v>16.139690721649483</v>
      </c>
      <c r="O99" s="819">
        <f t="shared" si="19"/>
        <v>0</v>
      </c>
      <c r="P99" s="818"/>
    </row>
    <row r="100" spans="1:16" ht="13.5" thickBot="1">
      <c r="A100" s="1122"/>
      <c r="B100" s="441"/>
      <c r="C100" s="824" t="s">
        <v>478</v>
      </c>
      <c r="D100" s="420" t="s">
        <v>3560</v>
      </c>
      <c r="E100" s="823">
        <v>27.319587628865982</v>
      </c>
      <c r="F100" s="822">
        <f t="shared" si="10"/>
        <v>16.39175257731959</v>
      </c>
      <c r="G100" s="821">
        <f t="shared" si="11"/>
        <v>0</v>
      </c>
      <c r="H100" s="60">
        <f t="shared" si="12"/>
        <v>1.3637938144329897</v>
      </c>
      <c r="I100" s="819">
        <f t="shared" si="13"/>
        <v>0</v>
      </c>
      <c r="J100" s="820">
        <f t="shared" si="14"/>
        <v>0.51306185567010321</v>
      </c>
      <c r="K100" s="819">
        <f t="shared" si="15"/>
        <v>0</v>
      </c>
      <c r="L100" s="60">
        <f t="shared" si="16"/>
        <v>0.41962886597938154</v>
      </c>
      <c r="M100" s="819">
        <f t="shared" si="17"/>
        <v>0</v>
      </c>
      <c r="N100" s="820">
        <f t="shared" si="18"/>
        <v>0.34914432989690725</v>
      </c>
      <c r="O100" s="819">
        <f t="shared" si="19"/>
        <v>0</v>
      </c>
      <c r="P100" s="818"/>
    </row>
    <row r="101" spans="1:16" ht="13.5" thickBot="1">
      <c r="A101" s="1122"/>
      <c r="B101" s="440"/>
      <c r="C101" s="824" t="s">
        <v>33</v>
      </c>
      <c r="D101" s="420" t="s">
        <v>3563</v>
      </c>
      <c r="E101" s="823">
        <v>30.927835051546392</v>
      </c>
      <c r="F101" s="822">
        <f t="shared" si="10"/>
        <v>18.556701030927833</v>
      </c>
      <c r="G101" s="821">
        <f t="shared" si="11"/>
        <v>0</v>
      </c>
      <c r="H101" s="60">
        <f t="shared" si="12"/>
        <v>1.5439175257731956</v>
      </c>
      <c r="I101" s="819">
        <f t="shared" si="13"/>
        <v>0</v>
      </c>
      <c r="J101" s="820">
        <f t="shared" si="14"/>
        <v>0.58082474226804115</v>
      </c>
      <c r="K101" s="819">
        <f t="shared" si="15"/>
        <v>0</v>
      </c>
      <c r="L101" s="60">
        <f t="shared" si="16"/>
        <v>0.47505154639175257</v>
      </c>
      <c r="M101" s="819">
        <f t="shared" si="17"/>
        <v>0</v>
      </c>
      <c r="N101" s="820">
        <f t="shared" si="18"/>
        <v>0.39525773195876285</v>
      </c>
      <c r="O101" s="819">
        <f t="shared" si="19"/>
        <v>0</v>
      </c>
      <c r="P101" s="818"/>
    </row>
    <row r="102" spans="1:16" ht="13.5" thickBot="1">
      <c r="A102" s="1122"/>
      <c r="B102" s="440"/>
      <c r="C102" s="824" t="s">
        <v>699</v>
      </c>
      <c r="D102" s="825" t="s">
        <v>3616</v>
      </c>
      <c r="E102" s="823">
        <v>586.59793814432987</v>
      </c>
      <c r="F102" s="822">
        <f t="shared" si="10"/>
        <v>351.95876288659792</v>
      </c>
      <c r="G102" s="821">
        <f t="shared" si="11"/>
        <v>0</v>
      </c>
      <c r="H102" s="60">
        <f t="shared" si="12"/>
        <v>29.282969072164946</v>
      </c>
      <c r="I102" s="819">
        <f t="shared" si="13"/>
        <v>0</v>
      </c>
      <c r="J102" s="820">
        <f t="shared" si="14"/>
        <v>11.016309278350516</v>
      </c>
      <c r="K102" s="819">
        <f t="shared" si="15"/>
        <v>0</v>
      </c>
      <c r="L102" s="60">
        <f t="shared" si="16"/>
        <v>9.0101443298969066</v>
      </c>
      <c r="M102" s="819">
        <f t="shared" si="17"/>
        <v>0</v>
      </c>
      <c r="N102" s="820">
        <f t="shared" si="18"/>
        <v>7.4967216494845355</v>
      </c>
      <c r="O102" s="819">
        <f t="shared" si="19"/>
        <v>0</v>
      </c>
      <c r="P102" s="818"/>
    </row>
    <row r="103" spans="1:16" ht="13.5" thickBot="1">
      <c r="A103" s="1122"/>
      <c r="B103" s="440"/>
      <c r="C103" s="824" t="s">
        <v>700</v>
      </c>
      <c r="D103" s="825" t="s">
        <v>3566</v>
      </c>
      <c r="E103" s="823">
        <v>268.04123711340208</v>
      </c>
      <c r="F103" s="822">
        <f t="shared" si="10"/>
        <v>160.82474226804123</v>
      </c>
      <c r="G103" s="821">
        <f t="shared" si="11"/>
        <v>0</v>
      </c>
      <c r="H103" s="60">
        <f t="shared" si="12"/>
        <v>13.38061855670103</v>
      </c>
      <c r="I103" s="819">
        <f t="shared" si="13"/>
        <v>0</v>
      </c>
      <c r="J103" s="820">
        <f t="shared" si="14"/>
        <v>5.0338144329896908</v>
      </c>
      <c r="K103" s="819">
        <f t="shared" si="15"/>
        <v>0</v>
      </c>
      <c r="L103" s="60">
        <f t="shared" si="16"/>
        <v>4.1171134020618556</v>
      </c>
      <c r="M103" s="819">
        <f t="shared" si="17"/>
        <v>0</v>
      </c>
      <c r="N103" s="820">
        <f t="shared" si="18"/>
        <v>3.4255670103092783</v>
      </c>
      <c r="O103" s="819">
        <f t="shared" si="19"/>
        <v>0</v>
      </c>
      <c r="P103" s="818"/>
    </row>
    <row r="104" spans="1:16" ht="13.5" thickBot="1">
      <c r="A104" s="1122"/>
      <c r="B104" s="440"/>
      <c r="C104" s="824" t="s">
        <v>701</v>
      </c>
      <c r="D104" s="420" t="s">
        <v>3617</v>
      </c>
      <c r="E104" s="823">
        <v>305.15463917525773</v>
      </c>
      <c r="F104" s="822">
        <f t="shared" si="10"/>
        <v>183.09278350515464</v>
      </c>
      <c r="G104" s="821">
        <f t="shared" si="11"/>
        <v>0</v>
      </c>
      <c r="H104" s="60">
        <f t="shared" si="12"/>
        <v>15.233319587628866</v>
      </c>
      <c r="I104" s="819">
        <f t="shared" si="13"/>
        <v>0</v>
      </c>
      <c r="J104" s="820">
        <f t="shared" si="14"/>
        <v>5.7308041237113407</v>
      </c>
      <c r="K104" s="819">
        <f t="shared" si="15"/>
        <v>0</v>
      </c>
      <c r="L104" s="60">
        <f t="shared" si="16"/>
        <v>4.6871752577319592</v>
      </c>
      <c r="M104" s="819">
        <f t="shared" si="17"/>
        <v>0</v>
      </c>
      <c r="N104" s="820">
        <f t="shared" si="18"/>
        <v>3.8998762886597937</v>
      </c>
      <c r="O104" s="819">
        <f t="shared" si="19"/>
        <v>0</v>
      </c>
      <c r="P104" s="818"/>
    </row>
    <row r="105" spans="1:16" ht="13.5" thickBot="1">
      <c r="A105" s="1123"/>
      <c r="B105" s="441"/>
      <c r="C105" s="419" t="s">
        <v>453</v>
      </c>
      <c r="D105" s="420" t="s">
        <v>3562</v>
      </c>
      <c r="E105" s="823">
        <v>115.4639175257732</v>
      </c>
      <c r="F105" s="822">
        <f t="shared" si="10"/>
        <v>69.278350515463913</v>
      </c>
      <c r="G105" s="821">
        <f t="shared" si="11"/>
        <v>0</v>
      </c>
      <c r="H105" s="60">
        <f t="shared" si="12"/>
        <v>5.7639587628865971</v>
      </c>
      <c r="I105" s="819">
        <f t="shared" si="13"/>
        <v>0</v>
      </c>
      <c r="J105" s="820">
        <f t="shared" si="14"/>
        <v>2.1684123711340204</v>
      </c>
      <c r="K105" s="819">
        <f t="shared" si="15"/>
        <v>0</v>
      </c>
      <c r="L105" s="60">
        <f t="shared" si="16"/>
        <v>1.7735257731958762</v>
      </c>
      <c r="M105" s="819">
        <f t="shared" si="17"/>
        <v>0</v>
      </c>
      <c r="N105" s="820">
        <f t="shared" si="18"/>
        <v>1.4756288659793813</v>
      </c>
      <c r="O105" s="819">
        <f t="shared" si="19"/>
        <v>0</v>
      </c>
      <c r="P105" s="818"/>
    </row>
    <row r="106" spans="1:16">
      <c r="D106" s="1128" t="s">
        <v>183</v>
      </c>
      <c r="E106" s="1129"/>
      <c r="F106" s="1129"/>
      <c r="G106" s="817">
        <f t="array" ref="G106">SUM(G50:G105)+G38:G50:G105+G42:G50:G105+G46</f>
        <v>0</v>
      </c>
      <c r="H106" s="777" t="s">
        <v>184</v>
      </c>
      <c r="I106" s="817">
        <f t="array" ref="I106">SUM(I50:I105)+I38:I50:I105+I42:I50:I105+I46</f>
        <v>0</v>
      </c>
      <c r="J106" s="777" t="s">
        <v>185</v>
      </c>
      <c r="K106" s="817">
        <f t="array" ref="K106">SUM(K50:K105)+K38:K50:K105+K42:K50:K105+K46</f>
        <v>0</v>
      </c>
      <c r="L106" s="777" t="s">
        <v>186</v>
      </c>
      <c r="M106" s="817">
        <f t="array" ref="M106">SUM(M50:M105)+M38:M50:M105+M42:M50:M105+M46</f>
        <v>0</v>
      </c>
      <c r="N106" s="777" t="s">
        <v>187</v>
      </c>
      <c r="O106" s="817">
        <f t="array" ref="O106">SUM(O50:O105)+O38:O50:O105+O42:O50:O105+O46</f>
        <v>0</v>
      </c>
    </row>
    <row r="107" spans="1:16">
      <c r="O107" s="816"/>
    </row>
  </sheetData>
  <mergeCells count="60">
    <mergeCell ref="A4:O4"/>
    <mergeCell ref="A5:O5"/>
    <mergeCell ref="E27:H27"/>
    <mergeCell ref="I27:K27"/>
    <mergeCell ref="A26:D26"/>
    <mergeCell ref="F10:I10"/>
    <mergeCell ref="A25:O25"/>
    <mergeCell ref="E26:K26"/>
    <mergeCell ref="A27:C27"/>
    <mergeCell ref="L26:O26"/>
    <mergeCell ref="L27:M27"/>
    <mergeCell ref="N27:O27"/>
    <mergeCell ref="A28:C28"/>
    <mergeCell ref="E31:H31"/>
    <mergeCell ref="I31:K31"/>
    <mergeCell ref="I28:K28"/>
    <mergeCell ref="E30:H30"/>
    <mergeCell ref="I30:K30"/>
    <mergeCell ref="E29:H29"/>
    <mergeCell ref="I29:K29"/>
    <mergeCell ref="E28:H28"/>
    <mergeCell ref="N31:O31"/>
    <mergeCell ref="L30:M30"/>
    <mergeCell ref="L31:M31"/>
    <mergeCell ref="L28:M28"/>
    <mergeCell ref="L29:M29"/>
    <mergeCell ref="N28:O28"/>
    <mergeCell ref="N29:O29"/>
    <mergeCell ref="B42:B44"/>
    <mergeCell ref="M38:M40"/>
    <mergeCell ref="O38:O40"/>
    <mergeCell ref="A29:C29"/>
    <mergeCell ref="A38:A40"/>
    <mergeCell ref="B38:B40"/>
    <mergeCell ref="G38:G40"/>
    <mergeCell ref="H36:O36"/>
    <mergeCell ref="F36:G36"/>
    <mergeCell ref="A30:C30"/>
    <mergeCell ref="A31:C31"/>
    <mergeCell ref="I38:I40"/>
    <mergeCell ref="K38:K40"/>
    <mergeCell ref="F33:J33"/>
    <mergeCell ref="F34:J34"/>
    <mergeCell ref="N30:O30"/>
    <mergeCell ref="A50:A105"/>
    <mergeCell ref="M42:M44"/>
    <mergeCell ref="O42:O44"/>
    <mergeCell ref="D106:F106"/>
    <mergeCell ref="I46:I48"/>
    <mergeCell ref="K46:K48"/>
    <mergeCell ref="M46:M48"/>
    <mergeCell ref="O46:O48"/>
    <mergeCell ref="G42:G44"/>
    <mergeCell ref="I42:I44"/>
    <mergeCell ref="A49:O49"/>
    <mergeCell ref="A46:A48"/>
    <mergeCell ref="B46:B48"/>
    <mergeCell ref="G46:G48"/>
    <mergeCell ref="K42:K44"/>
    <mergeCell ref="A42:A44"/>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8"/>
  <dimension ref="A1:L82"/>
  <sheetViews>
    <sheetView zoomScaleNormal="100" workbookViewId="0">
      <selection activeCell="G60" sqref="G60"/>
    </sheetView>
  </sheetViews>
  <sheetFormatPr defaultColWidth="33.7109375" defaultRowHeight="12.75"/>
  <cols>
    <col min="1" max="16384" width="33.7109375" style="632"/>
  </cols>
  <sheetData>
    <row r="1" spans="1:4" ht="45">
      <c r="A1" s="627" t="s">
        <v>3365</v>
      </c>
      <c r="B1" s="628" t="s">
        <v>3366</v>
      </c>
      <c r="C1" s="628" t="s">
        <v>3367</v>
      </c>
      <c r="D1" s="628" t="s">
        <v>3368</v>
      </c>
    </row>
    <row r="2" spans="1:4">
      <c r="B2" s="633"/>
      <c r="C2" s="634"/>
      <c r="D2" s="635"/>
    </row>
    <row r="3" spans="1:4" ht="25.5">
      <c r="A3" s="632" t="s">
        <v>3369</v>
      </c>
      <c r="B3" s="636">
        <v>799000</v>
      </c>
      <c r="C3" s="637">
        <v>7.3047559449311628E-2</v>
      </c>
      <c r="D3" s="637">
        <v>7.3047559449311628E-2</v>
      </c>
    </row>
    <row r="4" spans="1:4">
      <c r="B4" s="633"/>
      <c r="C4" s="637"/>
      <c r="D4" s="637"/>
    </row>
    <row r="5" spans="1:4">
      <c r="B5" s="633"/>
      <c r="C5" s="637"/>
      <c r="D5" s="637"/>
    </row>
    <row r="6" spans="1:4" ht="25.5">
      <c r="A6" s="632" t="s">
        <v>3370</v>
      </c>
      <c r="B6" s="636">
        <v>50000</v>
      </c>
      <c r="C6" s="637">
        <v>7.304759999999999E-2</v>
      </c>
      <c r="D6" s="637">
        <v>7.304759999999999E-2</v>
      </c>
    </row>
    <row r="7" spans="1:4" ht="25.5">
      <c r="A7" s="632" t="s">
        <v>3371</v>
      </c>
      <c r="B7" s="636">
        <v>90000</v>
      </c>
      <c r="C7" s="637">
        <v>7.3047555555555532E-2</v>
      </c>
      <c r="D7" s="638">
        <v>7.3047555555555532E-2</v>
      </c>
    </row>
    <row r="8" spans="1:4" ht="25.5">
      <c r="A8" s="632" t="s">
        <v>3372</v>
      </c>
      <c r="B8" s="636">
        <v>70000</v>
      </c>
      <c r="C8" s="637">
        <v>7.3047571428571434E-2</v>
      </c>
      <c r="D8" s="638">
        <v>7.3047571428571434E-2</v>
      </c>
    </row>
    <row r="9" spans="1:4">
      <c r="B9" s="633"/>
      <c r="C9" s="637"/>
      <c r="D9" s="638"/>
    </row>
    <row r="10" spans="1:4">
      <c r="B10" s="633"/>
      <c r="C10" s="637"/>
      <c r="D10" s="638"/>
    </row>
    <row r="11" spans="1:4">
      <c r="A11" s="632" t="s">
        <v>3373</v>
      </c>
      <c r="B11" s="636">
        <v>385</v>
      </c>
      <c r="C11" s="637">
        <v>7.3038961038961014E-2</v>
      </c>
      <c r="D11" s="638">
        <v>7.3038961038961014E-2</v>
      </c>
    </row>
    <row r="12" spans="1:4">
      <c r="A12" s="632" t="s">
        <v>3374</v>
      </c>
      <c r="B12" s="636">
        <v>8800</v>
      </c>
      <c r="C12" s="637">
        <v>7.3047727272727236E-2</v>
      </c>
      <c r="D12" s="638">
        <v>7.3047727272727236E-2</v>
      </c>
    </row>
    <row r="13" spans="1:4">
      <c r="A13" s="632" t="s">
        <v>3375</v>
      </c>
      <c r="B13" s="636">
        <v>8800</v>
      </c>
      <c r="C13" s="637">
        <v>7.3047727272727236E-2</v>
      </c>
      <c r="D13" s="638">
        <v>7.3047727272727236E-2</v>
      </c>
    </row>
    <row r="14" spans="1:4">
      <c r="A14" s="632" t="s">
        <v>3376</v>
      </c>
      <c r="B14" s="636">
        <v>8800</v>
      </c>
      <c r="C14" s="637">
        <v>7.3047727272727236E-2</v>
      </c>
      <c r="D14" s="638">
        <v>7.3047727272727236E-2</v>
      </c>
    </row>
    <row r="15" spans="1:4">
      <c r="A15" s="632" t="s">
        <v>3377</v>
      </c>
      <c r="B15" s="636">
        <v>8800</v>
      </c>
      <c r="C15" s="637">
        <v>7.3047727272727236E-2</v>
      </c>
      <c r="D15" s="638">
        <v>7.3047727272727236E-2</v>
      </c>
    </row>
    <row r="16" spans="1:4">
      <c r="A16" s="632" t="s">
        <v>3378</v>
      </c>
      <c r="B16" s="636">
        <v>128.75</v>
      </c>
      <c r="C16" s="637">
        <v>7.3009708737864165E-2</v>
      </c>
      <c r="D16" s="638">
        <v>7.3009708737864165E-2</v>
      </c>
    </row>
    <row r="17" spans="1:4" ht="25.5">
      <c r="A17" s="632" t="s">
        <v>3379</v>
      </c>
      <c r="B17" s="636">
        <v>599.27</v>
      </c>
      <c r="C17" s="637">
        <v>7.3055550920286261E-2</v>
      </c>
      <c r="D17" s="638">
        <v>7.3055550920286261E-2</v>
      </c>
    </row>
    <row r="18" spans="1:4">
      <c r="A18" s="632" t="s">
        <v>3380</v>
      </c>
      <c r="B18" s="636">
        <v>749.09</v>
      </c>
      <c r="C18" s="637">
        <v>7.3048632340573239E-2</v>
      </c>
      <c r="D18" s="638">
        <v>7.3048632340573239E-2</v>
      </c>
    </row>
    <row r="19" spans="1:4" ht="25.5">
      <c r="A19" s="632" t="s">
        <v>3381</v>
      </c>
      <c r="B19" s="636">
        <v>51.5</v>
      </c>
      <c r="C19" s="637">
        <v>7.3009708737864054E-2</v>
      </c>
      <c r="D19" s="638">
        <v>7.3009708737864054E-2</v>
      </c>
    </row>
    <row r="20" spans="1:4" ht="25.5">
      <c r="A20" s="632" t="s">
        <v>3382</v>
      </c>
      <c r="B20" s="636">
        <v>51.5</v>
      </c>
      <c r="C20" s="637">
        <v>7.3009708737864054E-2</v>
      </c>
      <c r="D20" s="638">
        <v>7.3009708737864054E-2</v>
      </c>
    </row>
    <row r="21" spans="1:4" ht="15">
      <c r="B21" s="633"/>
      <c r="C21" s="639"/>
      <c r="D21" s="640"/>
    </row>
    <row r="22" spans="1:4" ht="15">
      <c r="B22" s="633"/>
      <c r="C22" s="640"/>
      <c r="D22" s="640"/>
    </row>
    <row r="23" spans="1:4" ht="25.5">
      <c r="A23" s="632" t="s">
        <v>3383</v>
      </c>
      <c r="B23" s="636">
        <v>9363.64</v>
      </c>
      <c r="C23" s="641">
        <v>7.3047447360214623E-2</v>
      </c>
      <c r="D23" s="641">
        <v>7.3047447360214623E-2</v>
      </c>
    </row>
    <row r="24" spans="1:4">
      <c r="A24" s="632" t="s">
        <v>3384</v>
      </c>
      <c r="B24" s="636">
        <v>9363.64</v>
      </c>
      <c r="C24" s="641">
        <v>7.3047447360214623E-2</v>
      </c>
      <c r="D24" s="641">
        <v>7.3047447360214623E-2</v>
      </c>
    </row>
    <row r="25" spans="1:4" ht="15">
      <c r="B25" s="633"/>
      <c r="C25" s="640"/>
      <c r="D25" s="640"/>
    </row>
    <row r="26" spans="1:4" ht="15">
      <c r="B26" s="633"/>
      <c r="C26" s="640"/>
      <c r="D26" s="640"/>
    </row>
    <row r="27" spans="1:4">
      <c r="A27" s="632" t="s">
        <v>3385</v>
      </c>
      <c r="B27" s="636">
        <v>1</v>
      </c>
      <c r="C27" s="641">
        <v>0</v>
      </c>
      <c r="D27" s="641">
        <v>0</v>
      </c>
    </row>
    <row r="28" spans="1:4" ht="38.25">
      <c r="A28" s="632" t="s">
        <v>3386</v>
      </c>
      <c r="B28" s="636">
        <v>7500</v>
      </c>
      <c r="C28" s="641">
        <v>0</v>
      </c>
      <c r="D28" s="641">
        <v>0</v>
      </c>
    </row>
    <row r="29" spans="1:4" ht="38.25">
      <c r="A29" s="632" t="s">
        <v>3387</v>
      </c>
      <c r="B29" s="636">
        <v>7500</v>
      </c>
      <c r="C29" s="641">
        <v>0</v>
      </c>
      <c r="D29" s="641">
        <v>0</v>
      </c>
    </row>
    <row r="30" spans="1:4" ht="15">
      <c r="A30" s="632" t="s">
        <v>3388</v>
      </c>
      <c r="B30" s="636">
        <v>0</v>
      </c>
      <c r="C30" s="640"/>
      <c r="D30" s="640"/>
    </row>
    <row r="31" spans="1:4" ht="15">
      <c r="B31" s="633"/>
      <c r="C31" s="640"/>
      <c r="D31" s="640"/>
    </row>
    <row r="32" spans="1:4" ht="15">
      <c r="B32" s="633"/>
      <c r="C32" s="640"/>
      <c r="D32" s="640"/>
    </row>
    <row r="33" spans="1:12" ht="25.5">
      <c r="A33" s="632" t="s">
        <v>3389</v>
      </c>
      <c r="B33" s="636">
        <v>1</v>
      </c>
      <c r="C33" s="641">
        <v>0</v>
      </c>
      <c r="D33" s="641">
        <v>0</v>
      </c>
    </row>
    <row r="34" spans="1:12" ht="25.5">
      <c r="A34" s="632" t="s">
        <v>3390</v>
      </c>
      <c r="B34" s="636">
        <v>1</v>
      </c>
      <c r="C34" s="641">
        <v>0</v>
      </c>
      <c r="D34" s="641">
        <v>0</v>
      </c>
    </row>
    <row r="35" spans="1:12">
      <c r="A35" s="632" t="s">
        <v>3391</v>
      </c>
      <c r="B35" s="636">
        <v>12000</v>
      </c>
      <c r="C35" s="641">
        <v>0</v>
      </c>
      <c r="D35" s="641">
        <v>0</v>
      </c>
    </row>
    <row r="36" spans="1:12" ht="15">
      <c r="B36" s="633"/>
      <c r="C36" s="640"/>
      <c r="D36" s="640"/>
    </row>
    <row r="37" spans="1:12" ht="15">
      <c r="B37" s="633"/>
      <c r="C37" s="640"/>
      <c r="D37" s="640"/>
    </row>
    <row r="38" spans="1:12">
      <c r="B38" s="633"/>
      <c r="C38" s="642"/>
      <c r="D38" s="642"/>
    </row>
    <row r="39" spans="1:12">
      <c r="B39" s="633"/>
      <c r="C39" s="629"/>
      <c r="D39" s="629"/>
      <c r="L39" s="632">
        <f>F39*0.0256</f>
        <v>0</v>
      </c>
    </row>
    <row r="40" spans="1:12" ht="25.5">
      <c r="A40" s="632" t="s">
        <v>3392</v>
      </c>
      <c r="B40" s="636">
        <v>1100000</v>
      </c>
      <c r="C40" s="643">
        <v>7.3047563636363555E-2</v>
      </c>
      <c r="D40" s="629">
        <v>7.3047563636363555E-2</v>
      </c>
    </row>
    <row r="41" spans="1:12">
      <c r="B41" s="633"/>
      <c r="C41" s="630"/>
      <c r="D41" s="630"/>
    </row>
    <row r="42" spans="1:12">
      <c r="B42" s="633"/>
      <c r="C42" s="629"/>
      <c r="D42" s="629"/>
    </row>
    <row r="43" spans="1:12" ht="38.25">
      <c r="A43" s="632" t="s">
        <v>3393</v>
      </c>
      <c r="B43" s="636">
        <v>70000</v>
      </c>
      <c r="C43" s="644">
        <v>7.3047571428571434E-2</v>
      </c>
      <c r="D43" s="645">
        <v>7.3047571428571434E-2</v>
      </c>
    </row>
    <row r="44" spans="1:12" ht="25.5">
      <c r="A44" s="632" t="s">
        <v>3394</v>
      </c>
      <c r="B44" s="636">
        <v>110000</v>
      </c>
      <c r="C44" s="644">
        <v>7.3047545454545393E-2</v>
      </c>
      <c r="D44" s="645">
        <v>7.3047545454545393E-2</v>
      </c>
    </row>
    <row r="45" spans="1:12" ht="25.5">
      <c r="A45" s="632" t="s">
        <v>3395</v>
      </c>
      <c r="B45" s="636">
        <v>70000</v>
      </c>
      <c r="C45" s="644">
        <v>7.3047571428571434E-2</v>
      </c>
      <c r="D45" s="645">
        <v>7.3047571428571434E-2</v>
      </c>
    </row>
    <row r="46" spans="1:12" ht="25.5">
      <c r="A46" s="632" t="s">
        <v>3396</v>
      </c>
      <c r="B46" s="636">
        <v>45000</v>
      </c>
      <c r="C46" s="644">
        <v>7.3047555555555532E-2</v>
      </c>
      <c r="D46" s="645">
        <v>7.3047555555555532E-2</v>
      </c>
    </row>
    <row r="47" spans="1:12" ht="25.5">
      <c r="A47" s="632" t="s">
        <v>3397</v>
      </c>
      <c r="B47" s="636">
        <v>250000</v>
      </c>
      <c r="C47" s="644">
        <v>7.3047560000000011E-2</v>
      </c>
      <c r="D47" s="645">
        <v>7.3047560000000011E-2</v>
      </c>
    </row>
    <row r="48" spans="1:12" ht="25.5">
      <c r="A48" s="632" t="s">
        <v>3398</v>
      </c>
      <c r="B48" s="636">
        <v>130000</v>
      </c>
      <c r="C48" s="644">
        <v>7.3047538461538442E-2</v>
      </c>
      <c r="D48" s="645">
        <v>7.3047538461538442E-2</v>
      </c>
    </row>
    <row r="49" spans="1:4" ht="25.5">
      <c r="A49" s="632" t="s">
        <v>3399</v>
      </c>
      <c r="B49" s="636">
        <v>70000</v>
      </c>
      <c r="C49" s="644">
        <v>7.3047571428571434E-2</v>
      </c>
      <c r="D49" s="645">
        <v>7.3047571428571434E-2</v>
      </c>
    </row>
    <row r="50" spans="1:4">
      <c r="B50" s="633"/>
      <c r="C50" s="631"/>
      <c r="D50" s="631"/>
    </row>
    <row r="51" spans="1:4">
      <c r="B51" s="633"/>
      <c r="C51" s="629"/>
      <c r="D51" s="629"/>
    </row>
    <row r="52" spans="1:4">
      <c r="A52" s="632" t="s">
        <v>3373</v>
      </c>
      <c r="B52" s="636">
        <v>385</v>
      </c>
      <c r="C52" s="644">
        <v>7.3038961038961014E-2</v>
      </c>
      <c r="D52" s="645">
        <v>7.3038961038961014E-2</v>
      </c>
    </row>
    <row r="53" spans="1:4">
      <c r="A53" s="632" t="s">
        <v>3374</v>
      </c>
      <c r="B53" s="636">
        <v>8800</v>
      </c>
      <c r="C53" s="644">
        <v>7.3047727272727236E-2</v>
      </c>
      <c r="D53" s="645">
        <v>7.3047727272727236E-2</v>
      </c>
    </row>
    <row r="54" spans="1:4">
      <c r="A54" s="632" t="s">
        <v>3375</v>
      </c>
      <c r="B54" s="636">
        <v>8800</v>
      </c>
      <c r="C54" s="644">
        <v>7.3047727272727236E-2</v>
      </c>
      <c r="D54" s="645">
        <v>7.3047727272727236E-2</v>
      </c>
    </row>
    <row r="55" spans="1:4">
      <c r="A55" s="632" t="s">
        <v>3376</v>
      </c>
      <c r="B55" s="636">
        <v>8800</v>
      </c>
      <c r="C55" s="644">
        <v>7.3047727272727236E-2</v>
      </c>
      <c r="D55" s="645">
        <v>7.3047727272727236E-2</v>
      </c>
    </row>
    <row r="56" spans="1:4">
      <c r="A56" s="632" t="s">
        <v>3377</v>
      </c>
      <c r="B56" s="636">
        <v>8800</v>
      </c>
      <c r="C56" s="644">
        <v>7.3047727272727236E-2</v>
      </c>
      <c r="D56" s="645">
        <v>7.3047727272727236E-2</v>
      </c>
    </row>
    <row r="57" spans="1:4">
      <c r="A57" s="632" t="s">
        <v>3378</v>
      </c>
      <c r="B57" s="636">
        <v>128.75</v>
      </c>
      <c r="C57" s="644">
        <v>7.3009708737864165E-2</v>
      </c>
      <c r="D57" s="645">
        <v>7.3009708737864165E-2</v>
      </c>
    </row>
    <row r="58" spans="1:4" ht="25.5">
      <c r="A58" s="632" t="s">
        <v>3379</v>
      </c>
      <c r="B58" s="636">
        <v>599.27</v>
      </c>
      <c r="C58" s="644">
        <v>7.3055550920286261E-2</v>
      </c>
      <c r="D58" s="645">
        <v>7.3055550920286261E-2</v>
      </c>
    </row>
    <row r="59" spans="1:4">
      <c r="A59" s="632" t="s">
        <v>3400</v>
      </c>
      <c r="B59" s="636">
        <v>936.36</v>
      </c>
      <c r="C59" s="644">
        <v>7.3048827374086911E-2</v>
      </c>
      <c r="D59" s="645">
        <v>7.3048827374086911E-2</v>
      </c>
    </row>
    <row r="60" spans="1:4" ht="25.5">
      <c r="A60" s="632" t="s">
        <v>3401</v>
      </c>
      <c r="B60" s="636">
        <v>64.38</v>
      </c>
      <c r="C60" s="644">
        <v>7.300403852127979E-2</v>
      </c>
      <c r="D60" s="645">
        <v>7.300403852127979E-2</v>
      </c>
    </row>
    <row r="61" spans="1:4" ht="25.5">
      <c r="A61" s="632" t="s">
        <v>3402</v>
      </c>
      <c r="B61" s="636">
        <v>64.38</v>
      </c>
      <c r="C61" s="644">
        <v>7.300403852127979E-2</v>
      </c>
      <c r="D61" s="645">
        <v>7.300403852127979E-2</v>
      </c>
    </row>
    <row r="62" spans="1:4" ht="25.5">
      <c r="A62" s="632" t="s">
        <v>3403</v>
      </c>
      <c r="B62" s="636">
        <v>128.75</v>
      </c>
      <c r="C62" s="644">
        <v>7.3009708737864165E-2</v>
      </c>
      <c r="D62" s="645">
        <v>7.3009708737864165E-2</v>
      </c>
    </row>
    <row r="63" spans="1:4">
      <c r="B63" s="633"/>
      <c r="C63" s="631"/>
      <c r="D63" s="631"/>
    </row>
    <row r="64" spans="1:4">
      <c r="B64" s="633"/>
      <c r="C64" s="629"/>
      <c r="D64" s="629"/>
    </row>
    <row r="65" spans="1:4" ht="25.5">
      <c r="A65" s="632" t="s">
        <v>3383</v>
      </c>
      <c r="B65" s="636">
        <v>9363.64</v>
      </c>
      <c r="C65" s="643">
        <v>7.3047447360214623E-2</v>
      </c>
      <c r="D65" s="629">
        <v>7.3047447360214623E-2</v>
      </c>
    </row>
    <row r="66" spans="1:4">
      <c r="A66" s="632" t="s">
        <v>3384</v>
      </c>
      <c r="B66" s="636">
        <v>9363.64</v>
      </c>
      <c r="C66" s="643">
        <v>7.3047447360214623E-2</v>
      </c>
      <c r="D66" s="629">
        <v>7.3047447360214623E-2</v>
      </c>
    </row>
    <row r="67" spans="1:4">
      <c r="B67" s="633"/>
      <c r="C67" s="629"/>
      <c r="D67" s="629"/>
    </row>
    <row r="68" spans="1:4">
      <c r="B68" s="633"/>
      <c r="C68" s="629"/>
      <c r="D68" s="629"/>
    </row>
    <row r="69" spans="1:4">
      <c r="A69" s="632" t="s">
        <v>3385</v>
      </c>
      <c r="B69" s="636">
        <v>1</v>
      </c>
      <c r="C69" s="644">
        <v>0</v>
      </c>
      <c r="D69" s="645">
        <v>0</v>
      </c>
    </row>
    <row r="70" spans="1:4" ht="38.25">
      <c r="A70" s="632" t="s">
        <v>3386</v>
      </c>
      <c r="B70" s="636">
        <v>7500</v>
      </c>
      <c r="C70" s="644">
        <v>0</v>
      </c>
      <c r="D70" s="645">
        <v>0</v>
      </c>
    </row>
    <row r="71" spans="1:4" ht="38.25">
      <c r="A71" s="632" t="s">
        <v>3387</v>
      </c>
      <c r="B71" s="636">
        <v>7500</v>
      </c>
      <c r="C71" s="644">
        <v>0</v>
      </c>
      <c r="D71" s="645">
        <v>0</v>
      </c>
    </row>
    <row r="72" spans="1:4">
      <c r="A72" s="632" t="s">
        <v>3388</v>
      </c>
      <c r="B72" s="636">
        <v>0</v>
      </c>
      <c r="C72" s="644"/>
      <c r="D72" s="645"/>
    </row>
    <row r="73" spans="1:4">
      <c r="B73" s="633"/>
      <c r="C73" s="645"/>
      <c r="D73" s="645"/>
    </row>
    <row r="74" spans="1:4">
      <c r="B74" s="633"/>
      <c r="C74" s="629"/>
      <c r="D74" s="629"/>
    </row>
    <row r="75" spans="1:4" ht="25.5">
      <c r="A75" s="632" t="s">
        <v>3389</v>
      </c>
      <c r="B75" s="636">
        <v>1</v>
      </c>
      <c r="C75" s="644">
        <v>0</v>
      </c>
      <c r="D75" s="645">
        <v>0</v>
      </c>
    </row>
    <row r="76" spans="1:4" ht="25.5">
      <c r="A76" s="632" t="s">
        <v>3390</v>
      </c>
      <c r="B76" s="636">
        <v>1</v>
      </c>
      <c r="C76" s="644">
        <v>0</v>
      </c>
      <c r="D76" s="645">
        <v>0</v>
      </c>
    </row>
    <row r="77" spans="1:4">
      <c r="A77" s="632" t="s">
        <v>3404</v>
      </c>
      <c r="B77" s="636">
        <v>15000</v>
      </c>
      <c r="C77" s="644">
        <v>0</v>
      </c>
      <c r="D77" s="645">
        <v>0</v>
      </c>
    </row>
    <row r="78" spans="1:4">
      <c r="B78" s="633"/>
      <c r="C78" s="633"/>
      <c r="D78" s="642"/>
    </row>
    <row r="79" spans="1:4">
      <c r="B79" s="633"/>
      <c r="C79" s="633"/>
      <c r="D79" s="642"/>
    </row>
    <row r="80" spans="1:4">
      <c r="B80" s="633"/>
      <c r="C80" s="633"/>
      <c r="D80" s="642"/>
    </row>
    <row r="81" spans="2:4">
      <c r="B81" s="633"/>
      <c r="C81" s="633"/>
      <c r="D81" s="642"/>
    </row>
    <row r="82" spans="2:4">
      <c r="B82" s="633"/>
      <c r="C82" s="633"/>
      <c r="D82" s="642"/>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tabColor rgb="FFD07C00"/>
  </sheetPr>
  <dimension ref="A1:L39"/>
  <sheetViews>
    <sheetView zoomScaleNormal="100" workbookViewId="0">
      <selection activeCell="D34" sqref="D34"/>
    </sheetView>
  </sheetViews>
  <sheetFormatPr defaultColWidth="8.85546875" defaultRowHeight="15"/>
  <cols>
    <col min="1" max="16384" width="8.85546875" style="170"/>
  </cols>
  <sheetData>
    <row r="1" spans="1:10" ht="17.649999999999999" customHeight="1">
      <c r="A1" s="1389"/>
      <c r="B1" s="1389"/>
      <c r="C1" s="1389"/>
      <c r="D1" s="1389"/>
      <c r="E1" s="1389"/>
      <c r="F1" s="1389"/>
      <c r="G1" s="1389"/>
      <c r="H1" s="1389"/>
      <c r="I1" s="1389"/>
      <c r="J1" s="1389"/>
    </row>
    <row r="39" spans="12:12">
      <c r="L39" s="170">
        <f>F39*0.0256</f>
        <v>0</v>
      </c>
    </row>
  </sheetData>
  <mergeCells count="1">
    <mergeCell ref="A1:J1"/>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legacyDrawing r:id="rId3"/>
  <oleObjects>
    <mc:AlternateContent xmlns:mc="http://schemas.openxmlformats.org/markup-compatibility/2006">
      <mc:Choice Requires="x14">
        <oleObject progId="Packager Shell Object" shapeId="640002" r:id="rId4">
          <objectPr defaultSize="0" autoPict="0" r:id="rId5">
            <anchor moveWithCells="1">
              <from>
                <xdr:col>3</xdr:col>
                <xdr:colOff>0</xdr:colOff>
                <xdr:row>3</xdr:row>
                <xdr:rowOff>0</xdr:rowOff>
              </from>
              <to>
                <xdr:col>9</xdr:col>
                <xdr:colOff>0</xdr:colOff>
                <xdr:row>15</xdr:row>
                <xdr:rowOff>0</xdr:rowOff>
              </to>
            </anchor>
          </objectPr>
        </oleObject>
      </mc:Choice>
      <mc:Fallback>
        <oleObject progId="Packager Shell Object" shapeId="640002" r:id="rId4"/>
      </mc:Fallback>
    </mc:AlternateContent>
  </oleObjec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6">
    <tabColor rgb="FF7030A0"/>
  </sheetPr>
  <dimension ref="A1:L237"/>
  <sheetViews>
    <sheetView zoomScale="75" zoomScaleNormal="75" workbookViewId="0">
      <selection activeCell="G60" sqref="G60"/>
    </sheetView>
  </sheetViews>
  <sheetFormatPr defaultColWidth="8.85546875" defaultRowHeight="12.75"/>
  <cols>
    <col min="1" max="2" width="88" style="104" bestFit="1" customWidth="1"/>
    <col min="3" max="3" width="23.28515625" style="104" bestFit="1" customWidth="1"/>
    <col min="4" max="4" width="11.7109375" style="104" bestFit="1" customWidth="1"/>
    <col min="5" max="5" width="15.7109375" style="104" customWidth="1"/>
    <col min="6" max="6" width="14.7109375" style="165" customWidth="1"/>
    <col min="7" max="7" width="17.7109375" style="175" customWidth="1"/>
    <col min="8" max="8" width="20.28515625" style="104" bestFit="1" customWidth="1"/>
    <col min="9" max="9" width="14.140625" style="104" customWidth="1"/>
    <col min="10" max="10" width="20.28515625" style="104" bestFit="1" customWidth="1"/>
    <col min="11" max="11" width="14.140625" style="104" customWidth="1"/>
    <col min="12" max="12" width="20.28515625" style="104" bestFit="1" customWidth="1"/>
    <col min="13" max="13" width="14.7109375" style="104" customWidth="1"/>
    <col min="14" max="14" width="20.28515625" style="104" bestFit="1" customWidth="1"/>
    <col min="15" max="16384" width="8.85546875" style="104"/>
  </cols>
  <sheetData>
    <row r="1" spans="1:4" ht="31.15" customHeight="1">
      <c r="A1" s="1392" t="s">
        <v>1245</v>
      </c>
      <c r="B1" s="1392"/>
      <c r="C1" s="1392"/>
      <c r="D1" s="1392"/>
    </row>
    <row r="2" spans="1:4" ht="155.65" customHeight="1">
      <c r="A2" s="1393" t="s">
        <v>876</v>
      </c>
      <c r="B2" s="1393"/>
      <c r="C2" s="1393"/>
      <c r="D2" s="1393"/>
    </row>
    <row r="3" spans="1:4" ht="12.75" customHeight="1">
      <c r="A3" s="607" t="s">
        <v>1246</v>
      </c>
      <c r="B3"/>
      <c r="C3"/>
      <c r="D3"/>
    </row>
    <row r="4" spans="1:4" ht="12.75" customHeight="1">
      <c r="A4" s="1390" t="s">
        <v>1247</v>
      </c>
      <c r="B4" s="1391"/>
      <c r="C4" s="1391"/>
      <c r="D4" s="1391"/>
    </row>
    <row r="5" spans="1:4" ht="12.75" customHeight="1">
      <c r="A5" s="609" t="s">
        <v>853</v>
      </c>
      <c r="B5" s="609" t="s">
        <v>853</v>
      </c>
      <c r="C5" s="609" t="s">
        <v>830</v>
      </c>
      <c r="D5" s="610">
        <v>170</v>
      </c>
    </row>
    <row r="6" spans="1:4" ht="12.75" customHeight="1">
      <c r="A6" s="609" t="s">
        <v>854</v>
      </c>
      <c r="B6" s="609" t="s">
        <v>854</v>
      </c>
      <c r="C6" s="609" t="s">
        <v>831</v>
      </c>
      <c r="D6" s="610">
        <v>70</v>
      </c>
    </row>
    <row r="7" spans="1:4" ht="12.75" customHeight="1">
      <c r="A7" s="609" t="s">
        <v>855</v>
      </c>
      <c r="B7" s="609" t="s">
        <v>855</v>
      </c>
      <c r="C7" s="609" t="s">
        <v>832</v>
      </c>
      <c r="D7" s="610">
        <v>1300</v>
      </c>
    </row>
    <row r="8" spans="1:4" ht="12.75" customHeight="1">
      <c r="A8" s="609" t="s">
        <v>856</v>
      </c>
      <c r="B8" s="609" t="s">
        <v>856</v>
      </c>
      <c r="C8" s="609" t="s">
        <v>833</v>
      </c>
      <c r="D8" s="610">
        <v>155</v>
      </c>
    </row>
    <row r="9" spans="1:4" ht="12.75" customHeight="1">
      <c r="A9" s="609" t="s">
        <v>857</v>
      </c>
      <c r="B9" s="609" t="s">
        <v>857</v>
      </c>
      <c r="C9" s="609" t="s">
        <v>834</v>
      </c>
      <c r="D9" s="610">
        <v>80</v>
      </c>
    </row>
    <row r="10" spans="1:4" ht="12.75" customHeight="1">
      <c r="A10" s="609" t="s">
        <v>858</v>
      </c>
      <c r="B10" s="609" t="s">
        <v>858</v>
      </c>
      <c r="C10" s="609" t="s">
        <v>835</v>
      </c>
      <c r="D10" s="610">
        <v>1600</v>
      </c>
    </row>
    <row r="11" spans="1:4" ht="12.75" customHeight="1">
      <c r="A11" s="609" t="s">
        <v>859</v>
      </c>
      <c r="B11" s="609" t="s">
        <v>859</v>
      </c>
      <c r="C11" s="609" t="s">
        <v>836</v>
      </c>
      <c r="D11" s="610">
        <v>0.7</v>
      </c>
    </row>
    <row r="12" spans="1:4" ht="12.75" customHeight="1">
      <c r="A12" s="609" t="s">
        <v>860</v>
      </c>
      <c r="B12" s="609" t="s">
        <v>860</v>
      </c>
      <c r="C12" s="609" t="s">
        <v>837</v>
      </c>
      <c r="D12" s="610">
        <v>1650</v>
      </c>
    </row>
    <row r="13" spans="1:4" ht="12.75" customHeight="1">
      <c r="A13" s="609" t="s">
        <v>861</v>
      </c>
      <c r="B13" s="609" t="s">
        <v>861</v>
      </c>
      <c r="C13" s="609" t="s">
        <v>838</v>
      </c>
      <c r="D13" s="610">
        <v>2400</v>
      </c>
    </row>
    <row r="14" spans="1:4" ht="12.75" customHeight="1">
      <c r="A14" s="609" t="s">
        <v>862</v>
      </c>
      <c r="B14" s="609" t="s">
        <v>862</v>
      </c>
      <c r="C14" s="609" t="s">
        <v>839</v>
      </c>
      <c r="D14" s="610">
        <v>3300</v>
      </c>
    </row>
    <row r="15" spans="1:4" ht="12.75" customHeight="1">
      <c r="A15" s="609" t="s">
        <v>863</v>
      </c>
      <c r="B15" s="609" t="s">
        <v>863</v>
      </c>
      <c r="C15" s="609" t="s">
        <v>840</v>
      </c>
      <c r="D15" s="610">
        <v>330</v>
      </c>
    </row>
    <row r="16" spans="1:4" ht="12.75" customHeight="1">
      <c r="A16" s="609" t="s">
        <v>864</v>
      </c>
      <c r="B16" s="609" t="s">
        <v>864</v>
      </c>
      <c r="C16" s="609" t="s">
        <v>841</v>
      </c>
      <c r="D16" s="610">
        <v>460</v>
      </c>
    </row>
    <row r="17" spans="1:4" ht="12.75" customHeight="1">
      <c r="A17" s="609" t="s">
        <v>865</v>
      </c>
      <c r="B17" s="609" t="s">
        <v>865</v>
      </c>
      <c r="C17" s="609" t="s">
        <v>842</v>
      </c>
      <c r="D17" s="610">
        <v>75</v>
      </c>
    </row>
    <row r="18" spans="1:4" ht="12.75" customHeight="1">
      <c r="A18" s="609" t="s">
        <v>866</v>
      </c>
      <c r="B18" s="609" t="s">
        <v>866</v>
      </c>
      <c r="C18" s="609" t="s">
        <v>843</v>
      </c>
      <c r="D18" s="610">
        <v>100</v>
      </c>
    </row>
    <row r="19" spans="1:4" ht="12.75" customHeight="1">
      <c r="A19" s="609" t="s">
        <v>867</v>
      </c>
      <c r="B19" s="609" t="s">
        <v>867</v>
      </c>
      <c r="C19" s="609" t="s">
        <v>844</v>
      </c>
      <c r="D19" s="610">
        <v>590</v>
      </c>
    </row>
    <row r="20" spans="1:4" ht="12.75" customHeight="1">
      <c r="A20" s="609" t="s">
        <v>868</v>
      </c>
      <c r="B20" s="609" t="s">
        <v>868</v>
      </c>
      <c r="C20" s="609" t="s">
        <v>845</v>
      </c>
      <c r="D20" s="610">
        <v>325</v>
      </c>
    </row>
    <row r="21" spans="1:4" ht="12.75" customHeight="1">
      <c r="A21" s="609" t="s">
        <v>869</v>
      </c>
      <c r="B21" s="609" t="s">
        <v>869</v>
      </c>
      <c r="C21" s="609" t="s">
        <v>846</v>
      </c>
      <c r="D21" s="610">
        <v>475</v>
      </c>
    </row>
    <row r="22" spans="1:4" ht="12.75" customHeight="1">
      <c r="A22" s="609" t="s">
        <v>870</v>
      </c>
      <c r="B22" s="609" t="s">
        <v>870</v>
      </c>
      <c r="C22" s="609" t="s">
        <v>847</v>
      </c>
      <c r="D22" s="610">
        <v>30</v>
      </c>
    </row>
    <row r="23" spans="1:4" ht="12.75" customHeight="1">
      <c r="A23" s="609" t="s">
        <v>871</v>
      </c>
      <c r="B23" s="609" t="s">
        <v>871</v>
      </c>
      <c r="C23" s="609" t="s">
        <v>848</v>
      </c>
      <c r="D23" s="610">
        <v>285</v>
      </c>
    </row>
    <row r="24" spans="1:4" ht="12.75" customHeight="1">
      <c r="A24" s="609" t="s">
        <v>872</v>
      </c>
      <c r="B24" s="609" t="s">
        <v>872</v>
      </c>
      <c r="C24" s="609" t="s">
        <v>849</v>
      </c>
      <c r="D24" s="610">
        <v>4900</v>
      </c>
    </row>
    <row r="25" spans="1:4" ht="12.75" customHeight="1">
      <c r="A25" s="609" t="s">
        <v>873</v>
      </c>
      <c r="B25" s="609" t="s">
        <v>873</v>
      </c>
      <c r="C25" s="609" t="s">
        <v>850</v>
      </c>
      <c r="D25" s="610">
        <v>6200</v>
      </c>
    </row>
    <row r="26" spans="1:4" ht="12.75" customHeight="1">
      <c r="A26" s="609" t="s">
        <v>874</v>
      </c>
      <c r="B26" s="609" t="s">
        <v>874</v>
      </c>
      <c r="C26" s="609" t="s">
        <v>851</v>
      </c>
      <c r="D26" s="610">
        <v>520</v>
      </c>
    </row>
    <row r="27" spans="1:4" ht="12.75" customHeight="1">
      <c r="A27" s="609" t="s">
        <v>875</v>
      </c>
      <c r="B27" s="609" t="s">
        <v>875</v>
      </c>
      <c r="C27" s="609" t="s">
        <v>852</v>
      </c>
      <c r="D27" s="610">
        <v>2100</v>
      </c>
    </row>
    <row r="28" spans="1:4" ht="12.75" customHeight="1">
      <c r="A28" s="1390" t="s">
        <v>1248</v>
      </c>
      <c r="B28" s="1391"/>
      <c r="C28" s="1391"/>
      <c r="D28" s="1391"/>
    </row>
    <row r="29" spans="1:4" ht="12.75" customHeight="1">
      <c r="A29" s="609" t="s">
        <v>1249</v>
      </c>
      <c r="B29" s="609" t="s">
        <v>1249</v>
      </c>
      <c r="C29" s="609" t="s">
        <v>1250</v>
      </c>
      <c r="D29" s="610">
        <v>625</v>
      </c>
    </row>
    <row r="30" spans="1:4" ht="12.75" customHeight="1">
      <c r="A30" s="609" t="s">
        <v>1251</v>
      </c>
      <c r="B30" s="609" t="s">
        <v>1251</v>
      </c>
      <c r="C30" s="609" t="s">
        <v>1252</v>
      </c>
      <c r="D30" s="610">
        <v>413</v>
      </c>
    </row>
    <row r="31" spans="1:4" ht="12.75" customHeight="1">
      <c r="A31" s="609" t="s">
        <v>1253</v>
      </c>
      <c r="B31" s="609" t="s">
        <v>1253</v>
      </c>
      <c r="C31" s="609" t="s">
        <v>1254</v>
      </c>
      <c r="D31" s="610">
        <v>255</v>
      </c>
    </row>
    <row r="32" spans="1:4" ht="12.75" customHeight="1">
      <c r="A32" s="609" t="s">
        <v>1255</v>
      </c>
      <c r="B32" s="609" t="s">
        <v>1255</v>
      </c>
      <c r="C32" s="609" t="s">
        <v>1256</v>
      </c>
      <c r="D32" s="610">
        <v>250</v>
      </c>
    </row>
    <row r="33" spans="1:12" ht="12.75" customHeight="1">
      <c r="A33" s="609" t="s">
        <v>1257</v>
      </c>
      <c r="B33" s="609" t="s">
        <v>1257</v>
      </c>
      <c r="C33" s="609" t="s">
        <v>1258</v>
      </c>
      <c r="D33" s="610">
        <v>357</v>
      </c>
    </row>
    <row r="34" spans="1:12" ht="12.75" customHeight="1">
      <c r="A34" s="609" t="s">
        <v>1259</v>
      </c>
      <c r="B34" s="609" t="s">
        <v>1259</v>
      </c>
      <c r="C34" s="609" t="s">
        <v>1260</v>
      </c>
      <c r="D34" s="610">
        <v>304</v>
      </c>
    </row>
    <row r="35" spans="1:12" ht="12.75" customHeight="1">
      <c r="A35" s="609" t="s">
        <v>1261</v>
      </c>
      <c r="B35" s="609" t="s">
        <v>1261</v>
      </c>
      <c r="C35" s="609" t="s">
        <v>1262</v>
      </c>
      <c r="D35" s="610">
        <v>245</v>
      </c>
    </row>
    <row r="36" spans="1:12" ht="12.75" customHeight="1">
      <c r="A36" s="609" t="s">
        <v>1263</v>
      </c>
      <c r="B36" s="609" t="s">
        <v>1263</v>
      </c>
      <c r="C36" s="609" t="s">
        <v>1264</v>
      </c>
      <c r="D36" s="610">
        <v>750</v>
      </c>
    </row>
    <row r="37" spans="1:12" ht="12.75" customHeight="1">
      <c r="A37" s="609" t="s">
        <v>1265</v>
      </c>
      <c r="B37" s="609" t="s">
        <v>1265</v>
      </c>
      <c r="C37" s="609" t="s">
        <v>1266</v>
      </c>
      <c r="D37" s="610">
        <v>2100</v>
      </c>
    </row>
    <row r="38" spans="1:12" ht="12.75" customHeight="1">
      <c r="A38" s="609" t="s">
        <v>1267</v>
      </c>
      <c r="B38" s="609" t="s">
        <v>1267</v>
      </c>
      <c r="C38" s="609" t="s">
        <v>1268</v>
      </c>
      <c r="D38" s="610">
        <v>1300</v>
      </c>
    </row>
    <row r="39" spans="1:12" ht="12.75" customHeight="1">
      <c r="A39" s="609" t="s">
        <v>1269</v>
      </c>
      <c r="B39" s="609" t="s">
        <v>1269</v>
      </c>
      <c r="C39" s="609" t="s">
        <v>1270</v>
      </c>
      <c r="D39" s="610">
        <v>1</v>
      </c>
      <c r="L39" s="665">
        <f>F39*0.0256</f>
        <v>0</v>
      </c>
    </row>
    <row r="40" spans="1:12" ht="12.75" customHeight="1">
      <c r="A40" s="609" t="s">
        <v>1271</v>
      </c>
      <c r="B40" s="609" t="s">
        <v>1271</v>
      </c>
      <c r="C40" s="609" t="s">
        <v>1272</v>
      </c>
      <c r="D40" s="610">
        <v>551</v>
      </c>
    </row>
    <row r="41" spans="1:12" ht="12.75" customHeight="1">
      <c r="A41" s="609" t="s">
        <v>1273</v>
      </c>
      <c r="B41" s="609" t="s">
        <v>1273</v>
      </c>
      <c r="C41" s="609" t="s">
        <v>1274</v>
      </c>
      <c r="D41" s="610">
        <v>380</v>
      </c>
    </row>
    <row r="42" spans="1:12" ht="12.75" customHeight="1">
      <c r="A42" s="609" t="s">
        <v>1275</v>
      </c>
      <c r="B42" s="609" t="s">
        <v>1275</v>
      </c>
      <c r="C42" s="609" t="s">
        <v>1276</v>
      </c>
      <c r="D42" s="610">
        <v>238</v>
      </c>
    </row>
    <row r="43" spans="1:12" ht="12.75" customHeight="1">
      <c r="A43" s="609" t="s">
        <v>1277</v>
      </c>
      <c r="B43" s="609" t="s">
        <v>1277</v>
      </c>
      <c r="C43" s="609" t="s">
        <v>1278</v>
      </c>
      <c r="D43" s="610">
        <v>233</v>
      </c>
    </row>
    <row r="44" spans="1:12" ht="12.75" customHeight="1">
      <c r="A44" s="609" t="s">
        <v>1279</v>
      </c>
      <c r="B44" s="609" t="s">
        <v>1279</v>
      </c>
      <c r="C44" s="609" t="s">
        <v>1280</v>
      </c>
      <c r="D44" s="610">
        <v>328</v>
      </c>
    </row>
    <row r="45" spans="1:12" ht="12.75" customHeight="1">
      <c r="A45" s="609" t="s">
        <v>1281</v>
      </c>
      <c r="B45" s="609" t="s">
        <v>1281</v>
      </c>
      <c r="C45" s="609" t="s">
        <v>1282</v>
      </c>
      <c r="D45" s="610">
        <v>286</v>
      </c>
    </row>
    <row r="46" spans="1:12" ht="12.75" customHeight="1">
      <c r="A46" s="609" t="s">
        <v>1283</v>
      </c>
      <c r="B46" s="609" t="s">
        <v>1283</v>
      </c>
      <c r="C46" s="609" t="s">
        <v>1284</v>
      </c>
      <c r="D46" s="610">
        <v>228</v>
      </c>
    </row>
    <row r="47" spans="1:12" ht="12.75" customHeight="1">
      <c r="A47" s="609" t="s">
        <v>1285</v>
      </c>
      <c r="B47" s="609" t="s">
        <v>1285</v>
      </c>
      <c r="C47" s="609" t="s">
        <v>1286</v>
      </c>
      <c r="D47" s="610">
        <v>600</v>
      </c>
    </row>
    <row r="48" spans="1:12" ht="12.75" customHeight="1">
      <c r="A48" s="609" t="s">
        <v>1287</v>
      </c>
      <c r="B48" s="609" t="s">
        <v>1287</v>
      </c>
      <c r="C48" s="609" t="s">
        <v>1288</v>
      </c>
      <c r="D48" s="610">
        <v>1800</v>
      </c>
    </row>
    <row r="49" spans="1:4" ht="12.75" customHeight="1">
      <c r="A49" s="609" t="s">
        <v>1289</v>
      </c>
      <c r="B49" s="609" t="s">
        <v>1289</v>
      </c>
      <c r="C49" s="609" t="s">
        <v>1290</v>
      </c>
      <c r="D49" s="610">
        <v>1000</v>
      </c>
    </row>
    <row r="50" spans="1:4" ht="12.75" customHeight="1">
      <c r="A50" s="609" t="s">
        <v>1291</v>
      </c>
      <c r="B50" s="609" t="s">
        <v>1291</v>
      </c>
      <c r="C50" s="609" t="s">
        <v>1292</v>
      </c>
      <c r="D50" s="610">
        <v>1</v>
      </c>
    </row>
    <row r="51" spans="1:4" ht="12.75" customHeight="1">
      <c r="A51" s="609" t="s">
        <v>1293</v>
      </c>
      <c r="B51" s="609" t="s">
        <v>1293</v>
      </c>
      <c r="C51" s="609" t="s">
        <v>1294</v>
      </c>
      <c r="D51" s="610">
        <v>130</v>
      </c>
    </row>
    <row r="52" spans="1:4" ht="12.75" customHeight="1">
      <c r="A52" s="1390" t="s">
        <v>1295</v>
      </c>
      <c r="B52" s="1391"/>
      <c r="C52" s="1391"/>
      <c r="D52" s="1391"/>
    </row>
    <row r="53" spans="1:4" ht="12.75" customHeight="1">
      <c r="A53" s="609" t="s">
        <v>1296</v>
      </c>
      <c r="B53" s="609" t="s">
        <v>1296</v>
      </c>
      <c r="C53" s="609" t="s">
        <v>1297</v>
      </c>
      <c r="D53" s="610">
        <v>0.2</v>
      </c>
    </row>
    <row r="54" spans="1:4">
      <c r="A54" s="609" t="s">
        <v>1298</v>
      </c>
      <c r="B54" s="609" t="s">
        <v>1298</v>
      </c>
      <c r="C54" s="609" t="s">
        <v>1299</v>
      </c>
      <c r="D54" s="610">
        <v>0.4</v>
      </c>
    </row>
    <row r="55" spans="1:4">
      <c r="A55" s="609" t="s">
        <v>1300</v>
      </c>
      <c r="B55" s="609" t="s">
        <v>1300</v>
      </c>
      <c r="C55" s="609" t="s">
        <v>1301</v>
      </c>
      <c r="D55" s="610">
        <v>0.45</v>
      </c>
    </row>
    <row r="56" spans="1:4">
      <c r="A56" s="609" t="s">
        <v>1302</v>
      </c>
      <c r="B56" s="609" t="s">
        <v>1302</v>
      </c>
      <c r="C56" s="609" t="s">
        <v>1303</v>
      </c>
      <c r="D56" s="610">
        <v>0.6</v>
      </c>
    </row>
    <row r="57" spans="1:4">
      <c r="A57" s="609" t="s">
        <v>1304</v>
      </c>
      <c r="B57" s="609" t="s">
        <v>1304</v>
      </c>
      <c r="C57" s="609" t="s">
        <v>1305</v>
      </c>
      <c r="D57" s="610">
        <v>0.75</v>
      </c>
    </row>
    <row r="58" spans="1:4">
      <c r="A58" s="609" t="s">
        <v>1306</v>
      </c>
      <c r="B58" s="609" t="s">
        <v>1306</v>
      </c>
      <c r="C58" s="609" t="s">
        <v>1307</v>
      </c>
      <c r="D58" s="610">
        <v>250</v>
      </c>
    </row>
    <row r="59" spans="1:4">
      <c r="A59" s="609" t="s">
        <v>1308</v>
      </c>
      <c r="B59" s="609" t="s">
        <v>1308</v>
      </c>
      <c r="C59" s="609" t="s">
        <v>1309</v>
      </c>
      <c r="D59" s="610">
        <v>0.3</v>
      </c>
    </row>
    <row r="60" spans="1:4">
      <c r="A60" s="609" t="s">
        <v>1310</v>
      </c>
      <c r="B60" s="609" t="s">
        <v>1310</v>
      </c>
      <c r="C60" s="609" t="s">
        <v>1311</v>
      </c>
      <c r="D60" s="610">
        <v>0.6</v>
      </c>
    </row>
    <row r="61" spans="1:4">
      <c r="A61" s="609" t="s">
        <v>1312</v>
      </c>
      <c r="B61" s="609" t="s">
        <v>1312</v>
      </c>
      <c r="C61" s="609" t="s">
        <v>1313</v>
      </c>
      <c r="D61" s="610">
        <v>0.75</v>
      </c>
    </row>
    <row r="62" spans="1:4">
      <c r="A62" s="609" t="s">
        <v>1314</v>
      </c>
      <c r="B62" s="609" t="s">
        <v>1314</v>
      </c>
      <c r="C62" s="609" t="s">
        <v>1315</v>
      </c>
      <c r="D62" s="610">
        <v>1</v>
      </c>
    </row>
    <row r="63" spans="1:4">
      <c r="A63" s="609" t="s">
        <v>1316</v>
      </c>
      <c r="B63" s="609" t="s">
        <v>1316</v>
      </c>
      <c r="C63" s="609" t="s">
        <v>1317</v>
      </c>
      <c r="D63" s="610">
        <v>1.25</v>
      </c>
    </row>
    <row r="64" spans="1:4">
      <c r="A64" s="609" t="s">
        <v>1318</v>
      </c>
      <c r="B64" s="609" t="s">
        <v>1318</v>
      </c>
      <c r="C64" s="609" t="s">
        <v>1319</v>
      </c>
      <c r="D64" s="610">
        <v>0.2</v>
      </c>
    </row>
    <row r="65" spans="1:4">
      <c r="A65" s="609" t="s">
        <v>1320</v>
      </c>
      <c r="B65" s="609" t="s">
        <v>1320</v>
      </c>
      <c r="C65" s="609" t="s">
        <v>1321</v>
      </c>
      <c r="D65" s="610">
        <v>0.4</v>
      </c>
    </row>
    <row r="66" spans="1:4">
      <c r="A66" s="609" t="s">
        <v>1322</v>
      </c>
      <c r="B66" s="609" t="s">
        <v>1322</v>
      </c>
      <c r="C66" s="609" t="s">
        <v>1323</v>
      </c>
      <c r="D66" s="610">
        <v>0.6</v>
      </c>
    </row>
    <row r="67" spans="1:4">
      <c r="A67" s="609" t="s">
        <v>1324</v>
      </c>
      <c r="B67" s="609" t="s">
        <v>1324</v>
      </c>
      <c r="C67" s="609" t="s">
        <v>1325</v>
      </c>
      <c r="D67" s="610">
        <v>0.8</v>
      </c>
    </row>
    <row r="68" spans="1:4">
      <c r="A68" s="609" t="s">
        <v>1326</v>
      </c>
      <c r="B68" s="609" t="s">
        <v>1326</v>
      </c>
      <c r="C68" s="609" t="s">
        <v>1327</v>
      </c>
      <c r="D68" s="610">
        <v>1</v>
      </c>
    </row>
    <row r="69" spans="1:4">
      <c r="A69" s="609" t="s">
        <v>1328</v>
      </c>
      <c r="B69" s="609" t="s">
        <v>1328</v>
      </c>
      <c r="C69" s="609" t="s">
        <v>1329</v>
      </c>
      <c r="D69" s="610">
        <v>375</v>
      </c>
    </row>
    <row r="70" spans="1:4">
      <c r="A70" s="609" t="s">
        <v>1330</v>
      </c>
      <c r="B70" s="609" t="s">
        <v>1330</v>
      </c>
      <c r="C70" s="609" t="s">
        <v>1331</v>
      </c>
      <c r="D70" s="610">
        <v>300</v>
      </c>
    </row>
    <row r="71" spans="1:4">
      <c r="A71" s="609" t="s">
        <v>1332</v>
      </c>
      <c r="B71" s="609" t="s">
        <v>1332</v>
      </c>
      <c r="C71" s="609" t="s">
        <v>1333</v>
      </c>
      <c r="D71" s="610">
        <v>0.02</v>
      </c>
    </row>
    <row r="72" spans="1:4">
      <c r="A72" s="609" t="s">
        <v>1334</v>
      </c>
      <c r="B72" s="609" t="s">
        <v>1334</v>
      </c>
      <c r="C72" s="609" t="s">
        <v>1335</v>
      </c>
      <c r="D72" s="610">
        <v>0.18</v>
      </c>
    </row>
    <row r="73" spans="1:4">
      <c r="A73" s="609" t="s">
        <v>1336</v>
      </c>
      <c r="B73" s="609" t="s">
        <v>1336</v>
      </c>
      <c r="C73" s="609" t="s">
        <v>1337</v>
      </c>
      <c r="D73" s="610">
        <v>0.19</v>
      </c>
    </row>
    <row r="74" spans="1:4">
      <c r="A74" s="609" t="s">
        <v>1338</v>
      </c>
      <c r="B74" s="609" t="s">
        <v>1338</v>
      </c>
      <c r="C74" s="609" t="s">
        <v>1339</v>
      </c>
      <c r="D74" s="610">
        <v>0.04</v>
      </c>
    </row>
    <row r="75" spans="1:4">
      <c r="A75" s="609" t="s">
        <v>1340</v>
      </c>
      <c r="B75" s="609" t="s">
        <v>1340</v>
      </c>
      <c r="C75" s="609" t="s">
        <v>1341</v>
      </c>
      <c r="D75" s="610">
        <v>0.06</v>
      </c>
    </row>
    <row r="76" spans="1:4">
      <c r="A76" s="609" t="s">
        <v>1342</v>
      </c>
      <c r="B76" s="609" t="s">
        <v>1342</v>
      </c>
      <c r="C76" s="609" t="s">
        <v>1343</v>
      </c>
      <c r="D76" s="610">
        <v>0.08</v>
      </c>
    </row>
    <row r="77" spans="1:4">
      <c r="A77" s="609" t="s">
        <v>1344</v>
      </c>
      <c r="B77" s="609" t="s">
        <v>1344</v>
      </c>
      <c r="C77" s="609" t="s">
        <v>1345</v>
      </c>
      <c r="D77" s="610">
        <v>0.1</v>
      </c>
    </row>
    <row r="78" spans="1:4">
      <c r="A78" s="609" t="s">
        <v>1346</v>
      </c>
      <c r="B78" s="609" t="s">
        <v>1346</v>
      </c>
      <c r="C78" s="609" t="s">
        <v>1347</v>
      </c>
      <c r="D78" s="610">
        <v>0.12</v>
      </c>
    </row>
    <row r="79" spans="1:4">
      <c r="A79" s="609" t="s">
        <v>1348</v>
      </c>
      <c r="B79" s="609" t="s">
        <v>1348</v>
      </c>
      <c r="C79" s="609" t="s">
        <v>1349</v>
      </c>
      <c r="D79" s="610">
        <v>0.14000000000000001</v>
      </c>
    </row>
    <row r="80" spans="1:4">
      <c r="A80" s="609" t="s">
        <v>1350</v>
      </c>
      <c r="B80" s="609" t="s">
        <v>1350</v>
      </c>
      <c r="C80" s="609" t="s">
        <v>1351</v>
      </c>
      <c r="D80" s="610">
        <v>0.16</v>
      </c>
    </row>
    <row r="81" spans="1:4">
      <c r="A81" s="609" t="s">
        <v>1352</v>
      </c>
      <c r="B81" s="609" t="s">
        <v>1352</v>
      </c>
      <c r="C81" s="609" t="s">
        <v>1353</v>
      </c>
      <c r="D81" s="610">
        <v>0.17</v>
      </c>
    </row>
    <row r="82" spans="1:4">
      <c r="A82" s="609" t="s">
        <v>1354</v>
      </c>
      <c r="B82" s="609" t="s">
        <v>1354</v>
      </c>
      <c r="C82" s="609" t="s">
        <v>1355</v>
      </c>
      <c r="D82" s="610">
        <v>0.03</v>
      </c>
    </row>
    <row r="83" spans="1:4">
      <c r="A83" s="609" t="s">
        <v>1356</v>
      </c>
      <c r="B83" s="609" t="s">
        <v>1356</v>
      </c>
      <c r="C83" s="609" t="s">
        <v>1357</v>
      </c>
      <c r="D83" s="610">
        <v>0.25</v>
      </c>
    </row>
    <row r="84" spans="1:4">
      <c r="A84" s="609" t="s">
        <v>1358</v>
      </c>
      <c r="B84" s="609" t="s">
        <v>1358</v>
      </c>
      <c r="C84" s="609" t="s">
        <v>1359</v>
      </c>
      <c r="D84" s="610">
        <v>0.28000000000000003</v>
      </c>
    </row>
    <row r="85" spans="1:4">
      <c r="A85" s="609" t="s">
        <v>1360</v>
      </c>
      <c r="B85" s="609" t="s">
        <v>1360</v>
      </c>
      <c r="C85" s="609" t="s">
        <v>1361</v>
      </c>
      <c r="D85" s="610">
        <v>0.05</v>
      </c>
    </row>
    <row r="86" spans="1:4">
      <c r="A86" s="609" t="s">
        <v>1362</v>
      </c>
      <c r="B86" s="609" t="s">
        <v>1362</v>
      </c>
      <c r="C86" s="609" t="s">
        <v>1363</v>
      </c>
      <c r="D86" s="610">
        <v>0.08</v>
      </c>
    </row>
    <row r="87" spans="1:4">
      <c r="A87" s="609" t="s">
        <v>1364</v>
      </c>
      <c r="B87" s="609" t="s">
        <v>1364</v>
      </c>
      <c r="C87" s="609" t="s">
        <v>1365</v>
      </c>
      <c r="D87" s="610">
        <v>0.1</v>
      </c>
    </row>
    <row r="88" spans="1:4">
      <c r="A88" s="609" t="s">
        <v>1366</v>
      </c>
      <c r="B88" s="609" t="s">
        <v>1366</v>
      </c>
      <c r="C88" s="609" t="s">
        <v>1367</v>
      </c>
      <c r="D88" s="610">
        <v>0.13</v>
      </c>
    </row>
    <row r="89" spans="1:4">
      <c r="A89" s="609" t="s">
        <v>1368</v>
      </c>
      <c r="B89" s="609" t="s">
        <v>1368</v>
      </c>
      <c r="C89" s="609" t="s">
        <v>1369</v>
      </c>
      <c r="D89" s="610">
        <v>0.15</v>
      </c>
    </row>
    <row r="90" spans="1:4">
      <c r="A90" s="609" t="s">
        <v>1370</v>
      </c>
      <c r="B90" s="609" t="s">
        <v>1370</v>
      </c>
      <c r="C90" s="609" t="s">
        <v>1371</v>
      </c>
      <c r="D90" s="610">
        <v>0.18</v>
      </c>
    </row>
    <row r="91" spans="1:4">
      <c r="A91" s="609" t="s">
        <v>1372</v>
      </c>
      <c r="B91" s="609" t="s">
        <v>1372</v>
      </c>
      <c r="C91" s="609" t="s">
        <v>1373</v>
      </c>
      <c r="D91" s="610">
        <v>0.2</v>
      </c>
    </row>
    <row r="92" spans="1:4">
      <c r="A92" s="609" t="s">
        <v>1374</v>
      </c>
      <c r="B92" s="609" t="s">
        <v>1374</v>
      </c>
      <c r="C92" s="609" t="s">
        <v>1375</v>
      </c>
      <c r="D92" s="610">
        <v>0.23</v>
      </c>
    </row>
    <row r="93" spans="1:4">
      <c r="A93" s="609" t="s">
        <v>1376</v>
      </c>
      <c r="B93" s="609" t="s">
        <v>1376</v>
      </c>
      <c r="C93" s="609" t="s">
        <v>1377</v>
      </c>
      <c r="D93" s="610">
        <v>0.02</v>
      </c>
    </row>
    <row r="94" spans="1:4">
      <c r="A94" s="609" t="s">
        <v>1378</v>
      </c>
      <c r="B94" s="609" t="s">
        <v>1378</v>
      </c>
      <c r="C94" s="609" t="s">
        <v>1379</v>
      </c>
      <c r="D94" s="610">
        <v>0.17</v>
      </c>
    </row>
    <row r="95" spans="1:4">
      <c r="A95" s="609" t="s">
        <v>1380</v>
      </c>
      <c r="B95" s="609" t="s">
        <v>1380</v>
      </c>
      <c r="C95" s="609" t="s">
        <v>1381</v>
      </c>
      <c r="D95" s="610">
        <v>0.18</v>
      </c>
    </row>
    <row r="96" spans="1:4">
      <c r="A96" s="609" t="s">
        <v>1382</v>
      </c>
      <c r="B96" s="609" t="s">
        <v>1382</v>
      </c>
      <c r="C96" s="609" t="s">
        <v>1383</v>
      </c>
      <c r="D96" s="610">
        <v>0.03</v>
      </c>
    </row>
    <row r="97" spans="1:4">
      <c r="A97" s="609" t="s">
        <v>1384</v>
      </c>
      <c r="B97" s="609" t="s">
        <v>1384</v>
      </c>
      <c r="C97" s="609" t="s">
        <v>1385</v>
      </c>
      <c r="D97" s="610">
        <v>0.05</v>
      </c>
    </row>
    <row r="98" spans="1:4">
      <c r="A98" s="609" t="s">
        <v>1386</v>
      </c>
      <c r="B98" s="609" t="s">
        <v>1386</v>
      </c>
      <c r="C98" s="609" t="s">
        <v>1387</v>
      </c>
      <c r="D98" s="610">
        <v>7.0000000000000007E-2</v>
      </c>
    </row>
    <row r="99" spans="1:4">
      <c r="A99" s="609" t="s">
        <v>1388</v>
      </c>
      <c r="B99" s="609" t="s">
        <v>1388</v>
      </c>
      <c r="C99" s="609" t="s">
        <v>1389</v>
      </c>
      <c r="D99" s="610">
        <v>0.08</v>
      </c>
    </row>
    <row r="100" spans="1:4">
      <c r="A100" s="609" t="s">
        <v>1390</v>
      </c>
      <c r="B100" s="609" t="s">
        <v>1390</v>
      </c>
      <c r="C100" s="609" t="s">
        <v>1391</v>
      </c>
      <c r="D100" s="610">
        <v>0.1</v>
      </c>
    </row>
    <row r="101" spans="1:4">
      <c r="A101" s="609" t="s">
        <v>1392</v>
      </c>
      <c r="B101" s="609" t="s">
        <v>1392</v>
      </c>
      <c r="C101" s="609" t="s">
        <v>1393</v>
      </c>
      <c r="D101" s="610">
        <v>0.12</v>
      </c>
    </row>
    <row r="102" spans="1:4">
      <c r="A102" s="609" t="s">
        <v>1394</v>
      </c>
      <c r="B102" s="609" t="s">
        <v>1394</v>
      </c>
      <c r="C102" s="609" t="s">
        <v>1395</v>
      </c>
      <c r="D102" s="610">
        <v>0.13</v>
      </c>
    </row>
    <row r="103" spans="1:4">
      <c r="A103" s="609" t="s">
        <v>1396</v>
      </c>
      <c r="B103" s="609" t="s">
        <v>1396</v>
      </c>
      <c r="C103" s="609" t="s">
        <v>1397</v>
      </c>
      <c r="D103" s="610">
        <v>0.15</v>
      </c>
    </row>
    <row r="104" spans="1:4">
      <c r="A104" s="609" t="s">
        <v>1398</v>
      </c>
      <c r="B104" s="609" t="s">
        <v>1398</v>
      </c>
      <c r="C104" s="609" t="s">
        <v>1399</v>
      </c>
      <c r="D104" s="610">
        <v>660</v>
      </c>
    </row>
    <row r="105" spans="1:4">
      <c r="A105" s="609" t="s">
        <v>1400</v>
      </c>
      <c r="B105" s="609" t="s">
        <v>1400</v>
      </c>
      <c r="C105" s="609" t="s">
        <v>1401</v>
      </c>
      <c r="D105" s="610">
        <v>1325</v>
      </c>
    </row>
    <row r="106" spans="1:4">
      <c r="A106" s="609" t="s">
        <v>1402</v>
      </c>
      <c r="B106" s="609" t="s">
        <v>1402</v>
      </c>
      <c r="C106" s="609" t="s">
        <v>1403</v>
      </c>
      <c r="D106" s="610">
        <v>1915</v>
      </c>
    </row>
    <row r="107" spans="1:4">
      <c r="A107" s="609" t="s">
        <v>1404</v>
      </c>
      <c r="B107" s="609" t="s">
        <v>1404</v>
      </c>
      <c r="C107" s="609" t="s">
        <v>1405</v>
      </c>
      <c r="D107" s="610">
        <v>3654</v>
      </c>
    </row>
    <row r="108" spans="1:4">
      <c r="A108" s="609" t="s">
        <v>1406</v>
      </c>
      <c r="B108" s="609" t="s">
        <v>1406</v>
      </c>
      <c r="C108" s="609" t="s">
        <v>1407</v>
      </c>
      <c r="D108" s="610">
        <v>3473</v>
      </c>
    </row>
    <row r="109" spans="1:4">
      <c r="A109" s="609" t="s">
        <v>1408</v>
      </c>
      <c r="B109" s="609" t="s">
        <v>1408</v>
      </c>
      <c r="C109" s="609" t="s">
        <v>1409</v>
      </c>
      <c r="D109" s="610">
        <v>328</v>
      </c>
    </row>
    <row r="110" spans="1:4">
      <c r="A110" s="609" t="s">
        <v>1410</v>
      </c>
      <c r="B110" s="609" t="s">
        <v>1410</v>
      </c>
      <c r="C110" s="609" t="s">
        <v>1411</v>
      </c>
      <c r="D110" s="610">
        <v>665</v>
      </c>
    </row>
    <row r="111" spans="1:4">
      <c r="A111" s="609" t="s">
        <v>1412</v>
      </c>
      <c r="B111" s="609" t="s">
        <v>1412</v>
      </c>
      <c r="C111" s="609" t="s">
        <v>1413</v>
      </c>
      <c r="D111" s="610">
        <v>930</v>
      </c>
    </row>
    <row r="112" spans="1:4">
      <c r="A112" s="609" t="s">
        <v>1414</v>
      </c>
      <c r="B112" s="609" t="s">
        <v>1414</v>
      </c>
      <c r="C112" s="609" t="s">
        <v>1415</v>
      </c>
      <c r="D112" s="610">
        <v>1257</v>
      </c>
    </row>
    <row r="113" spans="1:4">
      <c r="A113" s="1390" t="s">
        <v>1416</v>
      </c>
      <c r="B113" s="1391"/>
      <c r="C113" s="1391"/>
      <c r="D113" s="1391"/>
    </row>
    <row r="114" spans="1:4">
      <c r="A114" s="609" t="s">
        <v>1417</v>
      </c>
      <c r="B114" s="609" t="s">
        <v>1418</v>
      </c>
      <c r="C114" s="609" t="s">
        <v>486</v>
      </c>
      <c r="D114" s="610">
        <v>129.99</v>
      </c>
    </row>
    <row r="115" spans="1:4">
      <c r="A115" s="609" t="s">
        <v>1419</v>
      </c>
      <c r="B115" s="609" t="s">
        <v>1420</v>
      </c>
      <c r="C115" s="609" t="s">
        <v>429</v>
      </c>
      <c r="D115" s="610">
        <v>399</v>
      </c>
    </row>
    <row r="116" spans="1:4">
      <c r="A116" s="1390" t="s">
        <v>464</v>
      </c>
      <c r="B116" s="1391"/>
      <c r="C116" s="1391"/>
      <c r="D116" s="1391"/>
    </row>
    <row r="117" spans="1:4">
      <c r="A117" s="609" t="s">
        <v>1421</v>
      </c>
      <c r="B117" s="609" t="s">
        <v>1421</v>
      </c>
      <c r="C117" s="609" t="s">
        <v>1422</v>
      </c>
      <c r="D117" s="610">
        <v>180</v>
      </c>
    </row>
    <row r="118" spans="1:4">
      <c r="A118" s="609" t="s">
        <v>1423</v>
      </c>
      <c r="B118" s="609" t="s">
        <v>1423</v>
      </c>
      <c r="C118" s="609" t="s">
        <v>719</v>
      </c>
      <c r="D118" s="610">
        <v>1</v>
      </c>
    </row>
    <row r="119" spans="1:4">
      <c r="A119" s="609" t="s">
        <v>1424</v>
      </c>
      <c r="B119" s="609" t="s">
        <v>1424</v>
      </c>
      <c r="C119" s="609" t="s">
        <v>1425</v>
      </c>
      <c r="D119" s="610">
        <v>4000</v>
      </c>
    </row>
    <row r="120" spans="1:4">
      <c r="A120" s="609" t="s">
        <v>1426</v>
      </c>
      <c r="B120" s="609" t="s">
        <v>1426</v>
      </c>
      <c r="C120" s="609" t="s">
        <v>1427</v>
      </c>
      <c r="D120" s="610">
        <v>1600</v>
      </c>
    </row>
    <row r="121" spans="1:4">
      <c r="A121" s="609" t="s">
        <v>1428</v>
      </c>
      <c r="B121" s="609" t="s">
        <v>1428</v>
      </c>
      <c r="C121" s="609" t="s">
        <v>1429</v>
      </c>
      <c r="D121" s="610">
        <v>960</v>
      </c>
    </row>
    <row r="122" spans="1:4">
      <c r="A122" s="609" t="s">
        <v>1430</v>
      </c>
      <c r="B122" s="609" t="s">
        <v>1430</v>
      </c>
      <c r="C122" s="609" t="s">
        <v>1431</v>
      </c>
      <c r="D122" s="610">
        <v>3760</v>
      </c>
    </row>
    <row r="123" spans="1:4">
      <c r="A123" s="609" t="s">
        <v>1432</v>
      </c>
      <c r="B123" s="609" t="s">
        <v>1432</v>
      </c>
      <c r="C123" s="609" t="s">
        <v>1433</v>
      </c>
      <c r="D123" s="610">
        <v>1680</v>
      </c>
    </row>
    <row r="124" spans="1:4">
      <c r="A124" s="609" t="s">
        <v>1434</v>
      </c>
      <c r="B124" s="609" t="s">
        <v>1434</v>
      </c>
      <c r="C124" s="609" t="s">
        <v>1435</v>
      </c>
      <c r="D124" s="610">
        <v>1680</v>
      </c>
    </row>
    <row r="125" spans="1:4">
      <c r="A125" s="609" t="s">
        <v>1436</v>
      </c>
      <c r="B125" s="609" t="s">
        <v>1436</v>
      </c>
      <c r="C125" s="609" t="s">
        <v>1437</v>
      </c>
      <c r="D125" s="610">
        <v>1680</v>
      </c>
    </row>
    <row r="126" spans="1:4">
      <c r="A126" s="609" t="s">
        <v>1438</v>
      </c>
      <c r="B126" s="609" t="s">
        <v>1438</v>
      </c>
      <c r="C126" s="609" t="s">
        <v>1439</v>
      </c>
      <c r="D126" s="610">
        <v>1680</v>
      </c>
    </row>
    <row r="127" spans="1:4">
      <c r="A127" s="609" t="s">
        <v>1440</v>
      </c>
      <c r="B127" s="609" t="s">
        <v>1440</v>
      </c>
      <c r="C127" s="609" t="s">
        <v>1441</v>
      </c>
      <c r="D127" s="610">
        <v>2800</v>
      </c>
    </row>
    <row r="128" spans="1:4">
      <c r="A128" s="609" t="s">
        <v>1442</v>
      </c>
      <c r="B128" s="609" t="s">
        <v>1442</v>
      </c>
      <c r="C128" s="609" t="s">
        <v>1443</v>
      </c>
      <c r="D128" s="610">
        <v>2800</v>
      </c>
    </row>
    <row r="129" spans="1:4">
      <c r="A129" s="609" t="s">
        <v>1444</v>
      </c>
      <c r="B129" s="609" t="s">
        <v>1444</v>
      </c>
      <c r="C129" s="609" t="s">
        <v>1445</v>
      </c>
      <c r="D129" s="610">
        <v>1680</v>
      </c>
    </row>
    <row r="130" spans="1:4">
      <c r="A130" s="609" t="s">
        <v>1446</v>
      </c>
      <c r="B130" s="609" t="s">
        <v>1446</v>
      </c>
      <c r="C130" s="609" t="s">
        <v>1447</v>
      </c>
      <c r="D130" s="610">
        <v>1680</v>
      </c>
    </row>
    <row r="131" spans="1:4">
      <c r="A131" s="609" t="s">
        <v>1448</v>
      </c>
      <c r="B131" s="609" t="s">
        <v>1448</v>
      </c>
      <c r="C131" s="609" t="s">
        <v>1449</v>
      </c>
      <c r="D131" s="610">
        <v>1680</v>
      </c>
    </row>
    <row r="132" spans="1:4">
      <c r="A132" s="609" t="s">
        <v>1450</v>
      </c>
      <c r="B132" s="609" t="s">
        <v>1450</v>
      </c>
      <c r="C132" s="609" t="s">
        <v>1451</v>
      </c>
      <c r="D132" s="610">
        <v>1200</v>
      </c>
    </row>
    <row r="133" spans="1:4">
      <c r="A133" s="609" t="s">
        <v>1452</v>
      </c>
      <c r="B133" s="609" t="s">
        <v>1452</v>
      </c>
      <c r="C133" s="609" t="s">
        <v>1453</v>
      </c>
      <c r="D133" s="610">
        <v>2800</v>
      </c>
    </row>
    <row r="134" spans="1:4">
      <c r="A134" s="609" t="s">
        <v>1454</v>
      </c>
      <c r="B134" s="609" t="s">
        <v>1454</v>
      </c>
      <c r="C134" s="609" t="s">
        <v>1455</v>
      </c>
      <c r="D134" s="610">
        <v>1680</v>
      </c>
    </row>
    <row r="135" spans="1:4">
      <c r="A135" s="609" t="s">
        <v>1456</v>
      </c>
      <c r="B135" s="609" t="s">
        <v>1456</v>
      </c>
      <c r="C135" s="609" t="s">
        <v>1457</v>
      </c>
      <c r="D135" s="610">
        <v>2100</v>
      </c>
    </row>
    <row r="136" spans="1:4">
      <c r="A136" s="609" t="s">
        <v>1458</v>
      </c>
      <c r="B136" s="609" t="s">
        <v>1458</v>
      </c>
      <c r="C136" s="609" t="s">
        <v>1459</v>
      </c>
      <c r="D136" s="610">
        <v>1200</v>
      </c>
    </row>
    <row r="137" spans="1:4">
      <c r="A137" s="609" t="s">
        <v>1460</v>
      </c>
      <c r="B137" s="609" t="s">
        <v>1460</v>
      </c>
      <c r="C137" s="609" t="s">
        <v>1461</v>
      </c>
      <c r="D137" s="610">
        <v>1200</v>
      </c>
    </row>
    <row r="138" spans="1:4">
      <c r="A138" s="609" t="s">
        <v>1462</v>
      </c>
      <c r="B138" s="609" t="s">
        <v>1462</v>
      </c>
      <c r="C138" s="609" t="s">
        <v>1463</v>
      </c>
      <c r="D138" s="610">
        <v>1200</v>
      </c>
    </row>
    <row r="139" spans="1:4">
      <c r="A139" s="609" t="s">
        <v>1464</v>
      </c>
      <c r="B139" s="609" t="s">
        <v>1464</v>
      </c>
      <c r="C139" s="609" t="s">
        <v>1465</v>
      </c>
      <c r="D139" s="610">
        <v>1680</v>
      </c>
    </row>
    <row r="140" spans="1:4">
      <c r="A140" s="609" t="s">
        <v>1466</v>
      </c>
      <c r="B140" s="609" t="s">
        <v>1466</v>
      </c>
      <c r="C140" s="609" t="s">
        <v>1467</v>
      </c>
      <c r="D140" s="610">
        <v>1680</v>
      </c>
    </row>
    <row r="141" spans="1:4">
      <c r="A141" s="609" t="s">
        <v>1468</v>
      </c>
      <c r="B141" s="609" t="s">
        <v>1468</v>
      </c>
      <c r="C141" s="609" t="s">
        <v>1469</v>
      </c>
      <c r="D141" s="610">
        <v>1680</v>
      </c>
    </row>
    <row r="142" spans="1:4">
      <c r="A142" s="609" t="s">
        <v>1470</v>
      </c>
      <c r="B142" s="609" t="s">
        <v>1470</v>
      </c>
      <c r="C142" s="609" t="s">
        <v>1471</v>
      </c>
      <c r="D142" s="610">
        <v>2800</v>
      </c>
    </row>
    <row r="143" spans="1:4">
      <c r="A143" s="609" t="s">
        <v>1472</v>
      </c>
      <c r="B143" s="609" t="s">
        <v>1472</v>
      </c>
      <c r="C143" s="609" t="s">
        <v>1473</v>
      </c>
      <c r="D143" s="610">
        <v>1680</v>
      </c>
    </row>
    <row r="144" spans="1:4">
      <c r="A144" s="609" t="s">
        <v>1474</v>
      </c>
      <c r="B144" s="609" t="s">
        <v>1474</v>
      </c>
      <c r="C144" s="609" t="s">
        <v>1475</v>
      </c>
      <c r="D144" s="610">
        <v>1680</v>
      </c>
    </row>
    <row r="145" spans="1:4">
      <c r="A145" s="609" t="s">
        <v>1476</v>
      </c>
      <c r="B145" s="609" t="s">
        <v>1476</v>
      </c>
      <c r="C145" s="609" t="s">
        <v>1477</v>
      </c>
      <c r="D145" s="610">
        <v>1680</v>
      </c>
    </row>
    <row r="146" spans="1:4">
      <c r="A146" s="609" t="s">
        <v>1478</v>
      </c>
      <c r="B146" s="609" t="s">
        <v>1478</v>
      </c>
      <c r="C146" s="609" t="s">
        <v>1479</v>
      </c>
      <c r="D146" s="610">
        <v>1680</v>
      </c>
    </row>
    <row r="147" spans="1:4">
      <c r="A147" s="609" t="s">
        <v>1480</v>
      </c>
      <c r="B147" s="609" t="s">
        <v>1480</v>
      </c>
      <c r="C147" s="609" t="s">
        <v>1481</v>
      </c>
      <c r="D147" s="610">
        <v>1680</v>
      </c>
    </row>
    <row r="148" spans="1:4">
      <c r="A148" s="609" t="s">
        <v>1482</v>
      </c>
      <c r="B148" s="609" t="s">
        <v>1482</v>
      </c>
      <c r="C148" s="609" t="s">
        <v>1483</v>
      </c>
      <c r="D148" s="610">
        <v>1200</v>
      </c>
    </row>
    <row r="149" spans="1:4">
      <c r="A149" s="609" t="s">
        <v>1484</v>
      </c>
      <c r="B149" s="609" t="s">
        <v>1484</v>
      </c>
      <c r="C149" s="609" t="s">
        <v>1485</v>
      </c>
      <c r="D149" s="610">
        <v>2800</v>
      </c>
    </row>
    <row r="150" spans="1:4">
      <c r="A150" s="609" t="s">
        <v>1486</v>
      </c>
      <c r="B150" s="609" t="s">
        <v>1486</v>
      </c>
      <c r="C150" s="609" t="s">
        <v>1487</v>
      </c>
      <c r="D150" s="610">
        <v>140</v>
      </c>
    </row>
    <row r="151" spans="1:4">
      <c r="A151" s="609" t="s">
        <v>1488</v>
      </c>
      <c r="B151" s="609" t="s">
        <v>1488</v>
      </c>
      <c r="C151" s="609" t="s">
        <v>1489</v>
      </c>
      <c r="D151" s="610">
        <v>396</v>
      </c>
    </row>
    <row r="152" spans="1:4">
      <c r="A152" s="609" t="s">
        <v>1490</v>
      </c>
      <c r="B152" s="609" t="s">
        <v>1490</v>
      </c>
      <c r="C152" s="609" t="s">
        <v>1491</v>
      </c>
      <c r="D152" s="610">
        <v>528</v>
      </c>
    </row>
    <row r="153" spans="1:4">
      <c r="A153" s="609" t="s">
        <v>1492</v>
      </c>
      <c r="B153" s="609" t="s">
        <v>1492</v>
      </c>
      <c r="C153" s="609" t="s">
        <v>1493</v>
      </c>
      <c r="D153" s="610">
        <v>880</v>
      </c>
    </row>
    <row r="154" spans="1:4">
      <c r="A154" s="609" t="s">
        <v>1494</v>
      </c>
      <c r="B154" s="609" t="s">
        <v>1494</v>
      </c>
      <c r="C154" s="609" t="s">
        <v>1495</v>
      </c>
      <c r="D154" s="610">
        <v>300</v>
      </c>
    </row>
    <row r="155" spans="1:4">
      <c r="A155" s="609" t="s">
        <v>1496</v>
      </c>
      <c r="B155" s="609" t="s">
        <v>1496</v>
      </c>
      <c r="C155" s="609" t="s">
        <v>1497</v>
      </c>
      <c r="D155" s="610">
        <v>1200</v>
      </c>
    </row>
    <row r="156" spans="1:4">
      <c r="A156" s="609" t="s">
        <v>1498</v>
      </c>
      <c r="B156" s="609" t="s">
        <v>1498</v>
      </c>
      <c r="C156" s="609" t="s">
        <v>1499</v>
      </c>
      <c r="D156" s="610">
        <v>600</v>
      </c>
    </row>
    <row r="157" spans="1:4">
      <c r="A157" s="609" t="s">
        <v>1500</v>
      </c>
      <c r="B157" s="609" t="s">
        <v>1500</v>
      </c>
      <c r="C157" s="609" t="s">
        <v>1501</v>
      </c>
      <c r="D157" s="610">
        <v>730</v>
      </c>
    </row>
    <row r="158" spans="1:4">
      <c r="A158" s="609" t="s">
        <v>1502</v>
      </c>
      <c r="B158" s="609" t="s">
        <v>1502</v>
      </c>
      <c r="C158" s="609" t="s">
        <v>1503</v>
      </c>
      <c r="D158" s="610">
        <v>2800</v>
      </c>
    </row>
    <row r="159" spans="1:4">
      <c r="A159" s="609" t="s">
        <v>1504</v>
      </c>
      <c r="B159" s="609" t="s">
        <v>1504</v>
      </c>
      <c r="C159" s="609" t="s">
        <v>1505</v>
      </c>
      <c r="D159" s="610">
        <v>1200</v>
      </c>
    </row>
    <row r="160" spans="1:4">
      <c r="A160" s="609" t="s">
        <v>1506</v>
      </c>
      <c r="B160" s="609" t="s">
        <v>1506</v>
      </c>
      <c r="C160" s="609" t="s">
        <v>1507</v>
      </c>
      <c r="D160" s="610">
        <v>1200</v>
      </c>
    </row>
    <row r="161" spans="1:4">
      <c r="A161" s="609" t="s">
        <v>1508</v>
      </c>
      <c r="B161" s="609" t="s">
        <v>1508</v>
      </c>
      <c r="C161" s="609" t="s">
        <v>1509</v>
      </c>
      <c r="D161" s="610">
        <v>1680</v>
      </c>
    </row>
    <row r="162" spans="1:4">
      <c r="A162" s="609" t="s">
        <v>1510</v>
      </c>
      <c r="B162" s="609" t="s">
        <v>1510</v>
      </c>
      <c r="C162" s="609" t="s">
        <v>1511</v>
      </c>
      <c r="D162" s="610">
        <v>2800</v>
      </c>
    </row>
    <row r="163" spans="1:4">
      <c r="A163" s="609" t="s">
        <v>1512</v>
      </c>
      <c r="B163" s="609" t="s">
        <v>1512</v>
      </c>
      <c r="C163" s="609" t="s">
        <v>1513</v>
      </c>
      <c r="D163" s="610">
        <v>1680</v>
      </c>
    </row>
    <row r="164" spans="1:4">
      <c r="A164" s="609" t="s">
        <v>1514</v>
      </c>
      <c r="B164" s="609" t="s">
        <v>1514</v>
      </c>
      <c r="C164" s="609" t="s">
        <v>1515</v>
      </c>
      <c r="D164" s="610">
        <v>1200</v>
      </c>
    </row>
    <row r="165" spans="1:4">
      <c r="A165" s="609" t="s">
        <v>1516</v>
      </c>
      <c r="B165" s="609" t="s">
        <v>1516</v>
      </c>
      <c r="C165" s="609" t="s">
        <v>1517</v>
      </c>
      <c r="D165" s="610">
        <v>1200</v>
      </c>
    </row>
    <row r="166" spans="1:4">
      <c r="A166" s="609" t="s">
        <v>1518</v>
      </c>
      <c r="B166" s="609" t="s">
        <v>1518</v>
      </c>
      <c r="C166" s="609" t="s">
        <v>1519</v>
      </c>
      <c r="D166" s="610">
        <v>1680</v>
      </c>
    </row>
    <row r="167" spans="1:4">
      <c r="A167" s="609" t="s">
        <v>1520</v>
      </c>
      <c r="B167" s="609" t="s">
        <v>1520</v>
      </c>
      <c r="C167" s="609" t="s">
        <v>1521</v>
      </c>
      <c r="D167" s="610">
        <v>140</v>
      </c>
    </row>
    <row r="168" spans="1:4">
      <c r="A168" s="609" t="s">
        <v>1522</v>
      </c>
      <c r="B168" s="609" t="s">
        <v>1522</v>
      </c>
      <c r="C168" s="609" t="s">
        <v>1523</v>
      </c>
      <c r="D168" s="610">
        <v>300</v>
      </c>
    </row>
    <row r="169" spans="1:4">
      <c r="A169" s="609" t="s">
        <v>1524</v>
      </c>
      <c r="B169" s="609" t="s">
        <v>1524</v>
      </c>
      <c r="C169" s="609" t="s">
        <v>1525</v>
      </c>
      <c r="D169" s="610">
        <v>40</v>
      </c>
    </row>
    <row r="170" spans="1:4">
      <c r="A170" s="609" t="s">
        <v>1526</v>
      </c>
      <c r="B170" s="609" t="s">
        <v>1526</v>
      </c>
      <c r="C170" s="609" t="s">
        <v>1527</v>
      </c>
      <c r="D170" s="610">
        <v>528</v>
      </c>
    </row>
    <row r="171" spans="1:4">
      <c r="A171" s="609" t="s">
        <v>1528</v>
      </c>
      <c r="B171" s="609" t="s">
        <v>1528</v>
      </c>
      <c r="C171" s="609" t="s">
        <v>1529</v>
      </c>
      <c r="D171" s="610">
        <v>660</v>
      </c>
    </row>
    <row r="172" spans="1:4">
      <c r="A172" s="609" t="s">
        <v>1530</v>
      </c>
      <c r="B172" s="609" t="s">
        <v>1530</v>
      </c>
      <c r="C172" s="609" t="s">
        <v>1531</v>
      </c>
      <c r="D172" s="610">
        <v>180</v>
      </c>
    </row>
    <row r="173" spans="1:4">
      <c r="A173" s="609" t="s">
        <v>1532</v>
      </c>
      <c r="B173" s="609" t="s">
        <v>1532</v>
      </c>
      <c r="C173" s="609" t="s">
        <v>1533</v>
      </c>
      <c r="D173" s="610">
        <v>700</v>
      </c>
    </row>
    <row r="174" spans="1:4">
      <c r="A174" s="1390" t="s">
        <v>1534</v>
      </c>
      <c r="B174" s="1391"/>
      <c r="C174" s="1391"/>
      <c r="D174" s="1391"/>
    </row>
    <row r="175" spans="1:4">
      <c r="A175" s="609" t="s">
        <v>1535</v>
      </c>
      <c r="B175" s="609" t="s">
        <v>1535</v>
      </c>
      <c r="C175" s="609" t="s">
        <v>1536</v>
      </c>
      <c r="D175" s="610">
        <v>150</v>
      </c>
    </row>
    <row r="176" spans="1:4">
      <c r="A176" s="609" t="s">
        <v>1537</v>
      </c>
      <c r="B176" s="609" t="s">
        <v>1537</v>
      </c>
      <c r="C176" s="609" t="s">
        <v>1538</v>
      </c>
      <c r="D176" s="610">
        <v>110</v>
      </c>
    </row>
    <row r="177" spans="1:4">
      <c r="A177" s="609" t="s">
        <v>1539</v>
      </c>
      <c r="B177" s="609" t="s">
        <v>1539</v>
      </c>
      <c r="C177" s="609" t="s">
        <v>1540</v>
      </c>
      <c r="D177" s="610">
        <v>140</v>
      </c>
    </row>
    <row r="178" spans="1:4">
      <c r="A178" s="609" t="s">
        <v>1541</v>
      </c>
      <c r="B178" s="609" t="s">
        <v>1541</v>
      </c>
      <c r="C178" s="609" t="s">
        <v>1542</v>
      </c>
      <c r="D178" s="610">
        <v>120</v>
      </c>
    </row>
    <row r="179" spans="1:4">
      <c r="A179" s="609" t="s">
        <v>1543</v>
      </c>
      <c r="B179" s="609" t="s">
        <v>1543</v>
      </c>
      <c r="C179" s="609" t="s">
        <v>1544</v>
      </c>
      <c r="D179" s="610">
        <v>300</v>
      </c>
    </row>
    <row r="180" spans="1:4">
      <c r="A180" s="609" t="s">
        <v>1545</v>
      </c>
      <c r="B180" s="609" t="s">
        <v>1545</v>
      </c>
      <c r="C180" s="609" t="s">
        <v>1546</v>
      </c>
      <c r="D180" s="610">
        <v>95</v>
      </c>
    </row>
    <row r="181" spans="1:4">
      <c r="A181" s="609" t="s">
        <v>1547</v>
      </c>
      <c r="B181" s="609" t="s">
        <v>1547</v>
      </c>
      <c r="C181" s="609" t="s">
        <v>1548</v>
      </c>
      <c r="D181" s="610">
        <v>495</v>
      </c>
    </row>
    <row r="182" spans="1:4">
      <c r="A182" s="609" t="s">
        <v>1549</v>
      </c>
      <c r="B182" s="609" t="s">
        <v>1549</v>
      </c>
      <c r="C182" s="609" t="s">
        <v>1550</v>
      </c>
      <c r="D182" s="610">
        <v>3000</v>
      </c>
    </row>
    <row r="183" spans="1:4">
      <c r="A183" s="609" t="s">
        <v>1551</v>
      </c>
      <c r="B183" s="609" t="s">
        <v>1551</v>
      </c>
      <c r="C183" s="609" t="s">
        <v>1552</v>
      </c>
      <c r="D183" s="610">
        <v>3000</v>
      </c>
    </row>
    <row r="184" spans="1:4">
      <c r="A184" s="609" t="s">
        <v>1553</v>
      </c>
      <c r="B184" s="609" t="s">
        <v>1553</v>
      </c>
      <c r="C184" s="609" t="s">
        <v>1554</v>
      </c>
      <c r="D184" s="610">
        <v>750</v>
      </c>
    </row>
    <row r="185" spans="1:4">
      <c r="A185" s="609" t="s">
        <v>1555</v>
      </c>
      <c r="B185" s="609" t="s">
        <v>1555</v>
      </c>
      <c r="C185" s="609" t="s">
        <v>1556</v>
      </c>
      <c r="D185" s="610">
        <v>3000</v>
      </c>
    </row>
    <row r="186" spans="1:4">
      <c r="A186" s="609" t="s">
        <v>1557</v>
      </c>
      <c r="B186" s="609" t="s">
        <v>1557</v>
      </c>
      <c r="C186" s="609" t="s">
        <v>1558</v>
      </c>
      <c r="D186" s="610">
        <v>3000</v>
      </c>
    </row>
    <row r="187" spans="1:4">
      <c r="A187" s="609" t="s">
        <v>1559</v>
      </c>
      <c r="B187" s="609" t="s">
        <v>1559</v>
      </c>
      <c r="C187" s="609" t="s">
        <v>1560</v>
      </c>
      <c r="D187" s="610">
        <v>750</v>
      </c>
    </row>
    <row r="188" spans="1:4">
      <c r="A188" s="609" t="s">
        <v>1561</v>
      </c>
      <c r="B188" s="609" t="s">
        <v>1561</v>
      </c>
      <c r="C188" s="609" t="s">
        <v>1562</v>
      </c>
      <c r="D188" s="610">
        <v>3000</v>
      </c>
    </row>
    <row r="189" spans="1:4">
      <c r="A189" s="609" t="s">
        <v>1563</v>
      </c>
      <c r="B189" s="609" t="s">
        <v>1563</v>
      </c>
      <c r="C189" s="609" t="s">
        <v>1564</v>
      </c>
      <c r="D189" s="610">
        <v>750</v>
      </c>
    </row>
    <row r="190" spans="1:4">
      <c r="A190" s="609" t="s">
        <v>1565</v>
      </c>
      <c r="B190" s="609" t="s">
        <v>1565</v>
      </c>
      <c r="C190" s="609" t="s">
        <v>1566</v>
      </c>
      <c r="D190" s="610">
        <v>495</v>
      </c>
    </row>
    <row r="191" spans="1:4">
      <c r="A191" s="609" t="s">
        <v>1567</v>
      </c>
      <c r="B191" s="609" t="s">
        <v>1567</v>
      </c>
      <c r="C191" s="609" t="s">
        <v>1568</v>
      </c>
      <c r="D191" s="610">
        <v>750</v>
      </c>
    </row>
    <row r="192" spans="1:4">
      <c r="A192" s="609" t="s">
        <v>1569</v>
      </c>
      <c r="B192" s="609" t="s">
        <v>1569</v>
      </c>
      <c r="C192" s="609" t="s">
        <v>1570</v>
      </c>
      <c r="D192" s="610">
        <v>750</v>
      </c>
    </row>
    <row r="193" spans="1:4">
      <c r="A193" s="609" t="s">
        <v>1571</v>
      </c>
      <c r="B193" s="609" t="s">
        <v>1571</v>
      </c>
      <c r="C193" s="609" t="s">
        <v>1572</v>
      </c>
      <c r="D193" s="610">
        <v>495</v>
      </c>
    </row>
    <row r="194" spans="1:4">
      <c r="A194" s="609" t="s">
        <v>1573</v>
      </c>
      <c r="B194" s="609" t="s">
        <v>1573</v>
      </c>
      <c r="C194" s="609" t="s">
        <v>1574</v>
      </c>
      <c r="D194" s="610">
        <v>495</v>
      </c>
    </row>
    <row r="195" spans="1:4">
      <c r="A195" s="609" t="s">
        <v>1575</v>
      </c>
      <c r="B195" s="609" t="s">
        <v>1575</v>
      </c>
      <c r="C195" s="609" t="s">
        <v>1576</v>
      </c>
      <c r="D195" s="610">
        <v>495</v>
      </c>
    </row>
    <row r="196" spans="1:4">
      <c r="A196" s="609" t="s">
        <v>1577</v>
      </c>
      <c r="B196" s="609" t="s">
        <v>1577</v>
      </c>
      <c r="C196" s="609" t="s">
        <v>1578</v>
      </c>
      <c r="D196" s="610">
        <v>750</v>
      </c>
    </row>
    <row r="197" spans="1:4">
      <c r="A197" s="609" t="s">
        <v>1579</v>
      </c>
      <c r="B197" s="609" t="s">
        <v>1579</v>
      </c>
      <c r="C197" s="609" t="s">
        <v>1580</v>
      </c>
      <c r="D197" s="610">
        <v>825</v>
      </c>
    </row>
    <row r="198" spans="1:4">
      <c r="A198" s="609" t="s">
        <v>1581</v>
      </c>
      <c r="B198" s="609" t="s">
        <v>1581</v>
      </c>
      <c r="C198" s="609" t="s">
        <v>1582</v>
      </c>
      <c r="D198" s="610">
        <v>3000</v>
      </c>
    </row>
    <row r="199" spans="1:4">
      <c r="A199" s="609" t="s">
        <v>1583</v>
      </c>
      <c r="B199" s="609" t="s">
        <v>1583</v>
      </c>
      <c r="C199" s="609" t="s">
        <v>1584</v>
      </c>
      <c r="D199" s="610">
        <v>17325</v>
      </c>
    </row>
    <row r="200" spans="1:4">
      <c r="A200" s="609" t="s">
        <v>1585</v>
      </c>
      <c r="B200" s="609" t="s">
        <v>1585</v>
      </c>
      <c r="C200" s="609" t="s">
        <v>1586</v>
      </c>
      <c r="D200" s="610">
        <v>1403</v>
      </c>
    </row>
    <row r="201" spans="1:4">
      <c r="A201" s="609" t="s">
        <v>1587</v>
      </c>
      <c r="B201" s="609" t="s">
        <v>1587</v>
      </c>
      <c r="C201" s="609" t="s">
        <v>1588</v>
      </c>
      <c r="D201" s="610">
        <v>495</v>
      </c>
    </row>
    <row r="202" spans="1:4">
      <c r="A202" s="609" t="s">
        <v>1589</v>
      </c>
      <c r="B202" s="609" t="s">
        <v>1589</v>
      </c>
      <c r="C202" s="609" t="s">
        <v>1590</v>
      </c>
      <c r="D202" s="610">
        <v>2063</v>
      </c>
    </row>
    <row r="203" spans="1:4">
      <c r="A203" s="609" t="s">
        <v>1591</v>
      </c>
      <c r="B203" s="609" t="s">
        <v>1591</v>
      </c>
      <c r="C203" s="609" t="s">
        <v>1592</v>
      </c>
      <c r="D203" s="610">
        <v>10000</v>
      </c>
    </row>
    <row r="204" spans="1:4">
      <c r="A204" s="609" t="s">
        <v>1593</v>
      </c>
      <c r="B204" s="609" t="s">
        <v>1593</v>
      </c>
      <c r="C204" s="609" t="s">
        <v>1594</v>
      </c>
      <c r="D204" s="610">
        <v>1995</v>
      </c>
    </row>
    <row r="205" spans="1:4">
      <c r="A205" s="609" t="s">
        <v>1595</v>
      </c>
      <c r="B205" s="609" t="s">
        <v>1595</v>
      </c>
      <c r="C205" s="609" t="s">
        <v>1596</v>
      </c>
      <c r="D205" s="610">
        <v>1750</v>
      </c>
    </row>
    <row r="206" spans="1:4">
      <c r="A206" s="609" t="s">
        <v>1597</v>
      </c>
      <c r="B206" s="609" t="s">
        <v>1597</v>
      </c>
      <c r="C206" s="609" t="s">
        <v>1598</v>
      </c>
      <c r="D206" s="610">
        <v>820</v>
      </c>
    </row>
    <row r="207" spans="1:4">
      <c r="A207" s="609" t="s">
        <v>1599</v>
      </c>
      <c r="B207" s="609" t="s">
        <v>1599</v>
      </c>
      <c r="C207" s="609" t="s">
        <v>1600</v>
      </c>
      <c r="D207" s="610">
        <v>1750</v>
      </c>
    </row>
    <row r="208" spans="1:4">
      <c r="A208" s="609" t="s">
        <v>1601</v>
      </c>
      <c r="B208" s="609" t="s">
        <v>1601</v>
      </c>
      <c r="C208" s="609" t="s">
        <v>1602</v>
      </c>
      <c r="D208" s="610">
        <v>1750</v>
      </c>
    </row>
    <row r="209" spans="1:4">
      <c r="A209" s="609" t="s">
        <v>1603</v>
      </c>
      <c r="B209" s="609" t="s">
        <v>1603</v>
      </c>
      <c r="C209" s="609" t="s">
        <v>1604</v>
      </c>
      <c r="D209" s="610">
        <v>130</v>
      </c>
    </row>
    <row r="210" spans="1:4">
      <c r="A210" s="609" t="s">
        <v>1605</v>
      </c>
      <c r="B210" s="609" t="s">
        <v>1605</v>
      </c>
      <c r="C210" s="609" t="s">
        <v>1606</v>
      </c>
      <c r="D210" s="610">
        <v>280</v>
      </c>
    </row>
    <row r="211" spans="1:4">
      <c r="A211" s="609" t="s">
        <v>1607</v>
      </c>
      <c r="B211" s="609" t="s">
        <v>1607</v>
      </c>
      <c r="C211" s="609" t="s">
        <v>1608</v>
      </c>
      <c r="D211" s="610">
        <v>75</v>
      </c>
    </row>
    <row r="212" spans="1:4">
      <c r="A212" s="609" t="s">
        <v>1609</v>
      </c>
      <c r="B212" s="609" t="s">
        <v>1609</v>
      </c>
      <c r="C212" s="609" t="s">
        <v>1610</v>
      </c>
      <c r="D212" s="610">
        <v>75</v>
      </c>
    </row>
    <row r="213" spans="1:4">
      <c r="A213" s="609" t="s">
        <v>1611</v>
      </c>
      <c r="B213" s="609" t="s">
        <v>1611</v>
      </c>
      <c r="C213" s="609" t="s">
        <v>1612</v>
      </c>
      <c r="D213" s="610">
        <v>37</v>
      </c>
    </row>
    <row r="214" spans="1:4">
      <c r="A214" s="609" t="s">
        <v>1613</v>
      </c>
      <c r="B214" s="609" t="s">
        <v>1613</v>
      </c>
      <c r="C214" s="609" t="s">
        <v>1614</v>
      </c>
      <c r="D214" s="610">
        <v>37</v>
      </c>
    </row>
    <row r="215" spans="1:4">
      <c r="A215" s="609" t="s">
        <v>1615</v>
      </c>
      <c r="B215" s="609" t="s">
        <v>1615</v>
      </c>
      <c r="C215" s="609" t="s">
        <v>1616</v>
      </c>
      <c r="D215" s="610">
        <v>280</v>
      </c>
    </row>
    <row r="216" spans="1:4">
      <c r="A216" s="609" t="s">
        <v>1617</v>
      </c>
      <c r="B216" s="609" t="s">
        <v>1617</v>
      </c>
      <c r="C216" s="609" t="s">
        <v>1618</v>
      </c>
      <c r="D216" s="610">
        <v>4500</v>
      </c>
    </row>
    <row r="217" spans="1:4">
      <c r="A217" s="609" t="s">
        <v>1619</v>
      </c>
      <c r="B217" s="609" t="s">
        <v>1619</v>
      </c>
      <c r="C217" s="609" t="s">
        <v>1620</v>
      </c>
      <c r="D217" s="610">
        <v>2250</v>
      </c>
    </row>
    <row r="218" spans="1:4">
      <c r="A218" s="609" t="s">
        <v>1621</v>
      </c>
      <c r="B218" s="609" t="s">
        <v>1621</v>
      </c>
      <c r="C218" s="609" t="s">
        <v>1622</v>
      </c>
      <c r="D218" s="610">
        <v>4500</v>
      </c>
    </row>
    <row r="219" spans="1:4">
      <c r="A219" s="609" t="s">
        <v>1623</v>
      </c>
      <c r="B219" s="609" t="s">
        <v>1623</v>
      </c>
      <c r="C219" s="609" t="s">
        <v>1624</v>
      </c>
      <c r="D219" s="610">
        <v>500</v>
      </c>
    </row>
    <row r="220" spans="1:4">
      <c r="A220" s="609" t="s">
        <v>1625</v>
      </c>
      <c r="B220" s="609" t="s">
        <v>1625</v>
      </c>
      <c r="C220" s="609" t="s">
        <v>1626</v>
      </c>
      <c r="D220" s="610">
        <v>75</v>
      </c>
    </row>
    <row r="221" spans="1:4">
      <c r="A221" s="609" t="s">
        <v>1627</v>
      </c>
      <c r="B221" s="609" t="s">
        <v>1627</v>
      </c>
      <c r="C221" s="609" t="s">
        <v>1628</v>
      </c>
      <c r="D221" s="610">
        <v>280</v>
      </c>
    </row>
    <row r="222" spans="1:4">
      <c r="A222" s="609" t="s">
        <v>1629</v>
      </c>
      <c r="B222" s="609" t="s">
        <v>1629</v>
      </c>
      <c r="C222" s="609" t="s">
        <v>1630</v>
      </c>
      <c r="D222" s="610">
        <v>75</v>
      </c>
    </row>
    <row r="223" spans="1:4">
      <c r="A223" s="609" t="s">
        <v>1631</v>
      </c>
      <c r="B223" s="609" t="s">
        <v>1631</v>
      </c>
      <c r="C223" s="609" t="s">
        <v>1632</v>
      </c>
      <c r="D223" s="610">
        <v>200</v>
      </c>
    </row>
    <row r="224" spans="1:4">
      <c r="A224" s="609" t="s">
        <v>1633</v>
      </c>
      <c r="B224" s="609" t="s">
        <v>1633</v>
      </c>
      <c r="C224" s="609" t="s">
        <v>1634</v>
      </c>
      <c r="D224" s="610">
        <v>280</v>
      </c>
    </row>
    <row r="225" spans="1:4">
      <c r="A225" s="609" t="s">
        <v>1635</v>
      </c>
      <c r="B225" s="609" t="s">
        <v>1635</v>
      </c>
      <c r="C225" s="609" t="s">
        <v>1636</v>
      </c>
      <c r="D225" s="610">
        <v>5000</v>
      </c>
    </row>
    <row r="226" spans="1:4">
      <c r="A226" s="609" t="s">
        <v>1637</v>
      </c>
      <c r="B226" s="609" t="s">
        <v>1637</v>
      </c>
      <c r="C226" s="609" t="s">
        <v>1638</v>
      </c>
      <c r="D226" s="610">
        <v>10940</v>
      </c>
    </row>
    <row r="227" spans="1:4">
      <c r="A227" s="609" t="s">
        <v>1639</v>
      </c>
      <c r="B227" s="609" t="s">
        <v>1639</v>
      </c>
      <c r="C227" s="609" t="s">
        <v>1640</v>
      </c>
      <c r="D227" s="610">
        <v>4000</v>
      </c>
    </row>
    <row r="228" spans="1:4">
      <c r="A228" s="609" t="s">
        <v>1641</v>
      </c>
      <c r="B228" s="609" t="s">
        <v>1641</v>
      </c>
      <c r="C228" s="609" t="s">
        <v>1642</v>
      </c>
      <c r="D228" s="610">
        <v>20000</v>
      </c>
    </row>
    <row r="229" spans="1:4">
      <c r="A229" s="609" t="s">
        <v>1643</v>
      </c>
      <c r="B229" s="609" t="s">
        <v>1643</v>
      </c>
      <c r="C229" s="609" t="s">
        <v>1644</v>
      </c>
      <c r="D229" s="610">
        <v>7500</v>
      </c>
    </row>
    <row r="230" spans="1:4">
      <c r="A230" s="609" t="s">
        <v>1645</v>
      </c>
      <c r="B230" s="609" t="s">
        <v>1645</v>
      </c>
      <c r="C230" s="609" t="s">
        <v>1646</v>
      </c>
      <c r="D230" s="610">
        <v>43750</v>
      </c>
    </row>
    <row r="231" spans="1:4">
      <c r="A231" s="609" t="s">
        <v>1647</v>
      </c>
      <c r="B231" s="609" t="s">
        <v>1647</v>
      </c>
      <c r="C231" s="609" t="s">
        <v>1648</v>
      </c>
      <c r="D231" s="610">
        <v>2500</v>
      </c>
    </row>
    <row r="232" spans="1:4">
      <c r="A232" s="609" t="s">
        <v>1649</v>
      </c>
      <c r="B232" s="609" t="s">
        <v>1649</v>
      </c>
      <c r="C232" s="609" t="s">
        <v>1650</v>
      </c>
      <c r="D232" s="610">
        <v>12750</v>
      </c>
    </row>
    <row r="233" spans="1:4">
      <c r="A233" s="609" t="s">
        <v>1651</v>
      </c>
      <c r="B233" s="609" t="s">
        <v>1651</v>
      </c>
      <c r="C233" s="609" t="s">
        <v>1652</v>
      </c>
      <c r="D233" s="610">
        <v>75000</v>
      </c>
    </row>
    <row r="234" spans="1:4">
      <c r="A234" s="609" t="s">
        <v>1653</v>
      </c>
      <c r="B234" s="609" t="s">
        <v>1653</v>
      </c>
      <c r="C234" s="609" t="s">
        <v>1654</v>
      </c>
      <c r="D234" s="610">
        <v>17500</v>
      </c>
    </row>
    <row r="235" spans="1:4">
      <c r="A235" s="1390" t="s">
        <v>1655</v>
      </c>
      <c r="B235" s="1391"/>
      <c r="C235" s="1391"/>
      <c r="D235" s="1391"/>
    </row>
    <row r="236" spans="1:4">
      <c r="A236" s="609" t="s">
        <v>1656</v>
      </c>
      <c r="B236" s="609" t="s">
        <v>1656</v>
      </c>
      <c r="C236" s="609" t="s">
        <v>1657</v>
      </c>
      <c r="D236" s="610">
        <v>0.12</v>
      </c>
    </row>
    <row r="237" spans="1:4">
      <c r="A237" t="s">
        <v>1658</v>
      </c>
      <c r="B237"/>
      <c r="C237"/>
      <c r="D237"/>
    </row>
  </sheetData>
  <mergeCells count="9">
    <mergeCell ref="A116:D116"/>
    <mergeCell ref="A174:D174"/>
    <mergeCell ref="A235:D235"/>
    <mergeCell ref="A1:D1"/>
    <mergeCell ref="A2:D2"/>
    <mergeCell ref="A4:D4"/>
    <mergeCell ref="A28:D28"/>
    <mergeCell ref="A52:D52"/>
    <mergeCell ref="A113:D113"/>
  </mergeCells>
  <phoneticPr fontId="54" type="noConversion"/>
  <hyperlinks>
    <hyperlink ref="A3" r:id="rId1" xr:uid="{00000000-0004-0000-4C00-000000000000}"/>
  </hyperlinks>
  <pageMargins left="0.52" right="0.19" top="0.47" bottom="0.43" header="0.3" footer="0.22"/>
  <pageSetup scale="43" firstPageNumber="6" orientation="landscape" useFirstPageNumber="1" r:id="rId2"/>
  <headerFooter alignWithMargins="0">
    <oddHeader>&amp;L&amp;"Arial,Bold"VITA CONTRACT #: VA-191121-VBS</oddHeader>
  </headerFooter>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7">
    <tabColor theme="0" tint="-0.34998626667073579"/>
  </sheetPr>
  <dimension ref="A7:L49"/>
  <sheetViews>
    <sheetView zoomScale="87" zoomScaleNormal="87" workbookViewId="0">
      <selection activeCell="G60" sqref="G60"/>
    </sheetView>
  </sheetViews>
  <sheetFormatPr defaultColWidth="8.85546875" defaultRowHeight="12.75"/>
  <cols>
    <col min="1" max="1" width="78.5703125" style="104" bestFit="1" customWidth="1"/>
    <col min="2" max="2" width="80.28515625" style="104" bestFit="1" customWidth="1"/>
    <col min="3" max="3" width="13.28515625" style="104" bestFit="1" customWidth="1"/>
    <col min="4" max="4" width="10.42578125" style="104" bestFit="1" customWidth="1"/>
    <col min="5" max="5" width="8.85546875" style="104"/>
    <col min="6" max="7" width="8.85546875" style="165"/>
    <col min="8" max="16384" width="8.85546875" style="104"/>
  </cols>
  <sheetData>
    <row r="7" spans="1:4" ht="30.4" customHeight="1">
      <c r="A7" s="1392" t="s">
        <v>1659</v>
      </c>
      <c r="B7" s="1392"/>
      <c r="C7" s="1392"/>
      <c r="D7" s="1392"/>
    </row>
    <row r="8" spans="1:4" ht="182.1" customHeight="1">
      <c r="A8" s="1393" t="s">
        <v>877</v>
      </c>
      <c r="B8" s="1393"/>
      <c r="C8" s="1393"/>
      <c r="D8" s="1393"/>
    </row>
    <row r="9" spans="1:4">
      <c r="A9" s="607" t="s">
        <v>1660</v>
      </c>
      <c r="B9"/>
      <c r="C9"/>
      <c r="D9"/>
    </row>
    <row r="10" spans="1:4">
      <c r="A10" s="1394" t="s">
        <v>1248</v>
      </c>
      <c r="B10" s="1395"/>
      <c r="C10" s="1395"/>
      <c r="D10" s="1395"/>
    </row>
    <row r="11" spans="1:4">
      <c r="A11" s="609" t="s">
        <v>1661</v>
      </c>
      <c r="B11" s="609" t="s">
        <v>1662</v>
      </c>
      <c r="C11" s="609" t="s">
        <v>1663</v>
      </c>
      <c r="D11" s="610">
        <v>832</v>
      </c>
    </row>
    <row r="12" spans="1:4">
      <c r="A12" s="609" t="s">
        <v>1664</v>
      </c>
      <c r="B12" s="609" t="s">
        <v>1665</v>
      </c>
      <c r="C12" s="609" t="s">
        <v>1666</v>
      </c>
      <c r="D12" s="610">
        <v>382</v>
      </c>
    </row>
    <row r="13" spans="1:4">
      <c r="A13" s="609" t="s">
        <v>1667</v>
      </c>
      <c r="B13" s="609" t="s">
        <v>1667</v>
      </c>
      <c r="C13" s="609" t="s">
        <v>1668</v>
      </c>
      <c r="D13" s="610">
        <v>1456</v>
      </c>
    </row>
    <row r="14" spans="1:4">
      <c r="A14" s="609" t="s">
        <v>1669</v>
      </c>
      <c r="B14" s="609" t="s">
        <v>1669</v>
      </c>
      <c r="C14" s="609" t="s">
        <v>1670</v>
      </c>
      <c r="D14" s="610">
        <v>2063</v>
      </c>
    </row>
    <row r="15" spans="1:4">
      <c r="A15" s="1397" t="s">
        <v>1671</v>
      </c>
      <c r="B15" s="1398"/>
      <c r="C15" s="1398"/>
      <c r="D15" s="1398"/>
    </row>
    <row r="16" spans="1:4" ht="14.25">
      <c r="A16" s="609" t="s">
        <v>1672</v>
      </c>
      <c r="B16" s="609" t="s">
        <v>1672</v>
      </c>
      <c r="C16" s="609" t="s">
        <v>1673</v>
      </c>
      <c r="D16" s="610">
        <v>166</v>
      </c>
    </row>
    <row r="17" spans="1:4" ht="14.25">
      <c r="A17" s="609" t="s">
        <v>1674</v>
      </c>
      <c r="B17" s="609" t="s">
        <v>1675</v>
      </c>
      <c r="C17" s="609" t="s">
        <v>1676</v>
      </c>
      <c r="D17" s="610">
        <v>582</v>
      </c>
    </row>
    <row r="18" spans="1:4">
      <c r="A18" s="609" t="s">
        <v>1677</v>
      </c>
      <c r="B18" s="609" t="s">
        <v>1678</v>
      </c>
      <c r="C18" s="609" t="s">
        <v>1679</v>
      </c>
      <c r="D18" s="610">
        <v>76</v>
      </c>
    </row>
    <row r="19" spans="1:4">
      <c r="A19" s="609" t="s">
        <v>1680</v>
      </c>
      <c r="B19" s="609" t="s">
        <v>1681</v>
      </c>
      <c r="C19" s="609" t="s">
        <v>1682</v>
      </c>
      <c r="D19" s="610">
        <v>267</v>
      </c>
    </row>
    <row r="20" spans="1:4">
      <c r="A20" s="609" t="s">
        <v>1683</v>
      </c>
      <c r="B20" s="609" t="s">
        <v>1684</v>
      </c>
      <c r="C20" s="609" t="s">
        <v>1685</v>
      </c>
      <c r="D20" s="610">
        <v>145</v>
      </c>
    </row>
    <row r="21" spans="1:4">
      <c r="A21" s="609" t="s">
        <v>1686</v>
      </c>
      <c r="B21" s="609" t="s">
        <v>1687</v>
      </c>
      <c r="C21" s="609" t="s">
        <v>1688</v>
      </c>
      <c r="D21" s="610">
        <v>509</v>
      </c>
    </row>
    <row r="22" spans="1:4">
      <c r="A22" s="609" t="s">
        <v>1689</v>
      </c>
      <c r="B22" s="609" t="s">
        <v>1690</v>
      </c>
      <c r="C22" s="609" t="s">
        <v>1691</v>
      </c>
      <c r="D22" s="610">
        <v>145</v>
      </c>
    </row>
    <row r="23" spans="1:4">
      <c r="A23" s="609" t="s">
        <v>1692</v>
      </c>
      <c r="B23" s="609" t="s">
        <v>1693</v>
      </c>
      <c r="C23" s="609" t="s">
        <v>1694</v>
      </c>
      <c r="D23" s="610">
        <v>509</v>
      </c>
    </row>
    <row r="24" spans="1:4">
      <c r="A24" s="609" t="s">
        <v>1695</v>
      </c>
      <c r="B24" s="609" t="s">
        <v>1696</v>
      </c>
      <c r="C24" s="609" t="s">
        <v>1697</v>
      </c>
      <c r="D24" s="610">
        <v>145</v>
      </c>
    </row>
    <row r="25" spans="1:4">
      <c r="A25" s="609" t="s">
        <v>1698</v>
      </c>
      <c r="B25" s="609" t="s">
        <v>1699</v>
      </c>
      <c r="C25" s="609" t="s">
        <v>1700</v>
      </c>
      <c r="D25" s="610">
        <v>509</v>
      </c>
    </row>
    <row r="26" spans="1:4">
      <c r="A26" s="609" t="s">
        <v>1701</v>
      </c>
      <c r="B26" s="609" t="s">
        <v>1702</v>
      </c>
      <c r="C26" s="609" t="s">
        <v>1703</v>
      </c>
      <c r="D26" s="610">
        <v>229</v>
      </c>
    </row>
    <row r="27" spans="1:4">
      <c r="A27" s="1397" t="s">
        <v>1704</v>
      </c>
      <c r="B27" s="1398"/>
      <c r="C27" s="1398"/>
      <c r="D27" s="1398"/>
    </row>
    <row r="28" spans="1:4">
      <c r="A28" s="609" t="s">
        <v>1705</v>
      </c>
      <c r="B28" s="609" t="s">
        <v>1705</v>
      </c>
      <c r="C28" s="609" t="s">
        <v>1706</v>
      </c>
      <c r="D28" s="610">
        <v>330</v>
      </c>
    </row>
    <row r="29" spans="1:4">
      <c r="A29" s="609" t="s">
        <v>1707</v>
      </c>
      <c r="B29" s="609" t="s">
        <v>1708</v>
      </c>
      <c r="C29" s="609" t="s">
        <v>1709</v>
      </c>
      <c r="D29" s="610">
        <v>727</v>
      </c>
    </row>
    <row r="30" spans="1:4">
      <c r="A30" s="609" t="s">
        <v>1710</v>
      </c>
      <c r="B30" s="609" t="s">
        <v>1711</v>
      </c>
      <c r="C30" s="609" t="s">
        <v>1712</v>
      </c>
      <c r="D30" s="610">
        <v>832</v>
      </c>
    </row>
    <row r="31" spans="1:4">
      <c r="A31" s="609" t="s">
        <v>1713</v>
      </c>
      <c r="B31" s="609" t="s">
        <v>1714</v>
      </c>
      <c r="C31" s="609" t="s">
        <v>1715</v>
      </c>
      <c r="D31" s="610">
        <v>727</v>
      </c>
    </row>
    <row r="32" spans="1:4">
      <c r="A32" s="609" t="s">
        <v>1716</v>
      </c>
      <c r="B32" s="609" t="s">
        <v>1717</v>
      </c>
      <c r="C32" s="609" t="s">
        <v>1718</v>
      </c>
      <c r="D32" s="610">
        <v>727</v>
      </c>
    </row>
    <row r="33" spans="1:12">
      <c r="A33" s="609" t="s">
        <v>1719</v>
      </c>
      <c r="B33" s="609" t="s">
        <v>1720</v>
      </c>
      <c r="C33" s="609" t="s">
        <v>1721</v>
      </c>
      <c r="D33" s="610">
        <v>727</v>
      </c>
    </row>
    <row r="34" spans="1:12">
      <c r="A34" s="609" t="s">
        <v>1722</v>
      </c>
      <c r="B34" s="609" t="s">
        <v>1723</v>
      </c>
      <c r="C34" s="609" t="s">
        <v>1724</v>
      </c>
      <c r="D34" s="610">
        <v>727</v>
      </c>
    </row>
    <row r="35" spans="1:12">
      <c r="A35" s="609" t="s">
        <v>1725</v>
      </c>
      <c r="B35" s="609" t="s">
        <v>1726</v>
      </c>
      <c r="C35" s="609" t="s">
        <v>1727</v>
      </c>
      <c r="D35" s="610">
        <v>727</v>
      </c>
    </row>
    <row r="36" spans="1:12">
      <c r="A36" s="609" t="s">
        <v>1728</v>
      </c>
      <c r="B36" s="609" t="s">
        <v>1729</v>
      </c>
      <c r="C36" s="609" t="s">
        <v>1730</v>
      </c>
      <c r="D36" s="610">
        <v>1146</v>
      </c>
    </row>
    <row r="37" spans="1:12">
      <c r="A37" s="1397" t="s">
        <v>464</v>
      </c>
      <c r="B37" s="1398"/>
      <c r="C37" s="1398"/>
      <c r="D37" s="1398"/>
    </row>
    <row r="38" spans="1:12">
      <c r="A38" s="609" t="s">
        <v>1731</v>
      </c>
      <c r="B38" s="609" t="s">
        <v>1732</v>
      </c>
      <c r="C38" s="609" t="s">
        <v>1733</v>
      </c>
      <c r="D38" s="610">
        <v>200</v>
      </c>
    </row>
    <row r="39" spans="1:12">
      <c r="A39" s="1394" t="s">
        <v>1734</v>
      </c>
      <c r="B39" s="1395"/>
      <c r="C39" s="1395"/>
      <c r="D39" s="1395"/>
      <c r="L39" s="665">
        <f>F39*0.0256</f>
        <v>0</v>
      </c>
    </row>
    <row r="40" spans="1:12">
      <c r="A40" s="609" t="s">
        <v>1735</v>
      </c>
      <c r="B40" s="609" t="s">
        <v>1735</v>
      </c>
      <c r="C40" s="609" t="s">
        <v>1736</v>
      </c>
      <c r="D40" s="610">
        <v>165</v>
      </c>
    </row>
    <row r="41" spans="1:12">
      <c r="A41" s="609" t="s">
        <v>1737</v>
      </c>
      <c r="B41" s="609" t="s">
        <v>1737</v>
      </c>
      <c r="C41" s="609" t="s">
        <v>1738</v>
      </c>
      <c r="D41" s="610">
        <v>225</v>
      </c>
    </row>
    <row r="42" spans="1:12">
      <c r="A42" s="609" t="s">
        <v>1739</v>
      </c>
      <c r="B42" s="609" t="s">
        <v>1739</v>
      </c>
      <c r="C42" s="609" t="s">
        <v>1740</v>
      </c>
      <c r="D42" s="610">
        <v>165</v>
      </c>
    </row>
    <row r="43" spans="1:12">
      <c r="A43" s="609" t="s">
        <v>1741</v>
      </c>
      <c r="B43" s="609" t="s">
        <v>1742</v>
      </c>
      <c r="C43" s="609" t="s">
        <v>1743</v>
      </c>
      <c r="D43" s="610">
        <v>2750</v>
      </c>
    </row>
    <row r="44" spans="1:12">
      <c r="A44" s="609" t="s">
        <v>1744</v>
      </c>
      <c r="B44" s="609" t="s">
        <v>1745</v>
      </c>
      <c r="C44" s="609" t="s">
        <v>1746</v>
      </c>
      <c r="D44" s="610">
        <v>995</v>
      </c>
    </row>
    <row r="45" spans="1:12">
      <c r="A45" t="s">
        <v>1658</v>
      </c>
      <c r="B45"/>
      <c r="C45"/>
      <c r="D45"/>
    </row>
    <row r="46" spans="1:12" ht="12.4" customHeight="1">
      <c r="A46" s="1396" t="s">
        <v>1747</v>
      </c>
      <c r="B46" s="1396"/>
      <c r="C46" s="1396"/>
      <c r="D46" s="1396"/>
    </row>
    <row r="47" spans="1:12" ht="12.4" customHeight="1">
      <c r="A47" s="1396" t="s">
        <v>1748</v>
      </c>
      <c r="B47" s="1396"/>
      <c r="C47" s="1396"/>
      <c r="D47" s="1396"/>
    </row>
    <row r="48" spans="1:12">
      <c r="A48" s="1396" t="s">
        <v>1749</v>
      </c>
      <c r="B48" s="1396"/>
      <c r="C48" s="1396"/>
      <c r="D48" s="1396"/>
    </row>
    <row r="49" spans="1:4">
      <c r="A49" s="577"/>
      <c r="B49" s="577"/>
      <c r="C49" s="577"/>
      <c r="D49" s="577"/>
    </row>
  </sheetData>
  <mergeCells count="10">
    <mergeCell ref="A7:D7"/>
    <mergeCell ref="A8:D8"/>
    <mergeCell ref="A10:D10"/>
    <mergeCell ref="A48:D48"/>
    <mergeCell ref="A15:D15"/>
    <mergeCell ref="A27:D27"/>
    <mergeCell ref="A37:D37"/>
    <mergeCell ref="A39:D39"/>
    <mergeCell ref="A46:D46"/>
    <mergeCell ref="A47:D47"/>
  </mergeCells>
  <phoneticPr fontId="54" type="noConversion"/>
  <hyperlinks>
    <hyperlink ref="A9" r:id="rId1" xr:uid="{00000000-0004-0000-4D00-000000000000}"/>
  </hyperlinks>
  <pageMargins left="0.52" right="0.19" top="0.47" bottom="0.43" header="0.3" footer="0.22"/>
  <pageSetup scale="43" firstPageNumber="6" orientation="landscape" useFirstPageNumber="1" r:id="rId2"/>
  <headerFooter alignWithMargins="0">
    <oddHeader>&amp;L&amp;"Arial,Bold"VITA CONTRACT #: VA-191121-VBS</oddHeader>
  </headerFooter>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tabColor theme="3" tint="0.39997558519241921"/>
  </sheetPr>
  <dimension ref="A1:L211"/>
  <sheetViews>
    <sheetView zoomScaleNormal="100" workbookViewId="0">
      <selection activeCell="G60" sqref="G60"/>
    </sheetView>
  </sheetViews>
  <sheetFormatPr defaultRowHeight="12.75"/>
  <cols>
    <col min="1" max="2" width="76.140625" bestFit="1" customWidth="1"/>
    <col min="3" max="3" width="11.42578125" bestFit="1" customWidth="1"/>
    <col min="4" max="4" width="11.28515625" bestFit="1" customWidth="1"/>
  </cols>
  <sheetData>
    <row r="1" spans="1:4" ht="30">
      <c r="A1" s="1392" t="s">
        <v>3548</v>
      </c>
      <c r="B1" s="1392"/>
      <c r="C1" s="1392"/>
      <c r="D1" s="1392"/>
    </row>
    <row r="2" spans="1:4" ht="119.1" customHeight="1">
      <c r="A2" s="1393" t="s">
        <v>1750</v>
      </c>
      <c r="B2" s="1393"/>
      <c r="C2" s="1393"/>
      <c r="D2" s="1393"/>
    </row>
    <row r="3" spans="1:4">
      <c r="A3" s="611" t="s">
        <v>1751</v>
      </c>
    </row>
    <row r="4" spans="1:4">
      <c r="A4" s="1394" t="s">
        <v>1248</v>
      </c>
      <c r="B4" s="1395"/>
      <c r="C4" s="1395"/>
      <c r="D4" s="1395"/>
    </row>
    <row r="5" spans="1:4">
      <c r="A5" s="609" t="s">
        <v>1752</v>
      </c>
      <c r="B5" s="609" t="s">
        <v>1752</v>
      </c>
      <c r="C5" s="609" t="s">
        <v>1753</v>
      </c>
      <c r="D5" s="610">
        <v>5395</v>
      </c>
    </row>
    <row r="6" spans="1:4">
      <c r="A6" s="609" t="s">
        <v>1754</v>
      </c>
      <c r="B6" s="609" t="s">
        <v>1754</v>
      </c>
      <c r="C6" s="609" t="s">
        <v>1755</v>
      </c>
      <c r="D6" s="610">
        <v>12795</v>
      </c>
    </row>
    <row r="7" spans="1:4">
      <c r="A7" s="609" t="s">
        <v>1756</v>
      </c>
      <c r="B7" s="609" t="s">
        <v>1756</v>
      </c>
      <c r="C7" s="609" t="s">
        <v>1757</v>
      </c>
      <c r="D7" s="610">
        <v>23995</v>
      </c>
    </row>
    <row r="8" spans="1:4">
      <c r="A8" s="609" t="s">
        <v>1758</v>
      </c>
      <c r="B8" s="609" t="s">
        <v>1758</v>
      </c>
      <c r="C8" s="609" t="s">
        <v>1759</v>
      </c>
      <c r="D8" s="610">
        <v>44995</v>
      </c>
    </row>
    <row r="9" spans="1:4">
      <c r="A9" s="609" t="s">
        <v>1760</v>
      </c>
      <c r="B9" s="609" t="s">
        <v>1760</v>
      </c>
      <c r="C9" s="609" t="s">
        <v>1761</v>
      </c>
      <c r="D9" s="610">
        <v>3300</v>
      </c>
    </row>
    <row r="10" spans="1:4">
      <c r="A10" s="609" t="s">
        <v>1762</v>
      </c>
      <c r="B10" s="609" t="s">
        <v>1762</v>
      </c>
      <c r="C10" s="609" t="s">
        <v>1763</v>
      </c>
      <c r="D10" s="610">
        <v>210000</v>
      </c>
    </row>
    <row r="11" spans="1:4">
      <c r="A11" t="s">
        <v>1658</v>
      </c>
    </row>
    <row r="12" spans="1:4">
      <c r="A12" s="1394" t="s">
        <v>1764</v>
      </c>
      <c r="B12" s="1395"/>
      <c r="C12" s="1395"/>
      <c r="D12" s="1395"/>
    </row>
    <row r="13" spans="1:4">
      <c r="A13" s="609" t="s">
        <v>1765</v>
      </c>
      <c r="B13" s="609" t="s">
        <v>1765</v>
      </c>
      <c r="C13" s="609" t="s">
        <v>1766</v>
      </c>
      <c r="D13" s="610">
        <v>1079</v>
      </c>
    </row>
    <row r="14" spans="1:4">
      <c r="A14" s="609" t="s">
        <v>1767</v>
      </c>
      <c r="B14" s="609" t="s">
        <v>1767</v>
      </c>
      <c r="C14" s="609" t="s">
        <v>1768</v>
      </c>
      <c r="D14" s="610">
        <v>2559</v>
      </c>
    </row>
    <row r="15" spans="1:4">
      <c r="A15" s="609" t="s">
        <v>1769</v>
      </c>
      <c r="B15" s="609" t="s">
        <v>1769</v>
      </c>
      <c r="C15" s="609" t="s">
        <v>1770</v>
      </c>
      <c r="D15" s="610">
        <v>4799</v>
      </c>
    </row>
    <row r="16" spans="1:4">
      <c r="A16" s="609" t="s">
        <v>1771</v>
      </c>
      <c r="B16" s="609" t="s">
        <v>1771</v>
      </c>
      <c r="C16" s="609" t="s">
        <v>1772</v>
      </c>
      <c r="D16" s="610">
        <v>8999</v>
      </c>
    </row>
    <row r="17" spans="1:4">
      <c r="A17" s="609" t="s">
        <v>1773</v>
      </c>
      <c r="B17" s="609" t="s">
        <v>1773</v>
      </c>
      <c r="C17" s="609" t="s">
        <v>1774</v>
      </c>
      <c r="D17" s="610">
        <v>3075</v>
      </c>
    </row>
    <row r="18" spans="1:4">
      <c r="A18" s="609" t="s">
        <v>1775</v>
      </c>
      <c r="B18" s="609" t="s">
        <v>1775</v>
      </c>
      <c r="C18" s="609" t="s">
        <v>1776</v>
      </c>
      <c r="D18" s="610">
        <v>7293</v>
      </c>
    </row>
    <row r="19" spans="1:4">
      <c r="A19" s="609" t="s">
        <v>1777</v>
      </c>
      <c r="B19" s="609" t="s">
        <v>1777</v>
      </c>
      <c r="C19" s="609" t="s">
        <v>1778</v>
      </c>
      <c r="D19" s="610">
        <v>13677</v>
      </c>
    </row>
    <row r="20" spans="1:4">
      <c r="A20" s="609" t="s">
        <v>1779</v>
      </c>
      <c r="B20" s="609" t="s">
        <v>1779</v>
      </c>
      <c r="C20" s="609" t="s">
        <v>1780</v>
      </c>
      <c r="D20" s="610">
        <v>25647</v>
      </c>
    </row>
    <row r="21" spans="1:4">
      <c r="A21" s="609" t="s">
        <v>1781</v>
      </c>
      <c r="B21" s="609" t="s">
        <v>1781</v>
      </c>
      <c r="C21" s="609" t="s">
        <v>1782</v>
      </c>
      <c r="D21" s="610">
        <v>4856</v>
      </c>
    </row>
    <row r="22" spans="1:4">
      <c r="A22" s="609" t="s">
        <v>1783</v>
      </c>
      <c r="B22" s="609" t="s">
        <v>1783</v>
      </c>
      <c r="C22" s="609" t="s">
        <v>1784</v>
      </c>
      <c r="D22" s="610">
        <v>11516</v>
      </c>
    </row>
    <row r="23" spans="1:4">
      <c r="A23" s="609" t="s">
        <v>1785</v>
      </c>
      <c r="B23" s="609" t="s">
        <v>1785</v>
      </c>
      <c r="C23" s="609" t="s">
        <v>1786</v>
      </c>
      <c r="D23" s="610">
        <v>21596</v>
      </c>
    </row>
    <row r="24" spans="1:4">
      <c r="A24" s="609" t="s">
        <v>1787</v>
      </c>
      <c r="B24" s="609" t="s">
        <v>1787</v>
      </c>
      <c r="C24" s="609" t="s">
        <v>1788</v>
      </c>
      <c r="D24" s="610">
        <v>40496</v>
      </c>
    </row>
    <row r="25" spans="1:4">
      <c r="A25" s="609" t="s">
        <v>1789</v>
      </c>
      <c r="B25" s="609" t="s">
        <v>1790</v>
      </c>
      <c r="C25" s="609" t="s">
        <v>1791</v>
      </c>
      <c r="D25" s="610">
        <v>660</v>
      </c>
    </row>
    <row r="26" spans="1:4">
      <c r="A26" s="609" t="s">
        <v>1792</v>
      </c>
      <c r="B26" s="609" t="s">
        <v>1793</v>
      </c>
      <c r="C26" s="609" t="s">
        <v>1794</v>
      </c>
      <c r="D26" s="610">
        <v>1881</v>
      </c>
    </row>
    <row r="27" spans="1:4">
      <c r="A27" s="609" t="s">
        <v>1795</v>
      </c>
      <c r="B27" s="609" t="s">
        <v>1796</v>
      </c>
      <c r="C27" s="609" t="s">
        <v>1797</v>
      </c>
      <c r="D27" s="610">
        <v>2970</v>
      </c>
    </row>
    <row r="28" spans="1:4">
      <c r="A28" s="609" t="s">
        <v>1798</v>
      </c>
      <c r="B28" s="609" t="s">
        <v>1799</v>
      </c>
      <c r="C28" s="609" t="s">
        <v>1800</v>
      </c>
      <c r="D28" s="610">
        <v>1100</v>
      </c>
    </row>
    <row r="29" spans="1:4">
      <c r="A29" s="609" t="s">
        <v>1801</v>
      </c>
      <c r="B29" s="609" t="s">
        <v>1801</v>
      </c>
      <c r="C29" s="609" t="s">
        <v>1802</v>
      </c>
      <c r="D29" s="610">
        <v>42000</v>
      </c>
    </row>
    <row r="30" spans="1:4">
      <c r="A30" s="609" t="s">
        <v>1803</v>
      </c>
      <c r="B30" s="609" t="s">
        <v>1803</v>
      </c>
      <c r="C30" s="609" t="s">
        <v>1804</v>
      </c>
      <c r="D30" s="610">
        <v>119700</v>
      </c>
    </row>
    <row r="31" spans="1:4">
      <c r="A31" s="609" t="s">
        <v>1805</v>
      </c>
      <c r="B31" s="609" t="s">
        <v>1805</v>
      </c>
      <c r="C31" s="609" t="s">
        <v>1806</v>
      </c>
      <c r="D31" s="610">
        <v>189000</v>
      </c>
    </row>
    <row r="32" spans="1:4">
      <c r="A32" s="1394" t="s">
        <v>1807</v>
      </c>
      <c r="B32" s="1395"/>
      <c r="C32" s="1395"/>
      <c r="D32" s="1395"/>
    </row>
    <row r="33" spans="1:12" ht="14.25">
      <c r="A33" s="609" t="s">
        <v>1808</v>
      </c>
      <c r="B33" s="609" t="s">
        <v>1808</v>
      </c>
      <c r="C33" s="609" t="s">
        <v>1809</v>
      </c>
      <c r="D33" s="610">
        <v>600</v>
      </c>
    </row>
    <row r="34" spans="1:12">
      <c r="A34" s="609" t="s">
        <v>1810</v>
      </c>
      <c r="B34" s="609" t="s">
        <v>1810</v>
      </c>
      <c r="C34" s="609" t="s">
        <v>1811</v>
      </c>
      <c r="D34" s="610">
        <v>500</v>
      </c>
    </row>
    <row r="35" spans="1:12" ht="14.25">
      <c r="A35" s="609" t="s">
        <v>1812</v>
      </c>
      <c r="B35" s="609" t="s">
        <v>1658</v>
      </c>
      <c r="C35" s="609" t="s">
        <v>1813</v>
      </c>
      <c r="D35" s="610">
        <v>800</v>
      </c>
    </row>
    <row r="36" spans="1:12">
      <c r="A36" s="609" t="s">
        <v>1814</v>
      </c>
      <c r="B36" s="609" t="s">
        <v>1814</v>
      </c>
      <c r="C36" s="609" t="s">
        <v>1815</v>
      </c>
      <c r="D36" s="610">
        <v>200</v>
      </c>
    </row>
    <row r="37" spans="1:12">
      <c r="A37" s="609" t="s">
        <v>1816</v>
      </c>
      <c r="B37" s="609" t="s">
        <v>1816</v>
      </c>
      <c r="C37" s="609" t="s">
        <v>1817</v>
      </c>
      <c r="D37" s="610">
        <v>300</v>
      </c>
    </row>
    <row r="38" spans="1:12">
      <c r="A38" s="609" t="s">
        <v>1818</v>
      </c>
      <c r="B38" s="609" t="s">
        <v>1819</v>
      </c>
      <c r="C38" s="609" t="s">
        <v>1820</v>
      </c>
      <c r="D38" s="610">
        <v>100</v>
      </c>
    </row>
    <row r="39" spans="1:12">
      <c r="A39" s="609" t="s">
        <v>1821</v>
      </c>
      <c r="B39" s="609" t="s">
        <v>1822</v>
      </c>
      <c r="C39" s="609" t="s">
        <v>1823</v>
      </c>
      <c r="D39" s="610">
        <v>400</v>
      </c>
      <c r="L39">
        <f>F39*0.0256</f>
        <v>0</v>
      </c>
    </row>
    <row r="40" spans="1:12">
      <c r="A40" s="609" t="s">
        <v>1824</v>
      </c>
      <c r="B40" s="609" t="s">
        <v>1824</v>
      </c>
      <c r="C40" s="609" t="s">
        <v>1825</v>
      </c>
      <c r="D40" s="610">
        <v>500</v>
      </c>
    </row>
    <row r="41" spans="1:12">
      <c r="A41" s="609" t="s">
        <v>1826</v>
      </c>
      <c r="B41" s="609" t="s">
        <v>1826</v>
      </c>
      <c r="C41" s="609" t="s">
        <v>1827</v>
      </c>
      <c r="D41" s="610">
        <v>2244</v>
      </c>
    </row>
    <row r="42" spans="1:12">
      <c r="A42" s="609" t="s">
        <v>1828</v>
      </c>
      <c r="B42" s="609" t="s">
        <v>1828</v>
      </c>
      <c r="C42" s="609" t="s">
        <v>1829</v>
      </c>
      <c r="D42" s="610">
        <v>1000</v>
      </c>
    </row>
    <row r="43" spans="1:12">
      <c r="A43" s="609" t="s">
        <v>1830</v>
      </c>
      <c r="B43" s="609" t="s">
        <v>1830</v>
      </c>
      <c r="C43" s="609" t="s">
        <v>1831</v>
      </c>
      <c r="D43" s="610">
        <v>3395</v>
      </c>
    </row>
    <row r="44" spans="1:12" ht="14.25">
      <c r="A44" s="609" t="s">
        <v>1832</v>
      </c>
      <c r="B44" s="609" t="s">
        <v>1832</v>
      </c>
      <c r="C44" s="609" t="s">
        <v>1833</v>
      </c>
      <c r="D44" s="610">
        <v>400</v>
      </c>
    </row>
    <row r="45" spans="1:12">
      <c r="A45" s="609" t="s">
        <v>1834</v>
      </c>
      <c r="B45" s="609" t="s">
        <v>1834</v>
      </c>
      <c r="C45" s="609" t="s">
        <v>1835</v>
      </c>
      <c r="D45" s="610">
        <v>400</v>
      </c>
    </row>
    <row r="46" spans="1:12">
      <c r="A46" s="609" t="s">
        <v>1836</v>
      </c>
      <c r="B46" s="609" t="s">
        <v>1836</v>
      </c>
      <c r="C46" s="609" t="s">
        <v>1837</v>
      </c>
      <c r="D46" s="610">
        <v>1000</v>
      </c>
    </row>
    <row r="47" spans="1:12" ht="14.25">
      <c r="A47" s="609" t="s">
        <v>1838</v>
      </c>
      <c r="B47" s="609" t="s">
        <v>1839</v>
      </c>
      <c r="C47" s="609" t="s">
        <v>1840</v>
      </c>
      <c r="D47" s="610">
        <v>960</v>
      </c>
    </row>
    <row r="48" spans="1:12">
      <c r="A48" s="609" t="s">
        <v>1841</v>
      </c>
      <c r="B48" s="609" t="s">
        <v>1841</v>
      </c>
      <c r="C48" s="609" t="s">
        <v>1842</v>
      </c>
      <c r="D48" s="610">
        <v>1795</v>
      </c>
    </row>
    <row r="49" spans="1:4">
      <c r="A49" s="609" t="s">
        <v>1843</v>
      </c>
      <c r="B49" s="609" t="s">
        <v>1843</v>
      </c>
      <c r="C49" s="609" t="s">
        <v>1844</v>
      </c>
      <c r="D49" s="610">
        <v>250</v>
      </c>
    </row>
    <row r="50" spans="1:4">
      <c r="A50" s="609" t="s">
        <v>1845</v>
      </c>
      <c r="B50" s="609" t="s">
        <v>1845</v>
      </c>
      <c r="C50" s="609" t="s">
        <v>1846</v>
      </c>
      <c r="D50" s="610">
        <v>625</v>
      </c>
    </row>
    <row r="51" spans="1:4">
      <c r="A51" s="609" t="s">
        <v>1847</v>
      </c>
      <c r="B51" s="609" t="s">
        <v>1847</v>
      </c>
      <c r="C51" s="609" t="s">
        <v>1848</v>
      </c>
      <c r="D51" s="610">
        <v>1195</v>
      </c>
    </row>
    <row r="52" spans="1:4">
      <c r="A52" s="609" t="s">
        <v>1849</v>
      </c>
      <c r="B52" s="609" t="s">
        <v>1849</v>
      </c>
      <c r="C52" s="609" t="s">
        <v>1850</v>
      </c>
      <c r="D52" s="610">
        <v>2195</v>
      </c>
    </row>
    <row r="53" spans="1:4">
      <c r="A53" s="609" t="s">
        <v>1851</v>
      </c>
      <c r="B53" s="609" t="s">
        <v>1851</v>
      </c>
      <c r="C53" s="609" t="s">
        <v>1852</v>
      </c>
      <c r="D53" s="610">
        <v>4495</v>
      </c>
    </row>
    <row r="54" spans="1:4">
      <c r="A54" s="609" t="s">
        <v>1853</v>
      </c>
      <c r="B54" s="609" t="s">
        <v>1853</v>
      </c>
      <c r="C54" s="609" t="s">
        <v>1854</v>
      </c>
      <c r="D54" s="610">
        <v>7495</v>
      </c>
    </row>
    <row r="55" spans="1:4">
      <c r="A55" s="609" t="s">
        <v>1855</v>
      </c>
      <c r="B55" s="609" t="s">
        <v>1855</v>
      </c>
      <c r="C55" s="609" t="s">
        <v>1856</v>
      </c>
      <c r="D55" s="610">
        <v>7995</v>
      </c>
    </row>
    <row r="56" spans="1:4">
      <c r="A56" s="609" t="s">
        <v>1857</v>
      </c>
      <c r="B56" s="609" t="s">
        <v>1857</v>
      </c>
      <c r="C56" s="609" t="s">
        <v>1858</v>
      </c>
      <c r="D56" s="610">
        <v>100</v>
      </c>
    </row>
    <row r="57" spans="1:4">
      <c r="A57" s="609" t="s">
        <v>1859</v>
      </c>
      <c r="B57" s="609" t="s">
        <v>1859</v>
      </c>
      <c r="C57" s="609" t="s">
        <v>1860</v>
      </c>
      <c r="D57" s="610">
        <v>600</v>
      </c>
    </row>
    <row r="58" spans="1:4">
      <c r="A58" s="609" t="s">
        <v>1861</v>
      </c>
      <c r="B58" s="609" t="s">
        <v>1861</v>
      </c>
      <c r="C58" s="609" t="s">
        <v>1862</v>
      </c>
      <c r="D58" s="610">
        <v>600</v>
      </c>
    </row>
    <row r="59" spans="1:4">
      <c r="A59" s="609" t="s">
        <v>1863</v>
      </c>
      <c r="B59" s="609" t="s">
        <v>1863</v>
      </c>
      <c r="C59" s="609" t="s">
        <v>1864</v>
      </c>
      <c r="D59" s="610">
        <v>5400</v>
      </c>
    </row>
    <row r="60" spans="1:4">
      <c r="A60" s="609" t="s">
        <v>1865</v>
      </c>
      <c r="B60" s="609" t="s">
        <v>1865</v>
      </c>
      <c r="C60" s="609" t="s">
        <v>1866</v>
      </c>
      <c r="D60" s="610">
        <v>5400</v>
      </c>
    </row>
    <row r="61" spans="1:4">
      <c r="A61" s="609" t="s">
        <v>1867</v>
      </c>
      <c r="B61" s="609" t="s">
        <v>1867</v>
      </c>
      <c r="C61" s="609" t="s">
        <v>1868</v>
      </c>
      <c r="D61" s="610">
        <v>600</v>
      </c>
    </row>
    <row r="62" spans="1:4">
      <c r="A62" s="609" t="s">
        <v>1869</v>
      </c>
      <c r="B62" s="609" t="s">
        <v>1869</v>
      </c>
      <c r="C62" s="609" t="s">
        <v>1870</v>
      </c>
      <c r="D62" s="610">
        <v>600</v>
      </c>
    </row>
    <row r="63" spans="1:4" ht="14.25">
      <c r="A63" s="609" t="s">
        <v>1871</v>
      </c>
      <c r="B63" s="609" t="s">
        <v>1872</v>
      </c>
      <c r="C63" s="609" t="s">
        <v>1873</v>
      </c>
      <c r="D63" s="610">
        <v>500</v>
      </c>
    </row>
    <row r="64" spans="1:4">
      <c r="A64" s="609" t="s">
        <v>1874</v>
      </c>
      <c r="B64" s="609" t="s">
        <v>1875</v>
      </c>
      <c r="C64" s="609" t="s">
        <v>1876</v>
      </c>
      <c r="D64" s="610">
        <v>400</v>
      </c>
    </row>
    <row r="65" spans="1:4">
      <c r="A65" s="609" t="s">
        <v>1877</v>
      </c>
      <c r="B65" s="609" t="s">
        <v>1877</v>
      </c>
      <c r="C65" s="609" t="s">
        <v>1878</v>
      </c>
      <c r="D65" s="610">
        <v>1000</v>
      </c>
    </row>
    <row r="66" spans="1:4">
      <c r="A66" s="609" t="s">
        <v>1879</v>
      </c>
      <c r="B66" s="609" t="s">
        <v>1880</v>
      </c>
      <c r="C66" s="609" t="s">
        <v>1881</v>
      </c>
      <c r="D66" s="610">
        <v>800</v>
      </c>
    </row>
    <row r="67" spans="1:4">
      <c r="A67" s="609" t="s">
        <v>1882</v>
      </c>
      <c r="B67" s="609" t="s">
        <v>1883</v>
      </c>
      <c r="C67" s="609" t="s">
        <v>1884</v>
      </c>
      <c r="D67" s="610">
        <v>1285</v>
      </c>
    </row>
    <row r="68" spans="1:4">
      <c r="A68" s="609" t="s">
        <v>1885</v>
      </c>
      <c r="B68" s="609" t="s">
        <v>1886</v>
      </c>
      <c r="C68" s="609" t="s">
        <v>1887</v>
      </c>
      <c r="D68" s="610">
        <v>1680</v>
      </c>
    </row>
    <row r="69" spans="1:4">
      <c r="A69" s="609" t="s">
        <v>1888</v>
      </c>
      <c r="B69" s="609" t="s">
        <v>1889</v>
      </c>
      <c r="C69" s="609" t="s">
        <v>1890</v>
      </c>
      <c r="D69" s="610">
        <v>4182</v>
      </c>
    </row>
    <row r="70" spans="1:4">
      <c r="A70" s="609" t="s">
        <v>1891</v>
      </c>
      <c r="B70" s="609" t="s">
        <v>1892</v>
      </c>
      <c r="C70" s="609" t="s">
        <v>1893</v>
      </c>
      <c r="D70" s="610">
        <v>7958</v>
      </c>
    </row>
    <row r="71" spans="1:4">
      <c r="A71" s="609" t="s">
        <v>1894</v>
      </c>
      <c r="B71" s="609" t="s">
        <v>1895</v>
      </c>
      <c r="C71" s="609" t="s">
        <v>1896</v>
      </c>
      <c r="D71" s="610">
        <v>14968</v>
      </c>
    </row>
    <row r="72" spans="1:4">
      <c r="A72" s="609" t="s">
        <v>1897</v>
      </c>
      <c r="B72" s="609" t="s">
        <v>1898</v>
      </c>
      <c r="C72" s="609" t="s">
        <v>1899</v>
      </c>
      <c r="D72" s="610">
        <v>70040</v>
      </c>
    </row>
    <row r="73" spans="1:4">
      <c r="A73" s="609" t="s">
        <v>1900</v>
      </c>
      <c r="B73" s="609" t="s">
        <v>1901</v>
      </c>
      <c r="C73" s="609" t="s">
        <v>1902</v>
      </c>
      <c r="D73" s="610">
        <v>335</v>
      </c>
    </row>
    <row r="74" spans="1:4">
      <c r="A74" s="609" t="s">
        <v>1903</v>
      </c>
      <c r="B74" s="609" t="s">
        <v>1903</v>
      </c>
      <c r="C74" s="609" t="s">
        <v>1904</v>
      </c>
      <c r="D74" s="610">
        <v>200</v>
      </c>
    </row>
    <row r="75" spans="1:4">
      <c r="A75" s="1394" t="s">
        <v>1905</v>
      </c>
      <c r="B75" s="1395"/>
      <c r="C75" s="1395"/>
      <c r="D75" s="1395"/>
    </row>
    <row r="76" spans="1:4">
      <c r="A76" s="609" t="s">
        <v>1906</v>
      </c>
      <c r="B76" s="609" t="s">
        <v>1906</v>
      </c>
      <c r="C76" s="609" t="s">
        <v>1907</v>
      </c>
      <c r="D76" s="610">
        <v>120</v>
      </c>
    </row>
    <row r="77" spans="1:4">
      <c r="A77" s="609" t="s">
        <v>1908</v>
      </c>
      <c r="B77" s="609" t="s">
        <v>1908</v>
      </c>
      <c r="C77" s="609" t="s">
        <v>1909</v>
      </c>
      <c r="D77" s="610">
        <v>100</v>
      </c>
    </row>
    <row r="78" spans="1:4">
      <c r="A78" s="609" t="s">
        <v>1910</v>
      </c>
      <c r="B78" s="609" t="s">
        <v>1910</v>
      </c>
      <c r="C78" s="609" t="s">
        <v>1911</v>
      </c>
      <c r="D78" s="610">
        <v>160</v>
      </c>
    </row>
    <row r="79" spans="1:4">
      <c r="A79" s="609" t="s">
        <v>1912</v>
      </c>
      <c r="B79" s="609" t="s">
        <v>1912</v>
      </c>
      <c r="C79" s="609" t="s">
        <v>1913</v>
      </c>
      <c r="D79" s="610">
        <v>40</v>
      </c>
    </row>
    <row r="80" spans="1:4">
      <c r="A80" s="609" t="s">
        <v>1914</v>
      </c>
      <c r="B80" s="609" t="s">
        <v>1914</v>
      </c>
      <c r="C80" s="609" t="s">
        <v>1915</v>
      </c>
      <c r="D80" s="610">
        <v>60</v>
      </c>
    </row>
    <row r="81" spans="1:4">
      <c r="A81" s="609" t="s">
        <v>1916</v>
      </c>
      <c r="B81" s="609" t="s">
        <v>1916</v>
      </c>
      <c r="C81" s="609" t="s">
        <v>1917</v>
      </c>
      <c r="D81" s="610">
        <v>342</v>
      </c>
    </row>
    <row r="82" spans="1:4">
      <c r="A82" s="609" t="s">
        <v>1918</v>
      </c>
      <c r="B82" s="609" t="s">
        <v>1918</v>
      </c>
      <c r="C82" s="609" t="s">
        <v>1919</v>
      </c>
      <c r="D82" s="610">
        <v>285</v>
      </c>
    </row>
    <row r="83" spans="1:4">
      <c r="A83" s="609" t="s">
        <v>1920</v>
      </c>
      <c r="B83" s="609" t="s">
        <v>1920</v>
      </c>
      <c r="C83" s="609" t="s">
        <v>1921</v>
      </c>
      <c r="D83" s="610">
        <v>456</v>
      </c>
    </row>
    <row r="84" spans="1:4">
      <c r="A84" s="609" t="s">
        <v>1922</v>
      </c>
      <c r="B84" s="609" t="s">
        <v>1922</v>
      </c>
      <c r="C84" s="609" t="s">
        <v>1923</v>
      </c>
      <c r="D84" s="610">
        <v>114</v>
      </c>
    </row>
    <row r="85" spans="1:4">
      <c r="A85" s="609" t="s">
        <v>1924</v>
      </c>
      <c r="B85" s="609" t="s">
        <v>1924</v>
      </c>
      <c r="C85" s="609" t="s">
        <v>1925</v>
      </c>
      <c r="D85" s="610">
        <v>171</v>
      </c>
    </row>
    <row r="86" spans="1:4">
      <c r="A86" s="609" t="s">
        <v>1926</v>
      </c>
      <c r="B86" s="609" t="s">
        <v>1926</v>
      </c>
      <c r="C86" s="609" t="s">
        <v>1927</v>
      </c>
      <c r="D86" s="610">
        <v>540</v>
      </c>
    </row>
    <row r="87" spans="1:4">
      <c r="A87" s="609" t="s">
        <v>1928</v>
      </c>
      <c r="B87" s="609" t="s">
        <v>1928</v>
      </c>
      <c r="C87" s="609" t="s">
        <v>1929</v>
      </c>
      <c r="D87" s="610">
        <v>450</v>
      </c>
    </row>
    <row r="88" spans="1:4">
      <c r="A88" s="609" t="s">
        <v>1930</v>
      </c>
      <c r="B88" s="609" t="s">
        <v>1930</v>
      </c>
      <c r="C88" s="609" t="s">
        <v>1931</v>
      </c>
      <c r="D88" s="610">
        <v>720</v>
      </c>
    </row>
    <row r="89" spans="1:4">
      <c r="A89" s="609" t="s">
        <v>1932</v>
      </c>
      <c r="B89" s="609" t="s">
        <v>1932</v>
      </c>
      <c r="C89" s="609" t="s">
        <v>1933</v>
      </c>
      <c r="D89" s="610">
        <v>180</v>
      </c>
    </row>
    <row r="90" spans="1:4">
      <c r="A90" s="609" t="s">
        <v>1934</v>
      </c>
      <c r="B90" s="609" t="s">
        <v>1934</v>
      </c>
      <c r="C90" s="609" t="s">
        <v>1935</v>
      </c>
      <c r="D90" s="610">
        <v>270</v>
      </c>
    </row>
    <row r="91" spans="1:4">
      <c r="A91" s="609" t="s">
        <v>1936</v>
      </c>
      <c r="B91" s="609" t="s">
        <v>1936</v>
      </c>
      <c r="C91" s="609" t="s">
        <v>1937</v>
      </c>
      <c r="D91" s="610">
        <v>20</v>
      </c>
    </row>
    <row r="92" spans="1:4">
      <c r="A92" s="609" t="s">
        <v>1938</v>
      </c>
      <c r="B92" s="609" t="s">
        <v>1938</v>
      </c>
      <c r="C92" s="609" t="s">
        <v>1939</v>
      </c>
      <c r="D92" s="610">
        <v>80</v>
      </c>
    </row>
    <row r="93" spans="1:4">
      <c r="A93" s="609" t="s">
        <v>1940</v>
      </c>
      <c r="B93" s="609" t="s">
        <v>1940</v>
      </c>
      <c r="C93" s="609" t="s">
        <v>1941</v>
      </c>
      <c r="D93" s="610">
        <v>100</v>
      </c>
    </row>
    <row r="94" spans="1:4">
      <c r="A94" s="609" t="s">
        <v>1942</v>
      </c>
      <c r="B94" s="609" t="s">
        <v>1942</v>
      </c>
      <c r="C94" s="609" t="s">
        <v>1943</v>
      </c>
      <c r="D94" s="610">
        <v>57</v>
      </c>
    </row>
    <row r="95" spans="1:4">
      <c r="A95" s="609" t="s">
        <v>1944</v>
      </c>
      <c r="B95" s="609" t="s">
        <v>1944</v>
      </c>
      <c r="C95" s="609" t="s">
        <v>1945</v>
      </c>
      <c r="D95" s="610">
        <v>228</v>
      </c>
    </row>
    <row r="96" spans="1:4">
      <c r="A96" s="609" t="s">
        <v>1946</v>
      </c>
      <c r="B96" s="609" t="s">
        <v>1946</v>
      </c>
      <c r="C96" s="609" t="s">
        <v>1947</v>
      </c>
      <c r="D96" s="610">
        <v>285</v>
      </c>
    </row>
    <row r="97" spans="1:4">
      <c r="A97" s="609" t="s">
        <v>1948</v>
      </c>
      <c r="B97" s="609" t="s">
        <v>1948</v>
      </c>
      <c r="C97" s="609" t="s">
        <v>1949</v>
      </c>
      <c r="D97" s="610">
        <v>90</v>
      </c>
    </row>
    <row r="98" spans="1:4">
      <c r="A98" s="609" t="s">
        <v>1950</v>
      </c>
      <c r="B98" s="609" t="s">
        <v>1950</v>
      </c>
      <c r="C98" s="609" t="s">
        <v>1951</v>
      </c>
      <c r="D98" s="610">
        <v>360</v>
      </c>
    </row>
    <row r="99" spans="1:4">
      <c r="A99" s="609" t="s">
        <v>1952</v>
      </c>
      <c r="B99" s="609" t="s">
        <v>1952</v>
      </c>
      <c r="C99" s="609" t="s">
        <v>1953</v>
      </c>
      <c r="D99" s="610">
        <v>450</v>
      </c>
    </row>
    <row r="100" spans="1:4">
      <c r="A100" s="609" t="s">
        <v>1954</v>
      </c>
      <c r="B100" s="609" t="s">
        <v>1954</v>
      </c>
      <c r="C100" s="609" t="s">
        <v>1955</v>
      </c>
      <c r="D100" s="610">
        <v>450</v>
      </c>
    </row>
    <row r="101" spans="1:4">
      <c r="A101" s="609" t="s">
        <v>1956</v>
      </c>
      <c r="B101" s="609" t="s">
        <v>1956</v>
      </c>
      <c r="C101" s="609" t="s">
        <v>1957</v>
      </c>
      <c r="D101" s="610">
        <v>1278</v>
      </c>
    </row>
    <row r="102" spans="1:4">
      <c r="A102" s="609" t="s">
        <v>1958</v>
      </c>
      <c r="B102" s="609" t="s">
        <v>1958</v>
      </c>
      <c r="C102" s="609" t="s">
        <v>1959</v>
      </c>
      <c r="D102" s="610">
        <v>2030</v>
      </c>
    </row>
    <row r="103" spans="1:4">
      <c r="A103" s="609" t="s">
        <v>1960</v>
      </c>
      <c r="B103" s="609" t="s">
        <v>1960</v>
      </c>
      <c r="C103" s="609" t="s">
        <v>1961</v>
      </c>
      <c r="D103" s="610">
        <v>200</v>
      </c>
    </row>
    <row r="104" spans="1:4">
      <c r="A104" s="609" t="s">
        <v>1962</v>
      </c>
      <c r="B104" s="609" t="s">
        <v>1962</v>
      </c>
      <c r="C104" s="609" t="s">
        <v>1963</v>
      </c>
      <c r="D104" s="610">
        <v>570</v>
      </c>
    </row>
    <row r="105" spans="1:4">
      <c r="A105" s="609" t="s">
        <v>1964</v>
      </c>
      <c r="B105" s="609" t="s">
        <v>1964</v>
      </c>
      <c r="C105" s="609" t="s">
        <v>1965</v>
      </c>
      <c r="D105" s="610">
        <v>900</v>
      </c>
    </row>
    <row r="106" spans="1:4">
      <c r="A106" s="609" t="s">
        <v>1966</v>
      </c>
      <c r="B106" s="609" t="s">
        <v>1966</v>
      </c>
      <c r="C106" s="609" t="s">
        <v>1967</v>
      </c>
      <c r="D106" s="610">
        <v>679</v>
      </c>
    </row>
    <row r="107" spans="1:4">
      <c r="A107" s="609" t="s">
        <v>1968</v>
      </c>
      <c r="B107" s="609" t="s">
        <v>1968</v>
      </c>
      <c r="C107" s="609" t="s">
        <v>1969</v>
      </c>
      <c r="D107" s="610">
        <v>1935</v>
      </c>
    </row>
    <row r="108" spans="1:4">
      <c r="A108" s="609" t="s">
        <v>1970</v>
      </c>
      <c r="B108" s="609" t="s">
        <v>1970</v>
      </c>
      <c r="C108" s="609" t="s">
        <v>1971</v>
      </c>
      <c r="D108" s="610">
        <v>3056</v>
      </c>
    </row>
    <row r="109" spans="1:4">
      <c r="A109" s="609" t="s">
        <v>1972</v>
      </c>
      <c r="B109" s="609" t="s">
        <v>1972</v>
      </c>
      <c r="C109" s="609" t="s">
        <v>1973</v>
      </c>
      <c r="D109" s="610">
        <v>80</v>
      </c>
    </row>
    <row r="110" spans="1:4">
      <c r="A110" s="609" t="s">
        <v>1974</v>
      </c>
      <c r="B110" s="609" t="s">
        <v>1974</v>
      </c>
      <c r="C110" s="609" t="s">
        <v>1975</v>
      </c>
      <c r="D110" s="610">
        <v>228</v>
      </c>
    </row>
    <row r="111" spans="1:4">
      <c r="A111" s="609" t="s">
        <v>1976</v>
      </c>
      <c r="B111" s="609" t="s">
        <v>1976</v>
      </c>
      <c r="C111" s="609" t="s">
        <v>1977</v>
      </c>
      <c r="D111" s="610">
        <v>360</v>
      </c>
    </row>
    <row r="112" spans="1:4">
      <c r="A112" s="609" t="s">
        <v>1978</v>
      </c>
      <c r="B112" s="609" t="s">
        <v>1978</v>
      </c>
      <c r="C112" s="609" t="s">
        <v>1979</v>
      </c>
      <c r="D112" s="610">
        <v>80</v>
      </c>
    </row>
    <row r="113" spans="1:4">
      <c r="A113" s="609" t="s">
        <v>1980</v>
      </c>
      <c r="B113" s="609" t="s">
        <v>1980</v>
      </c>
      <c r="C113" s="609" t="s">
        <v>1981</v>
      </c>
      <c r="D113" s="610">
        <v>228</v>
      </c>
    </row>
    <row r="114" spans="1:4">
      <c r="A114" s="609" t="s">
        <v>1982</v>
      </c>
      <c r="B114" s="609" t="s">
        <v>1982</v>
      </c>
      <c r="C114" s="609" t="s">
        <v>1983</v>
      </c>
      <c r="D114" s="610">
        <v>360</v>
      </c>
    </row>
    <row r="115" spans="1:4">
      <c r="A115" s="609" t="s">
        <v>1984</v>
      </c>
      <c r="B115" s="609" t="s">
        <v>1984</v>
      </c>
      <c r="C115" s="609" t="s">
        <v>1985</v>
      </c>
      <c r="D115" s="610">
        <v>200</v>
      </c>
    </row>
    <row r="116" spans="1:4">
      <c r="A116" s="609" t="s">
        <v>1986</v>
      </c>
      <c r="B116" s="609" t="s">
        <v>1986</v>
      </c>
      <c r="C116" s="609" t="s">
        <v>1987</v>
      </c>
      <c r="D116" s="610">
        <v>570</v>
      </c>
    </row>
    <row r="117" spans="1:4">
      <c r="A117" s="609" t="s">
        <v>1988</v>
      </c>
      <c r="B117" s="609" t="s">
        <v>1988</v>
      </c>
      <c r="C117" s="609" t="s">
        <v>1989</v>
      </c>
      <c r="D117" s="610">
        <v>900</v>
      </c>
    </row>
    <row r="118" spans="1:4">
      <c r="A118" s="609" t="s">
        <v>1990</v>
      </c>
      <c r="B118" s="609" t="s">
        <v>1990</v>
      </c>
      <c r="C118" s="609" t="s">
        <v>1991</v>
      </c>
      <c r="D118" s="610">
        <v>195</v>
      </c>
    </row>
    <row r="119" spans="1:4">
      <c r="A119" s="609" t="s">
        <v>1992</v>
      </c>
      <c r="B119" s="609" t="s">
        <v>1992</v>
      </c>
      <c r="C119" s="609" t="s">
        <v>1993</v>
      </c>
      <c r="D119" s="610">
        <v>550</v>
      </c>
    </row>
    <row r="120" spans="1:4">
      <c r="A120" s="609" t="s">
        <v>1994</v>
      </c>
      <c r="B120" s="609" t="s">
        <v>1994</v>
      </c>
      <c r="C120" s="609" t="s">
        <v>1995</v>
      </c>
      <c r="D120" s="610">
        <v>865</v>
      </c>
    </row>
    <row r="121" spans="1:4">
      <c r="A121" s="609" t="s">
        <v>1996</v>
      </c>
      <c r="B121" s="609" t="s">
        <v>1996</v>
      </c>
      <c r="C121" s="609" t="s">
        <v>1997</v>
      </c>
      <c r="D121" s="610">
        <v>359</v>
      </c>
    </row>
    <row r="122" spans="1:4">
      <c r="A122" s="609" t="s">
        <v>1998</v>
      </c>
      <c r="B122" s="609" t="s">
        <v>1998</v>
      </c>
      <c r="C122" s="609" t="s">
        <v>1999</v>
      </c>
      <c r="D122" s="610">
        <v>1023</v>
      </c>
    </row>
    <row r="123" spans="1:4">
      <c r="A123" s="609" t="s">
        <v>2000</v>
      </c>
      <c r="B123" s="609" t="s">
        <v>2000</v>
      </c>
      <c r="C123" s="609" t="s">
        <v>2001</v>
      </c>
      <c r="D123" s="610">
        <v>1615</v>
      </c>
    </row>
    <row r="124" spans="1:4">
      <c r="A124" s="609" t="s">
        <v>2002</v>
      </c>
      <c r="B124" s="609" t="s">
        <v>2002</v>
      </c>
      <c r="C124" s="609" t="s">
        <v>2003</v>
      </c>
      <c r="D124" s="610">
        <v>50</v>
      </c>
    </row>
    <row r="125" spans="1:4">
      <c r="A125" s="609" t="s">
        <v>2004</v>
      </c>
      <c r="B125" s="609" t="s">
        <v>2004</v>
      </c>
      <c r="C125" s="609" t="s">
        <v>2005</v>
      </c>
      <c r="D125" s="610">
        <v>142.5</v>
      </c>
    </row>
    <row r="126" spans="1:4">
      <c r="A126" s="609" t="s">
        <v>2006</v>
      </c>
      <c r="B126" s="609" t="s">
        <v>2006</v>
      </c>
      <c r="C126" s="609" t="s">
        <v>2007</v>
      </c>
      <c r="D126" s="610">
        <v>225</v>
      </c>
    </row>
    <row r="127" spans="1:4">
      <c r="A127" s="609" t="s">
        <v>2008</v>
      </c>
      <c r="B127" s="609" t="s">
        <v>2008</v>
      </c>
      <c r="C127" s="609" t="s">
        <v>2009</v>
      </c>
      <c r="D127" s="610">
        <v>119</v>
      </c>
    </row>
    <row r="128" spans="1:4">
      <c r="A128" s="609" t="s">
        <v>2010</v>
      </c>
      <c r="B128" s="609" t="s">
        <v>2010</v>
      </c>
      <c r="C128" s="609" t="s">
        <v>2011</v>
      </c>
      <c r="D128" s="610">
        <v>356.25</v>
      </c>
    </row>
    <row r="129" spans="1:4">
      <c r="A129" s="609" t="s">
        <v>2012</v>
      </c>
      <c r="B129" s="609" t="s">
        <v>2012</v>
      </c>
      <c r="C129" s="609" t="s">
        <v>2013</v>
      </c>
      <c r="D129" s="610">
        <v>562.5</v>
      </c>
    </row>
    <row r="130" spans="1:4">
      <c r="A130" s="609" t="s">
        <v>2014</v>
      </c>
      <c r="B130" s="609" t="s">
        <v>2014</v>
      </c>
      <c r="C130" s="609" t="s">
        <v>2015</v>
      </c>
      <c r="D130" s="610">
        <v>239</v>
      </c>
    </row>
    <row r="131" spans="1:4">
      <c r="A131" s="609" t="s">
        <v>2016</v>
      </c>
      <c r="B131" s="609" t="s">
        <v>2016</v>
      </c>
      <c r="C131" s="609" t="s">
        <v>2017</v>
      </c>
      <c r="D131" s="610">
        <v>681</v>
      </c>
    </row>
    <row r="132" spans="1:4">
      <c r="A132" s="609" t="s">
        <v>2018</v>
      </c>
      <c r="B132" s="609" t="s">
        <v>2018</v>
      </c>
      <c r="C132" s="609" t="s">
        <v>2019</v>
      </c>
      <c r="D132" s="610">
        <v>1075.5</v>
      </c>
    </row>
    <row r="133" spans="1:4">
      <c r="A133" s="609" t="s">
        <v>2020</v>
      </c>
      <c r="B133" s="609" t="s">
        <v>2020</v>
      </c>
      <c r="C133" s="609" t="s">
        <v>2021</v>
      </c>
      <c r="D133" s="610">
        <v>439</v>
      </c>
    </row>
    <row r="134" spans="1:4">
      <c r="A134" s="609" t="s">
        <v>2022</v>
      </c>
      <c r="B134" s="609" t="s">
        <v>2022</v>
      </c>
      <c r="C134" s="609" t="s">
        <v>2023</v>
      </c>
      <c r="D134" s="610">
        <v>1251</v>
      </c>
    </row>
    <row r="135" spans="1:4">
      <c r="A135" s="609" t="s">
        <v>2024</v>
      </c>
      <c r="B135" s="609" t="s">
        <v>2024</v>
      </c>
      <c r="C135" s="609" t="s">
        <v>2025</v>
      </c>
      <c r="D135" s="610">
        <v>1975.5</v>
      </c>
    </row>
    <row r="136" spans="1:4">
      <c r="A136" s="609" t="s">
        <v>2026</v>
      </c>
      <c r="B136" s="609" t="s">
        <v>2026</v>
      </c>
      <c r="C136" s="609" t="s">
        <v>2027</v>
      </c>
      <c r="D136" s="610">
        <v>899</v>
      </c>
    </row>
    <row r="137" spans="1:4">
      <c r="A137" s="609" t="s">
        <v>2028</v>
      </c>
      <c r="B137" s="609" t="s">
        <v>2028</v>
      </c>
      <c r="C137" s="609" t="s">
        <v>2029</v>
      </c>
      <c r="D137" s="610">
        <v>2562</v>
      </c>
    </row>
    <row r="138" spans="1:4">
      <c r="A138" s="609" t="s">
        <v>2030</v>
      </c>
      <c r="B138" s="609" t="s">
        <v>2030</v>
      </c>
      <c r="C138" s="609" t="s">
        <v>2031</v>
      </c>
      <c r="D138" s="610">
        <v>4045.5</v>
      </c>
    </row>
    <row r="139" spans="1:4">
      <c r="A139" s="609" t="s">
        <v>2032</v>
      </c>
      <c r="B139" s="609" t="s">
        <v>2032</v>
      </c>
      <c r="C139" s="609" t="s">
        <v>2033</v>
      </c>
      <c r="D139" s="610">
        <v>1499</v>
      </c>
    </row>
    <row r="140" spans="1:4">
      <c r="A140" s="609" t="s">
        <v>2034</v>
      </c>
      <c r="B140" s="609" t="s">
        <v>2034</v>
      </c>
      <c r="C140" s="609" t="s">
        <v>2035</v>
      </c>
      <c r="D140" s="610">
        <v>4272</v>
      </c>
    </row>
    <row r="141" spans="1:4">
      <c r="A141" s="609" t="s">
        <v>2036</v>
      </c>
      <c r="B141" s="609" t="s">
        <v>2036</v>
      </c>
      <c r="C141" s="609" t="s">
        <v>2037</v>
      </c>
      <c r="D141" s="610">
        <v>6745</v>
      </c>
    </row>
    <row r="142" spans="1:4">
      <c r="A142" s="609" t="s">
        <v>2038</v>
      </c>
      <c r="B142" s="609" t="s">
        <v>2038</v>
      </c>
      <c r="C142" s="609" t="s">
        <v>2039</v>
      </c>
      <c r="D142" s="610">
        <v>1599</v>
      </c>
    </row>
    <row r="143" spans="1:4">
      <c r="A143" s="609" t="s">
        <v>2040</v>
      </c>
      <c r="B143" s="609" t="s">
        <v>2040</v>
      </c>
      <c r="C143" s="609" t="s">
        <v>2041</v>
      </c>
      <c r="D143" s="610">
        <v>4557</v>
      </c>
    </row>
    <row r="144" spans="1:4">
      <c r="A144" s="609" t="s">
        <v>2042</v>
      </c>
      <c r="B144" s="609" t="s">
        <v>2042</v>
      </c>
      <c r="C144" s="609" t="s">
        <v>2043</v>
      </c>
      <c r="D144" s="610">
        <v>7195</v>
      </c>
    </row>
    <row r="145" spans="1:4">
      <c r="A145" s="609" t="s">
        <v>2044</v>
      </c>
      <c r="B145" s="609" t="s">
        <v>2044</v>
      </c>
      <c r="C145" s="609" t="s">
        <v>2045</v>
      </c>
      <c r="D145" s="610">
        <v>20</v>
      </c>
    </row>
    <row r="146" spans="1:4">
      <c r="A146" s="609" t="s">
        <v>2046</v>
      </c>
      <c r="B146" s="609" t="s">
        <v>2046</v>
      </c>
      <c r="C146" s="609" t="s">
        <v>2047</v>
      </c>
      <c r="D146" s="610">
        <v>57</v>
      </c>
    </row>
    <row r="147" spans="1:4">
      <c r="A147" s="609" t="s">
        <v>2048</v>
      </c>
      <c r="B147" s="609" t="s">
        <v>2048</v>
      </c>
      <c r="C147" s="609" t="s">
        <v>2049</v>
      </c>
      <c r="D147" s="610">
        <v>90</v>
      </c>
    </row>
    <row r="148" spans="1:4">
      <c r="A148" s="609" t="s">
        <v>2050</v>
      </c>
      <c r="B148" s="609" t="s">
        <v>2050</v>
      </c>
      <c r="C148" s="609" t="s">
        <v>2051</v>
      </c>
      <c r="D148" s="610">
        <v>120</v>
      </c>
    </row>
    <row r="149" spans="1:4">
      <c r="A149" s="609" t="s">
        <v>2052</v>
      </c>
      <c r="B149" s="609" t="s">
        <v>2052</v>
      </c>
      <c r="C149" s="609" t="s">
        <v>2053</v>
      </c>
      <c r="D149" s="610">
        <v>342</v>
      </c>
    </row>
    <row r="150" spans="1:4">
      <c r="A150" s="609" t="s">
        <v>2054</v>
      </c>
      <c r="B150" s="609" t="s">
        <v>2054</v>
      </c>
      <c r="C150" s="609" t="s">
        <v>2055</v>
      </c>
      <c r="D150" s="610">
        <v>570</v>
      </c>
    </row>
    <row r="151" spans="1:4">
      <c r="A151" s="609" t="s">
        <v>2056</v>
      </c>
      <c r="B151" s="609" t="s">
        <v>2056</v>
      </c>
      <c r="C151" s="609" t="s">
        <v>2057</v>
      </c>
      <c r="D151" s="610">
        <v>120</v>
      </c>
    </row>
    <row r="152" spans="1:4">
      <c r="A152" s="609" t="s">
        <v>2058</v>
      </c>
      <c r="B152" s="609" t="s">
        <v>2058</v>
      </c>
      <c r="C152" s="609" t="s">
        <v>2059</v>
      </c>
      <c r="D152" s="610">
        <v>342</v>
      </c>
    </row>
    <row r="153" spans="1:4">
      <c r="A153" s="609" t="s">
        <v>2060</v>
      </c>
      <c r="B153" s="609" t="s">
        <v>2060</v>
      </c>
      <c r="C153" s="609" t="s">
        <v>2061</v>
      </c>
      <c r="D153" s="610">
        <v>570</v>
      </c>
    </row>
    <row r="154" spans="1:4">
      <c r="A154" s="609" t="s">
        <v>2062</v>
      </c>
      <c r="B154" s="609" t="s">
        <v>2062</v>
      </c>
      <c r="C154" s="609" t="s">
        <v>2063</v>
      </c>
      <c r="D154" s="610">
        <v>1080</v>
      </c>
    </row>
    <row r="155" spans="1:4">
      <c r="A155" s="609" t="s">
        <v>2064</v>
      </c>
      <c r="B155" s="609" t="s">
        <v>2064</v>
      </c>
      <c r="C155" s="609" t="s">
        <v>2065</v>
      </c>
      <c r="D155" s="610">
        <v>3078</v>
      </c>
    </row>
    <row r="156" spans="1:4">
      <c r="A156" s="609" t="s">
        <v>2066</v>
      </c>
      <c r="B156" s="609" t="s">
        <v>2066</v>
      </c>
      <c r="C156" s="609" t="s">
        <v>2067</v>
      </c>
      <c r="D156" s="610">
        <v>5130</v>
      </c>
    </row>
    <row r="157" spans="1:4">
      <c r="A157" s="609" t="s">
        <v>2068</v>
      </c>
      <c r="B157" s="609" t="s">
        <v>2068</v>
      </c>
      <c r="C157" s="609" t="s">
        <v>2069</v>
      </c>
      <c r="D157" s="610">
        <v>1080</v>
      </c>
    </row>
    <row r="158" spans="1:4">
      <c r="A158" s="609" t="s">
        <v>2070</v>
      </c>
      <c r="B158" s="609" t="s">
        <v>2070</v>
      </c>
      <c r="C158" s="609" t="s">
        <v>2071</v>
      </c>
      <c r="D158" s="610">
        <v>3078</v>
      </c>
    </row>
    <row r="159" spans="1:4">
      <c r="A159" s="609" t="s">
        <v>2072</v>
      </c>
      <c r="B159" s="609" t="s">
        <v>2072</v>
      </c>
      <c r="C159" s="609" t="s">
        <v>2073</v>
      </c>
      <c r="D159" s="610">
        <v>5130</v>
      </c>
    </row>
    <row r="160" spans="1:4">
      <c r="A160" s="609" t="s">
        <v>2074</v>
      </c>
      <c r="B160" s="609" t="s">
        <v>2074</v>
      </c>
      <c r="C160" s="609" t="s">
        <v>2075</v>
      </c>
      <c r="D160" s="610">
        <v>120</v>
      </c>
    </row>
    <row r="161" spans="1:4">
      <c r="A161" s="609" t="s">
        <v>2076</v>
      </c>
      <c r="B161" s="609" t="s">
        <v>2076</v>
      </c>
      <c r="C161" s="609" t="s">
        <v>2077</v>
      </c>
      <c r="D161" s="610">
        <v>342</v>
      </c>
    </row>
    <row r="162" spans="1:4">
      <c r="A162" s="609" t="s">
        <v>2078</v>
      </c>
      <c r="B162" s="609" t="s">
        <v>2078</v>
      </c>
      <c r="C162" s="609" t="s">
        <v>2079</v>
      </c>
      <c r="D162" s="610">
        <v>540</v>
      </c>
    </row>
    <row r="163" spans="1:4">
      <c r="A163" s="609" t="s">
        <v>2080</v>
      </c>
      <c r="B163" s="609" t="s">
        <v>2080</v>
      </c>
      <c r="C163" s="609" t="s">
        <v>2081</v>
      </c>
      <c r="D163" s="610">
        <v>120</v>
      </c>
    </row>
    <row r="164" spans="1:4">
      <c r="A164" s="609" t="s">
        <v>2082</v>
      </c>
      <c r="B164" s="609" t="s">
        <v>2082</v>
      </c>
      <c r="C164" s="609" t="s">
        <v>2083</v>
      </c>
      <c r="D164" s="610">
        <v>342</v>
      </c>
    </row>
    <row r="165" spans="1:4">
      <c r="A165" s="609" t="s">
        <v>2084</v>
      </c>
      <c r="B165" s="609" t="s">
        <v>2084</v>
      </c>
      <c r="C165" s="609" t="s">
        <v>2085</v>
      </c>
      <c r="D165" s="610">
        <v>540</v>
      </c>
    </row>
    <row r="166" spans="1:4">
      <c r="A166" s="609" t="s">
        <v>2086</v>
      </c>
      <c r="B166" s="609" t="s">
        <v>2086</v>
      </c>
      <c r="C166" s="609" t="s">
        <v>2087</v>
      </c>
      <c r="D166" s="610">
        <v>100</v>
      </c>
    </row>
    <row r="167" spans="1:4">
      <c r="A167" s="609" t="s">
        <v>2088</v>
      </c>
      <c r="B167" s="609" t="s">
        <v>2088</v>
      </c>
      <c r="C167" s="609" t="s">
        <v>2089</v>
      </c>
      <c r="D167" s="610">
        <v>285</v>
      </c>
    </row>
    <row r="168" spans="1:4">
      <c r="A168" s="609" t="s">
        <v>2090</v>
      </c>
      <c r="B168" s="609" t="s">
        <v>2090</v>
      </c>
      <c r="C168" s="609" t="s">
        <v>2091</v>
      </c>
      <c r="D168" s="610">
        <v>450</v>
      </c>
    </row>
    <row r="169" spans="1:4">
      <c r="A169" s="609" t="s">
        <v>2092</v>
      </c>
      <c r="B169" s="609" t="s">
        <v>2093</v>
      </c>
      <c r="C169" s="609" t="s">
        <v>2094</v>
      </c>
      <c r="D169" s="610">
        <v>80</v>
      </c>
    </row>
    <row r="170" spans="1:4">
      <c r="A170" s="609" t="s">
        <v>2095</v>
      </c>
      <c r="B170" s="609" t="s">
        <v>2096</v>
      </c>
      <c r="C170" s="609" t="s">
        <v>2097</v>
      </c>
      <c r="D170" s="610">
        <v>228</v>
      </c>
    </row>
    <row r="171" spans="1:4">
      <c r="A171" s="609" t="s">
        <v>2098</v>
      </c>
      <c r="B171" s="609" t="s">
        <v>2099</v>
      </c>
      <c r="C171" s="609" t="s">
        <v>2100</v>
      </c>
      <c r="D171" s="610">
        <v>360</v>
      </c>
    </row>
    <row r="172" spans="1:4">
      <c r="A172" s="609" t="s">
        <v>2101</v>
      </c>
      <c r="B172" s="609" t="s">
        <v>2102</v>
      </c>
      <c r="C172" s="609" t="s">
        <v>2103</v>
      </c>
      <c r="D172" s="610">
        <v>200</v>
      </c>
    </row>
    <row r="173" spans="1:4">
      <c r="A173" s="609" t="s">
        <v>2104</v>
      </c>
      <c r="B173" s="609" t="s">
        <v>2105</v>
      </c>
      <c r="C173" s="609" t="s">
        <v>2106</v>
      </c>
      <c r="D173" s="610">
        <v>570</v>
      </c>
    </row>
    <row r="174" spans="1:4">
      <c r="A174" s="609" t="s">
        <v>2107</v>
      </c>
      <c r="B174" s="609" t="s">
        <v>2108</v>
      </c>
      <c r="C174" s="609" t="s">
        <v>2109</v>
      </c>
      <c r="D174" s="610">
        <v>900</v>
      </c>
    </row>
    <row r="175" spans="1:4">
      <c r="A175" s="609" t="s">
        <v>2110</v>
      </c>
      <c r="B175" s="609" t="s">
        <v>2111</v>
      </c>
      <c r="C175" s="609" t="s">
        <v>2112</v>
      </c>
      <c r="D175" s="610">
        <v>160</v>
      </c>
    </row>
    <row r="176" spans="1:4">
      <c r="A176" s="609" t="s">
        <v>2113</v>
      </c>
      <c r="B176" s="609" t="s">
        <v>2114</v>
      </c>
      <c r="C176" s="609" t="s">
        <v>2115</v>
      </c>
      <c r="D176" s="610">
        <v>456</v>
      </c>
    </row>
    <row r="177" spans="1:4">
      <c r="A177" s="609" t="s">
        <v>2116</v>
      </c>
      <c r="B177" s="609" t="s">
        <v>2117</v>
      </c>
      <c r="C177" s="609" t="s">
        <v>2118</v>
      </c>
      <c r="D177" s="610">
        <v>720</v>
      </c>
    </row>
    <row r="178" spans="1:4">
      <c r="A178" s="609" t="s">
        <v>2119</v>
      </c>
      <c r="B178" s="609" t="s">
        <v>2120</v>
      </c>
      <c r="C178" s="609" t="s">
        <v>2121</v>
      </c>
      <c r="D178" s="610">
        <v>193</v>
      </c>
    </row>
    <row r="179" spans="1:4">
      <c r="A179" s="609" t="s">
        <v>2122</v>
      </c>
      <c r="B179" s="609" t="s">
        <v>2123</v>
      </c>
      <c r="C179" s="609" t="s">
        <v>2124</v>
      </c>
      <c r="D179" s="610">
        <v>550.04999999999995</v>
      </c>
    </row>
    <row r="180" spans="1:4">
      <c r="A180" s="609" t="s">
        <v>2125</v>
      </c>
      <c r="B180" s="609" t="s">
        <v>2126</v>
      </c>
      <c r="C180" s="609" t="s">
        <v>2127</v>
      </c>
      <c r="D180" s="610">
        <v>868.5</v>
      </c>
    </row>
    <row r="181" spans="1:4">
      <c r="A181" s="609" t="s">
        <v>2128</v>
      </c>
      <c r="B181" s="609" t="s">
        <v>2129</v>
      </c>
      <c r="C181" s="609" t="s">
        <v>2130</v>
      </c>
      <c r="D181" s="610">
        <v>336</v>
      </c>
    </row>
    <row r="182" spans="1:4">
      <c r="A182" s="609" t="s">
        <v>2131</v>
      </c>
      <c r="B182" s="609" t="s">
        <v>2132</v>
      </c>
      <c r="C182" s="609" t="s">
        <v>2133</v>
      </c>
      <c r="D182" s="610">
        <v>957.6</v>
      </c>
    </row>
    <row r="183" spans="1:4">
      <c r="A183" s="609" t="s">
        <v>2134</v>
      </c>
      <c r="B183" s="609" t="s">
        <v>2135</v>
      </c>
      <c r="C183" s="609" t="s">
        <v>2136</v>
      </c>
      <c r="D183" s="610">
        <v>1512</v>
      </c>
    </row>
    <row r="184" spans="1:4">
      <c r="A184" s="609" t="s">
        <v>2137</v>
      </c>
      <c r="B184" s="609" t="s">
        <v>2138</v>
      </c>
      <c r="C184" s="609" t="s">
        <v>2139</v>
      </c>
      <c r="D184" s="610">
        <v>836.4</v>
      </c>
    </row>
    <row r="185" spans="1:4">
      <c r="A185" s="609" t="s">
        <v>2140</v>
      </c>
      <c r="B185" s="609" t="s">
        <v>2141</v>
      </c>
      <c r="C185" s="609" t="s">
        <v>2142</v>
      </c>
      <c r="D185" s="610">
        <v>2383.7399999999998</v>
      </c>
    </row>
    <row r="186" spans="1:4">
      <c r="A186" s="609" t="s">
        <v>2143</v>
      </c>
      <c r="B186" s="609" t="s">
        <v>2144</v>
      </c>
      <c r="C186" s="609" t="s">
        <v>2145</v>
      </c>
      <c r="D186" s="610">
        <v>3763.8</v>
      </c>
    </row>
    <row r="187" spans="1:4">
      <c r="A187" s="609" t="s">
        <v>2146</v>
      </c>
      <c r="B187" s="609" t="s">
        <v>2147</v>
      </c>
      <c r="C187" s="609" t="s">
        <v>2148</v>
      </c>
      <c r="D187" s="610">
        <v>1591.6</v>
      </c>
    </row>
    <row r="188" spans="1:4">
      <c r="A188" s="609" t="s">
        <v>2149</v>
      </c>
      <c r="B188" s="609" t="s">
        <v>2150</v>
      </c>
      <c r="C188" s="609" t="s">
        <v>2151</v>
      </c>
      <c r="D188" s="610">
        <v>4536.0600000000004</v>
      </c>
    </row>
    <row r="189" spans="1:4">
      <c r="A189" s="609" t="s">
        <v>2152</v>
      </c>
      <c r="B189" s="609" t="s">
        <v>2153</v>
      </c>
      <c r="C189" s="609" t="s">
        <v>2154</v>
      </c>
      <c r="D189" s="610">
        <v>7162.2</v>
      </c>
    </row>
    <row r="190" spans="1:4">
      <c r="A190" s="609" t="s">
        <v>2155</v>
      </c>
      <c r="B190" s="609" t="s">
        <v>2156</v>
      </c>
      <c r="C190" s="609" t="s">
        <v>2157</v>
      </c>
      <c r="D190" s="610">
        <v>2993.6</v>
      </c>
    </row>
    <row r="191" spans="1:4">
      <c r="A191" s="609" t="s">
        <v>2158</v>
      </c>
      <c r="B191" s="609" t="s">
        <v>2159</v>
      </c>
      <c r="C191" s="609" t="s">
        <v>2160</v>
      </c>
      <c r="D191" s="610">
        <v>8531.76</v>
      </c>
    </row>
    <row r="192" spans="1:4">
      <c r="A192" s="609" t="s">
        <v>2161</v>
      </c>
      <c r="B192" s="609" t="s">
        <v>2162</v>
      </c>
      <c r="C192" s="609" t="s">
        <v>2163</v>
      </c>
      <c r="D192" s="610">
        <v>13471.2</v>
      </c>
    </row>
    <row r="193" spans="1:4">
      <c r="A193" s="609" t="s">
        <v>2164</v>
      </c>
      <c r="B193" s="609" t="s">
        <v>2165</v>
      </c>
      <c r="C193" s="609" t="s">
        <v>2166</v>
      </c>
      <c r="D193" s="610">
        <v>14008</v>
      </c>
    </row>
    <row r="194" spans="1:4">
      <c r="A194" s="609" t="s">
        <v>2167</v>
      </c>
      <c r="B194" s="609" t="s">
        <v>2168</v>
      </c>
      <c r="C194" s="609" t="s">
        <v>2169</v>
      </c>
      <c r="D194" s="610">
        <v>39922.800000000003</v>
      </c>
    </row>
    <row r="195" spans="1:4">
      <c r="A195" s="609" t="s">
        <v>2170</v>
      </c>
      <c r="B195" s="609" t="s">
        <v>2171</v>
      </c>
      <c r="C195" s="609" t="s">
        <v>2172</v>
      </c>
      <c r="D195" s="610">
        <v>63036</v>
      </c>
    </row>
    <row r="196" spans="1:4">
      <c r="A196" s="609" t="s">
        <v>2173</v>
      </c>
      <c r="B196" s="609" t="s">
        <v>2174</v>
      </c>
      <c r="C196" s="609" t="s">
        <v>2175</v>
      </c>
      <c r="D196" s="610">
        <v>0</v>
      </c>
    </row>
    <row r="197" spans="1:4">
      <c r="A197" s="609" t="s">
        <v>2176</v>
      </c>
      <c r="B197" s="609" t="s">
        <v>2177</v>
      </c>
      <c r="C197" s="609" t="s">
        <v>2178</v>
      </c>
      <c r="D197" s="610">
        <v>0</v>
      </c>
    </row>
    <row r="198" spans="1:4">
      <c r="A198" s="609" t="s">
        <v>2179</v>
      </c>
      <c r="B198" s="609" t="s">
        <v>2180</v>
      </c>
      <c r="C198" s="609" t="s">
        <v>2181</v>
      </c>
      <c r="D198" s="610">
        <v>0</v>
      </c>
    </row>
    <row r="199" spans="1:4">
      <c r="A199" s="609" t="s">
        <v>2182</v>
      </c>
      <c r="B199" s="609" t="s">
        <v>2182</v>
      </c>
      <c r="C199" s="609" t="s">
        <v>2183</v>
      </c>
      <c r="D199" s="610">
        <v>40</v>
      </c>
    </row>
    <row r="200" spans="1:4">
      <c r="A200" s="609" t="s">
        <v>2184</v>
      </c>
      <c r="B200" s="609" t="s">
        <v>2184</v>
      </c>
      <c r="C200" s="609" t="s">
        <v>2185</v>
      </c>
      <c r="D200" s="610">
        <v>114</v>
      </c>
    </row>
    <row r="201" spans="1:4">
      <c r="A201" s="609" t="s">
        <v>2186</v>
      </c>
      <c r="B201" s="609" t="s">
        <v>2186</v>
      </c>
      <c r="C201" s="609" t="s">
        <v>2187</v>
      </c>
      <c r="D201" s="610">
        <v>180</v>
      </c>
    </row>
    <row r="202" spans="1:4">
      <c r="A202" s="1394" t="s">
        <v>464</v>
      </c>
      <c r="B202" s="1395"/>
      <c r="C202" s="1395"/>
      <c r="D202" s="1395"/>
    </row>
    <row r="203" spans="1:4">
      <c r="A203" s="609" t="s">
        <v>2188</v>
      </c>
      <c r="B203" s="609" t="s">
        <v>2188</v>
      </c>
      <c r="C203" s="609" t="s">
        <v>2189</v>
      </c>
      <c r="D203" s="610">
        <v>350</v>
      </c>
    </row>
    <row r="204" spans="1:4">
      <c r="A204" s="609" t="s">
        <v>2190</v>
      </c>
      <c r="B204" s="609" t="s">
        <v>2190</v>
      </c>
      <c r="C204" s="609" t="s">
        <v>2191</v>
      </c>
      <c r="D204" s="610">
        <v>800</v>
      </c>
    </row>
    <row r="205" spans="1:4">
      <c r="A205" t="s">
        <v>1658</v>
      </c>
    </row>
    <row r="206" spans="1:4">
      <c r="A206" s="1396" t="s">
        <v>2192</v>
      </c>
      <c r="B206" s="1396"/>
      <c r="C206" s="1396"/>
      <c r="D206" s="1396"/>
    </row>
    <row r="207" spans="1:4">
      <c r="A207" s="1396" t="s">
        <v>2193</v>
      </c>
      <c r="B207" s="1396"/>
      <c r="C207" s="1396"/>
      <c r="D207" s="1396"/>
    </row>
    <row r="208" spans="1:4">
      <c r="A208" s="1396" t="s">
        <v>2194</v>
      </c>
      <c r="B208" s="1396"/>
      <c r="C208" s="1396"/>
      <c r="D208" s="1396"/>
    </row>
    <row r="209" spans="1:4">
      <c r="A209" s="1396" t="s">
        <v>2195</v>
      </c>
      <c r="B209" s="1396"/>
      <c r="C209" s="1396"/>
      <c r="D209" s="1396"/>
    </row>
    <row r="210" spans="1:4">
      <c r="A210" s="1396" t="s">
        <v>2196</v>
      </c>
      <c r="B210" s="1396"/>
      <c r="C210" s="1396"/>
      <c r="D210" s="1396"/>
    </row>
    <row r="211" spans="1:4">
      <c r="A211" s="1396" t="s">
        <v>2197</v>
      </c>
      <c r="B211" s="1391"/>
      <c r="C211" s="1391"/>
      <c r="D211" s="1391"/>
    </row>
  </sheetData>
  <mergeCells count="13">
    <mergeCell ref="A211:D211"/>
    <mergeCell ref="A202:D202"/>
    <mergeCell ref="A206:D206"/>
    <mergeCell ref="A207:D207"/>
    <mergeCell ref="A208:D208"/>
    <mergeCell ref="A209:D209"/>
    <mergeCell ref="A210:D210"/>
    <mergeCell ref="A75:D75"/>
    <mergeCell ref="A1:D1"/>
    <mergeCell ref="A2:D2"/>
    <mergeCell ref="A4:D4"/>
    <mergeCell ref="A12:D12"/>
    <mergeCell ref="A32:D32"/>
  </mergeCells>
  <hyperlinks>
    <hyperlink ref="A3" r:id="rId1" xr:uid="{00000000-0004-0000-4E00-000000000000}"/>
  </hyperlinks>
  <pageMargins left="0.7" right="0.7" top="0.75" bottom="0.75" header="0.3" footer="0.3"/>
  <pageSetup orientation="portrait"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tabColor rgb="FFFFC000"/>
  </sheetPr>
  <dimension ref="A1:L39"/>
  <sheetViews>
    <sheetView zoomScaleNormal="100" workbookViewId="0">
      <selection activeCell="G60" sqref="G60"/>
    </sheetView>
  </sheetViews>
  <sheetFormatPr defaultRowHeight="12.75"/>
  <cols>
    <col min="1" max="1" width="64.42578125" bestFit="1" customWidth="1"/>
    <col min="2" max="2" width="129.85546875" customWidth="1"/>
    <col min="3" max="3" width="18.140625" customWidth="1"/>
    <col min="4" max="4" width="13.140625" customWidth="1"/>
  </cols>
  <sheetData>
    <row r="1" spans="1:4" ht="30">
      <c r="A1" s="1392" t="s">
        <v>2198</v>
      </c>
      <c r="B1" s="1392"/>
      <c r="C1" s="1392"/>
      <c r="D1" s="1392"/>
    </row>
    <row r="2" spans="1:4" ht="200.1" customHeight="1">
      <c r="A2" s="1393" t="s">
        <v>2199</v>
      </c>
      <c r="B2" s="1393"/>
      <c r="C2" s="1393"/>
      <c r="D2" s="1393"/>
    </row>
    <row r="3" spans="1:4">
      <c r="A3" s="1399" t="s">
        <v>2200</v>
      </c>
      <c r="B3" s="1391"/>
      <c r="C3" s="1391"/>
      <c r="D3" s="1391"/>
    </row>
    <row r="4" spans="1:4">
      <c r="A4" s="1390" t="s">
        <v>2201</v>
      </c>
      <c r="B4" s="1391"/>
      <c r="C4" s="1391"/>
      <c r="D4" s="1391"/>
    </row>
    <row r="5" spans="1:4">
      <c r="A5" s="609" t="s">
        <v>2202</v>
      </c>
      <c r="B5" s="609" t="s">
        <v>2202</v>
      </c>
      <c r="C5" s="609" t="s">
        <v>2203</v>
      </c>
      <c r="D5" s="610">
        <v>200</v>
      </c>
    </row>
    <row r="6" spans="1:4">
      <c r="A6" s="609" t="s">
        <v>2204</v>
      </c>
      <c r="B6" s="609" t="s">
        <v>2205</v>
      </c>
      <c r="C6" s="609" t="s">
        <v>2206</v>
      </c>
      <c r="D6" s="610">
        <v>718</v>
      </c>
    </row>
    <row r="7" spans="1:4">
      <c r="A7" s="609" t="s">
        <v>2207</v>
      </c>
      <c r="B7" s="609" t="s">
        <v>2207</v>
      </c>
      <c r="C7" s="609" t="s">
        <v>2208</v>
      </c>
      <c r="D7" s="610">
        <v>135</v>
      </c>
    </row>
    <row r="8" spans="1:4">
      <c r="A8" s="609" t="s">
        <v>2209</v>
      </c>
      <c r="B8" s="609" t="s">
        <v>2209</v>
      </c>
      <c r="C8" s="609" t="s">
        <v>2210</v>
      </c>
      <c r="D8" s="610">
        <v>135</v>
      </c>
    </row>
    <row r="9" spans="1:4">
      <c r="A9" s="609" t="s">
        <v>2211</v>
      </c>
      <c r="B9" s="609" t="s">
        <v>2211</v>
      </c>
      <c r="C9" s="609" t="s">
        <v>2212</v>
      </c>
      <c r="D9" s="610">
        <v>99</v>
      </c>
    </row>
    <row r="10" spans="1:4">
      <c r="A10" s="609" t="s">
        <v>2213</v>
      </c>
      <c r="B10" s="609" t="s">
        <v>2214</v>
      </c>
      <c r="C10" s="609" t="s">
        <v>2215</v>
      </c>
      <c r="D10" s="610">
        <v>99</v>
      </c>
    </row>
    <row r="11" spans="1:4">
      <c r="A11" s="609" t="s">
        <v>2216</v>
      </c>
      <c r="B11" s="609" t="s">
        <v>2216</v>
      </c>
      <c r="C11" s="609" t="s">
        <v>2217</v>
      </c>
      <c r="D11" s="610">
        <v>135</v>
      </c>
    </row>
    <row r="12" spans="1:4">
      <c r="A12" s="609" t="s">
        <v>2218</v>
      </c>
      <c r="B12" s="609" t="s">
        <v>2218</v>
      </c>
      <c r="C12" s="609" t="s">
        <v>2219</v>
      </c>
      <c r="D12" s="610">
        <v>170</v>
      </c>
    </row>
    <row r="13" spans="1:4">
      <c r="A13" s="609" t="s">
        <v>2220</v>
      </c>
      <c r="B13" s="609" t="s">
        <v>2221</v>
      </c>
      <c r="C13" s="609" t="s">
        <v>2222</v>
      </c>
      <c r="D13" s="610">
        <v>99</v>
      </c>
    </row>
    <row r="14" spans="1:4">
      <c r="A14" s="609" t="s">
        <v>2223</v>
      </c>
      <c r="B14" s="609" t="s">
        <v>2223</v>
      </c>
      <c r="C14" s="609" t="s">
        <v>2224</v>
      </c>
      <c r="D14" s="610">
        <v>150</v>
      </c>
    </row>
    <row r="15" spans="1:4">
      <c r="A15" s="609" t="s">
        <v>2225</v>
      </c>
      <c r="B15" s="609" t="s">
        <v>2226</v>
      </c>
      <c r="C15" s="609" t="s">
        <v>2227</v>
      </c>
      <c r="D15" s="610">
        <v>300</v>
      </c>
    </row>
    <row r="16" spans="1:4">
      <c r="A16" s="609" t="s">
        <v>2228</v>
      </c>
      <c r="B16" s="609" t="s">
        <v>2229</v>
      </c>
      <c r="C16" s="609" t="s">
        <v>2230</v>
      </c>
      <c r="D16" s="610">
        <v>99</v>
      </c>
    </row>
    <row r="17" spans="1:4">
      <c r="A17" s="609" t="s">
        <v>2231</v>
      </c>
      <c r="B17" s="609" t="s">
        <v>2232</v>
      </c>
      <c r="C17" s="609" t="s">
        <v>2233</v>
      </c>
      <c r="D17" s="610">
        <v>99</v>
      </c>
    </row>
    <row r="18" spans="1:4">
      <c r="A18" s="609" t="s">
        <v>2234</v>
      </c>
      <c r="B18" s="609" t="s">
        <v>2234</v>
      </c>
      <c r="C18" s="609" t="s">
        <v>2235</v>
      </c>
      <c r="D18" s="610">
        <v>99</v>
      </c>
    </row>
    <row r="19" spans="1:4">
      <c r="A19" s="609" t="s">
        <v>2236</v>
      </c>
      <c r="B19" s="609" t="s">
        <v>2236</v>
      </c>
      <c r="C19" s="609" t="s">
        <v>2237</v>
      </c>
      <c r="D19" s="610">
        <v>99</v>
      </c>
    </row>
    <row r="20" spans="1:4">
      <c r="A20" s="609" t="s">
        <v>2238</v>
      </c>
      <c r="B20" s="609" t="s">
        <v>2238</v>
      </c>
      <c r="C20" s="609" t="s">
        <v>2239</v>
      </c>
      <c r="D20" s="610">
        <v>10</v>
      </c>
    </row>
    <row r="21" spans="1:4">
      <c r="A21" s="609" t="s">
        <v>2240</v>
      </c>
      <c r="B21" s="609" t="s">
        <v>2241</v>
      </c>
      <c r="C21" s="609" t="s">
        <v>2242</v>
      </c>
      <c r="D21" s="610">
        <v>79</v>
      </c>
    </row>
    <row r="22" spans="1:4">
      <c r="A22" s="609" t="s">
        <v>2243</v>
      </c>
      <c r="B22" s="609" t="s">
        <v>2244</v>
      </c>
      <c r="C22" s="609" t="s">
        <v>2245</v>
      </c>
      <c r="D22" s="610">
        <v>135</v>
      </c>
    </row>
    <row r="23" spans="1:4">
      <c r="A23" s="609" t="s">
        <v>2246</v>
      </c>
      <c r="B23" s="609" t="s">
        <v>2246</v>
      </c>
      <c r="C23" s="609" t="s">
        <v>2247</v>
      </c>
      <c r="D23" s="610">
        <v>135</v>
      </c>
    </row>
    <row r="24" spans="1:4">
      <c r="A24" s="609" t="s">
        <v>2248</v>
      </c>
      <c r="B24" s="609" t="s">
        <v>2248</v>
      </c>
      <c r="C24" s="609" t="s">
        <v>2249</v>
      </c>
      <c r="D24" s="610">
        <v>135</v>
      </c>
    </row>
    <row r="25" spans="1:4">
      <c r="A25" t="s">
        <v>1658</v>
      </c>
    </row>
    <row r="26" spans="1:4">
      <c r="A26" s="1396" t="s">
        <v>2250</v>
      </c>
      <c r="B26" s="1391"/>
      <c r="C26" s="1391"/>
      <c r="D26" s="1391"/>
    </row>
    <row r="39" spans="12:12">
      <c r="L39">
        <f>F39*0.0256</f>
        <v>0</v>
      </c>
    </row>
  </sheetData>
  <mergeCells count="5">
    <mergeCell ref="A1:D1"/>
    <mergeCell ref="A2:D2"/>
    <mergeCell ref="A3:D3"/>
    <mergeCell ref="A4:D4"/>
    <mergeCell ref="A26:D26"/>
  </mergeCells>
  <hyperlinks>
    <hyperlink ref="A3" r:id="rId1" xr:uid="{00000000-0004-0000-4F00-000000000000}"/>
  </hyperlinks>
  <pageMargins left="0.7" right="0.7" top="0.75" bottom="0.75" header="0.3" footer="0.3"/>
  <pageSetup orientation="portrait" r:id="rId2"/>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tabColor rgb="FF00002E"/>
  </sheetPr>
  <dimension ref="A1:L142"/>
  <sheetViews>
    <sheetView zoomScaleNormal="100" workbookViewId="0">
      <selection activeCell="G60" sqref="G60"/>
    </sheetView>
  </sheetViews>
  <sheetFormatPr defaultRowHeight="12.75"/>
  <cols>
    <col min="1" max="2" width="93.85546875" bestFit="1" customWidth="1"/>
    <col min="3" max="3" width="31" bestFit="1" customWidth="1"/>
    <col min="4" max="4" width="16" bestFit="1" customWidth="1"/>
  </cols>
  <sheetData>
    <row r="1" spans="1:4" ht="30">
      <c r="A1" s="1392" t="s">
        <v>2251</v>
      </c>
      <c r="B1" s="1392"/>
      <c r="C1" s="1392"/>
      <c r="D1" s="1392"/>
    </row>
    <row r="2" spans="1:4" ht="174" customHeight="1">
      <c r="A2" s="1393" t="s">
        <v>2252</v>
      </c>
      <c r="B2" s="1393"/>
      <c r="C2" s="1393"/>
      <c r="D2" s="1393"/>
    </row>
    <row r="3" spans="1:4">
      <c r="A3" s="607" t="s">
        <v>2253</v>
      </c>
    </row>
    <row r="4" spans="1:4">
      <c r="A4" s="608" t="s">
        <v>2254</v>
      </c>
      <c r="B4" s="608" t="s">
        <v>171</v>
      </c>
      <c r="C4" s="608" t="s">
        <v>2255</v>
      </c>
      <c r="D4" s="608" t="s">
        <v>2256</v>
      </c>
    </row>
    <row r="5" spans="1:4" ht="14.25">
      <c r="A5" s="609" t="s">
        <v>2257</v>
      </c>
      <c r="B5" s="609" t="s">
        <v>2257</v>
      </c>
      <c r="C5" s="609" t="s">
        <v>2258</v>
      </c>
      <c r="D5" s="610">
        <v>0</v>
      </c>
    </row>
    <row r="6" spans="1:4">
      <c r="A6" t="s">
        <v>1658</v>
      </c>
    </row>
    <row r="7" spans="1:4">
      <c r="A7" s="1390" t="s">
        <v>2259</v>
      </c>
      <c r="B7" s="1391"/>
      <c r="C7" s="1391"/>
      <c r="D7" s="1391"/>
    </row>
    <row r="8" spans="1:4">
      <c r="A8" s="609" t="s">
        <v>2260</v>
      </c>
      <c r="B8" s="609" t="s">
        <v>2260</v>
      </c>
      <c r="C8" s="609" t="s">
        <v>2261</v>
      </c>
      <c r="D8" s="610">
        <v>1600</v>
      </c>
    </row>
    <row r="9" spans="1:4">
      <c r="A9" s="609" t="s">
        <v>244</v>
      </c>
      <c r="B9" s="609" t="s">
        <v>244</v>
      </c>
      <c r="C9" s="609" t="s">
        <v>2262</v>
      </c>
      <c r="D9" s="610">
        <v>1750</v>
      </c>
    </row>
    <row r="10" spans="1:4">
      <c r="A10" s="609" t="s">
        <v>245</v>
      </c>
      <c r="B10" s="609" t="s">
        <v>245</v>
      </c>
      <c r="C10" s="609" t="s">
        <v>2263</v>
      </c>
      <c r="D10" s="610">
        <v>1600</v>
      </c>
    </row>
    <row r="11" spans="1:4">
      <c r="A11" s="609" t="s">
        <v>2264</v>
      </c>
      <c r="B11" s="609" t="s">
        <v>2264</v>
      </c>
      <c r="C11" s="609" t="s">
        <v>2265</v>
      </c>
      <c r="D11" s="610">
        <v>800</v>
      </c>
    </row>
    <row r="12" spans="1:4">
      <c r="A12" s="609" t="s">
        <v>246</v>
      </c>
      <c r="B12" s="609" t="s">
        <v>246</v>
      </c>
      <c r="C12" s="609" t="s">
        <v>2266</v>
      </c>
      <c r="D12" s="610">
        <v>1850</v>
      </c>
    </row>
    <row r="13" spans="1:4">
      <c r="A13" s="609" t="s">
        <v>2267</v>
      </c>
      <c r="B13" s="609" t="s">
        <v>2268</v>
      </c>
      <c r="C13" s="609" t="s">
        <v>2269</v>
      </c>
      <c r="D13" s="610">
        <v>370</v>
      </c>
    </row>
    <row r="14" spans="1:4">
      <c r="A14" s="609" t="s">
        <v>2270</v>
      </c>
      <c r="B14" s="609" t="s">
        <v>2270</v>
      </c>
      <c r="C14" s="609" t="s">
        <v>2271</v>
      </c>
      <c r="D14" s="610">
        <v>900</v>
      </c>
    </row>
    <row r="15" spans="1:4">
      <c r="A15" s="609" t="s">
        <v>2272</v>
      </c>
      <c r="B15" s="609" t="s">
        <v>282</v>
      </c>
      <c r="C15" s="609" t="s">
        <v>2273</v>
      </c>
      <c r="D15" s="610">
        <v>1850</v>
      </c>
    </row>
    <row r="16" spans="1:4">
      <c r="A16" s="609" t="s">
        <v>2274</v>
      </c>
      <c r="B16" s="609" t="s">
        <v>283</v>
      </c>
      <c r="C16" s="609" t="s">
        <v>2275</v>
      </c>
      <c r="D16" s="610">
        <v>1850</v>
      </c>
    </row>
    <row r="17" spans="1:4">
      <c r="A17" s="609" t="s">
        <v>284</v>
      </c>
      <c r="B17" s="609" t="s">
        <v>284</v>
      </c>
      <c r="C17" s="609" t="s">
        <v>2276</v>
      </c>
      <c r="D17" s="610">
        <v>1850</v>
      </c>
    </row>
    <row r="18" spans="1:4">
      <c r="A18" s="609" t="s">
        <v>2277</v>
      </c>
      <c r="B18" s="609" t="s">
        <v>2277</v>
      </c>
      <c r="C18" s="609" t="s">
        <v>2278</v>
      </c>
      <c r="D18" s="610">
        <v>1</v>
      </c>
    </row>
    <row r="19" spans="1:4">
      <c r="A19" s="609" t="s">
        <v>2279</v>
      </c>
      <c r="B19" s="609" t="s">
        <v>2279</v>
      </c>
      <c r="C19" s="609" t="s">
        <v>2280</v>
      </c>
      <c r="D19" s="610">
        <v>1.33</v>
      </c>
    </row>
    <row r="20" spans="1:4">
      <c r="A20" s="609" t="s">
        <v>2281</v>
      </c>
      <c r="B20" s="609" t="s">
        <v>2281</v>
      </c>
      <c r="C20" s="609" t="s">
        <v>2282</v>
      </c>
      <c r="D20" s="610">
        <v>1.33</v>
      </c>
    </row>
    <row r="21" spans="1:4">
      <c r="A21" t="s">
        <v>1658</v>
      </c>
    </row>
    <row r="22" spans="1:4">
      <c r="A22" s="1390" t="s">
        <v>2283</v>
      </c>
      <c r="B22" s="1391"/>
      <c r="C22" s="1391"/>
      <c r="D22" s="1391"/>
    </row>
    <row r="23" spans="1:4">
      <c r="A23" s="609" t="s">
        <v>2284</v>
      </c>
      <c r="B23" s="609" t="s">
        <v>2284</v>
      </c>
      <c r="C23" s="609" t="s">
        <v>2285</v>
      </c>
      <c r="D23" s="610">
        <v>10</v>
      </c>
    </row>
    <row r="24" spans="1:4">
      <c r="A24" t="s">
        <v>1658</v>
      </c>
    </row>
    <row r="25" spans="1:4">
      <c r="A25" s="1390" t="s">
        <v>2286</v>
      </c>
      <c r="B25" s="1391"/>
      <c r="C25" s="1391"/>
      <c r="D25" s="1391"/>
    </row>
    <row r="26" spans="1:4">
      <c r="A26" s="609" t="s">
        <v>2287</v>
      </c>
      <c r="B26" s="609" t="s">
        <v>2287</v>
      </c>
      <c r="C26" s="609" t="s">
        <v>2288</v>
      </c>
      <c r="D26" s="610">
        <v>10</v>
      </c>
    </row>
    <row r="27" spans="1:4">
      <c r="A27" s="609" t="s">
        <v>2289</v>
      </c>
      <c r="B27" s="609" t="s">
        <v>2289</v>
      </c>
      <c r="C27" s="609" t="s">
        <v>2290</v>
      </c>
      <c r="D27" s="610">
        <v>40</v>
      </c>
    </row>
    <row r="28" spans="1:4">
      <c r="A28" s="609" t="s">
        <v>2291</v>
      </c>
      <c r="B28" s="609" t="s">
        <v>2291</v>
      </c>
      <c r="C28" s="609" t="s">
        <v>2292</v>
      </c>
      <c r="D28" s="610">
        <v>90</v>
      </c>
    </row>
    <row r="29" spans="1:4">
      <c r="A29" s="609" t="s">
        <v>2293</v>
      </c>
      <c r="B29" s="609" t="s">
        <v>2293</v>
      </c>
      <c r="C29" s="609" t="s">
        <v>2294</v>
      </c>
      <c r="D29" s="610">
        <v>175</v>
      </c>
    </row>
    <row r="30" spans="1:4">
      <c r="A30" s="609" t="s">
        <v>2295</v>
      </c>
      <c r="B30" s="609" t="s">
        <v>2295</v>
      </c>
      <c r="C30" s="609" t="s">
        <v>2296</v>
      </c>
      <c r="D30" s="610">
        <v>325</v>
      </c>
    </row>
    <row r="31" spans="1:4">
      <c r="A31" s="609" t="s">
        <v>2297</v>
      </c>
      <c r="B31" s="609" t="s">
        <v>2297</v>
      </c>
      <c r="C31" s="609" t="s">
        <v>2298</v>
      </c>
      <c r="D31" s="610">
        <v>550</v>
      </c>
    </row>
    <row r="32" spans="1:4">
      <c r="A32" s="609" t="s">
        <v>2299</v>
      </c>
      <c r="B32" s="609" t="s">
        <v>2299</v>
      </c>
      <c r="C32" s="609" t="s">
        <v>2300</v>
      </c>
      <c r="D32" s="610">
        <v>98</v>
      </c>
    </row>
    <row r="33" spans="1:12">
      <c r="A33" s="609" t="s">
        <v>2301</v>
      </c>
      <c r="B33" s="609" t="s">
        <v>2301</v>
      </c>
      <c r="C33" s="609" t="s">
        <v>2302</v>
      </c>
      <c r="D33" s="610">
        <v>92</v>
      </c>
    </row>
    <row r="34" spans="1:12">
      <c r="A34" s="609" t="s">
        <v>2303</v>
      </c>
      <c r="B34" s="609" t="s">
        <v>2303</v>
      </c>
      <c r="C34" s="609" t="s">
        <v>2304</v>
      </c>
      <c r="D34" s="610">
        <v>88</v>
      </c>
    </row>
    <row r="35" spans="1:12">
      <c r="A35" s="609" t="s">
        <v>2305</v>
      </c>
      <c r="B35" s="609" t="s">
        <v>2305</v>
      </c>
      <c r="C35" s="609" t="s">
        <v>2306</v>
      </c>
      <c r="D35" s="610">
        <v>82</v>
      </c>
    </row>
    <row r="36" spans="1:12">
      <c r="A36" s="609" t="s">
        <v>2307</v>
      </c>
      <c r="B36" s="609" t="s">
        <v>2307</v>
      </c>
      <c r="C36" s="609" t="s">
        <v>2308</v>
      </c>
      <c r="D36" s="610">
        <v>108</v>
      </c>
    </row>
    <row r="37" spans="1:12">
      <c r="A37" s="609" t="s">
        <v>2309</v>
      </c>
      <c r="B37" s="609" t="s">
        <v>2309</v>
      </c>
      <c r="C37" s="609" t="s">
        <v>2310</v>
      </c>
      <c r="D37" s="610">
        <v>32</v>
      </c>
    </row>
    <row r="38" spans="1:12">
      <c r="A38" s="609" t="s">
        <v>2311</v>
      </c>
      <c r="B38" s="609" t="s">
        <v>2311</v>
      </c>
      <c r="C38" s="609" t="s">
        <v>2312</v>
      </c>
      <c r="D38" s="610">
        <v>20</v>
      </c>
    </row>
    <row r="39" spans="1:12">
      <c r="A39" s="609" t="s">
        <v>2313</v>
      </c>
      <c r="B39" s="609" t="s">
        <v>2313</v>
      </c>
      <c r="C39" s="609" t="s">
        <v>2314</v>
      </c>
      <c r="D39" s="610">
        <v>28</v>
      </c>
      <c r="L39">
        <f>F39*0.0256</f>
        <v>0</v>
      </c>
    </row>
    <row r="40" spans="1:12">
      <c r="A40" s="609" t="s">
        <v>2315</v>
      </c>
      <c r="B40" s="609" t="s">
        <v>2315</v>
      </c>
      <c r="C40" s="609" t="s">
        <v>2316</v>
      </c>
      <c r="D40" s="610">
        <v>225</v>
      </c>
    </row>
    <row r="41" spans="1:12">
      <c r="A41" s="609" t="s">
        <v>2317</v>
      </c>
      <c r="B41" s="609" t="s">
        <v>2317</v>
      </c>
      <c r="C41" s="609" t="s">
        <v>2318</v>
      </c>
      <c r="D41" s="610">
        <v>20</v>
      </c>
    </row>
    <row r="42" spans="1:12">
      <c r="A42" s="609" t="s">
        <v>2319</v>
      </c>
      <c r="B42" s="609" t="s">
        <v>2320</v>
      </c>
      <c r="C42" s="609" t="s">
        <v>2321</v>
      </c>
      <c r="D42" s="610">
        <v>16</v>
      </c>
    </row>
    <row r="43" spans="1:12">
      <c r="A43" s="609" t="s">
        <v>2322</v>
      </c>
      <c r="B43" s="609" t="s">
        <v>2322</v>
      </c>
      <c r="C43" s="609" t="s">
        <v>2323</v>
      </c>
      <c r="D43" s="610">
        <v>15</v>
      </c>
    </row>
    <row r="44" spans="1:12">
      <c r="A44" s="609" t="s">
        <v>2324</v>
      </c>
      <c r="B44" s="609" t="s">
        <v>2324</v>
      </c>
      <c r="C44" s="609" t="s">
        <v>2325</v>
      </c>
      <c r="D44" s="610">
        <v>16</v>
      </c>
    </row>
    <row r="45" spans="1:12">
      <c r="A45" s="609" t="s">
        <v>2326</v>
      </c>
      <c r="B45" s="609" t="s">
        <v>2326</v>
      </c>
      <c r="C45" s="609" t="s">
        <v>2327</v>
      </c>
      <c r="D45" s="610">
        <v>105</v>
      </c>
    </row>
    <row r="46" spans="1:12">
      <c r="A46" s="609" t="s">
        <v>2328</v>
      </c>
      <c r="B46" s="609" t="s">
        <v>2328</v>
      </c>
      <c r="C46" s="609" t="s">
        <v>2329</v>
      </c>
      <c r="D46" s="610">
        <v>42</v>
      </c>
    </row>
    <row r="47" spans="1:12">
      <c r="A47" s="609" t="s">
        <v>2330</v>
      </c>
      <c r="B47" s="609" t="s">
        <v>2331</v>
      </c>
      <c r="C47" s="609" t="s">
        <v>2332</v>
      </c>
      <c r="D47" s="610">
        <v>16</v>
      </c>
    </row>
    <row r="48" spans="1:12">
      <c r="A48" s="609" t="s">
        <v>2333</v>
      </c>
      <c r="B48" s="609" t="s">
        <v>2333</v>
      </c>
      <c r="C48" s="609" t="s">
        <v>2334</v>
      </c>
      <c r="D48" s="610">
        <v>105</v>
      </c>
    </row>
    <row r="49" spans="1:4">
      <c r="A49" s="609" t="s">
        <v>2335</v>
      </c>
      <c r="B49" s="609" t="s">
        <v>2335</v>
      </c>
      <c r="C49" s="609" t="s">
        <v>2336</v>
      </c>
      <c r="D49" s="610">
        <v>10</v>
      </c>
    </row>
    <row r="50" spans="1:4">
      <c r="A50" s="609" t="s">
        <v>2337</v>
      </c>
      <c r="B50" s="609" t="s">
        <v>2337</v>
      </c>
      <c r="C50" s="609" t="s">
        <v>2338</v>
      </c>
      <c r="D50" s="610">
        <v>100</v>
      </c>
    </row>
    <row r="51" spans="1:4">
      <c r="A51" s="609" t="s">
        <v>2339</v>
      </c>
      <c r="B51" s="609" t="s">
        <v>2340</v>
      </c>
      <c r="C51" s="609" t="s">
        <v>2341</v>
      </c>
      <c r="D51" s="610">
        <v>42</v>
      </c>
    </row>
    <row r="52" spans="1:4">
      <c r="A52" s="609" t="s">
        <v>2342</v>
      </c>
      <c r="B52" s="609" t="s">
        <v>2343</v>
      </c>
      <c r="C52" s="609" t="s">
        <v>2344</v>
      </c>
      <c r="D52" s="610">
        <v>72</v>
      </c>
    </row>
    <row r="53" spans="1:4">
      <c r="A53" s="609" t="s">
        <v>2345</v>
      </c>
      <c r="B53" s="609" t="s">
        <v>2346</v>
      </c>
      <c r="C53" s="609" t="s">
        <v>2347</v>
      </c>
      <c r="D53" s="610">
        <v>68</v>
      </c>
    </row>
    <row r="54" spans="1:4">
      <c r="A54" t="s">
        <v>1658</v>
      </c>
    </row>
    <row r="55" spans="1:4">
      <c r="A55" s="1390" t="s">
        <v>1295</v>
      </c>
      <c r="B55" s="1391"/>
      <c r="C55" s="1391"/>
      <c r="D55" s="1391"/>
    </row>
    <row r="56" spans="1:4">
      <c r="A56" s="609" t="s">
        <v>2348</v>
      </c>
      <c r="B56" s="609" t="s">
        <v>2348</v>
      </c>
      <c r="C56" s="609" t="s">
        <v>2349</v>
      </c>
      <c r="D56" s="610">
        <v>10</v>
      </c>
    </row>
    <row r="57" spans="1:4">
      <c r="A57" t="s">
        <v>1658</v>
      </c>
    </row>
    <row r="58" spans="1:4">
      <c r="A58" s="1390" t="s">
        <v>464</v>
      </c>
      <c r="B58" s="1391"/>
      <c r="C58" s="1391"/>
      <c r="D58" s="1391"/>
    </row>
    <row r="59" spans="1:4">
      <c r="A59" s="609" t="s">
        <v>2350</v>
      </c>
      <c r="B59" s="609" t="s">
        <v>2350</v>
      </c>
      <c r="C59" s="609" t="s">
        <v>2351</v>
      </c>
      <c r="D59" s="610">
        <v>250</v>
      </c>
    </row>
    <row r="60" spans="1:4">
      <c r="A60" s="609" t="s">
        <v>2352</v>
      </c>
      <c r="B60" s="609" t="s">
        <v>2352</v>
      </c>
      <c r="C60" s="609" t="s">
        <v>2353</v>
      </c>
      <c r="D60" s="610">
        <v>625</v>
      </c>
    </row>
    <row r="61" spans="1:4">
      <c r="A61" s="609" t="s">
        <v>2354</v>
      </c>
      <c r="B61" s="609" t="s">
        <v>2354</v>
      </c>
      <c r="C61" s="609" t="s">
        <v>2355</v>
      </c>
      <c r="D61" s="610">
        <v>750</v>
      </c>
    </row>
    <row r="62" spans="1:4">
      <c r="A62" s="609" t="s">
        <v>2356</v>
      </c>
      <c r="B62" s="609" t="s">
        <v>2356</v>
      </c>
      <c r="C62" s="609" t="s">
        <v>2357</v>
      </c>
      <c r="D62" s="610">
        <v>180</v>
      </c>
    </row>
    <row r="63" spans="1:4">
      <c r="A63" t="s">
        <v>1658</v>
      </c>
    </row>
    <row r="64" spans="1:4">
      <c r="A64" s="1393" t="s">
        <v>2358</v>
      </c>
      <c r="B64" s="1391"/>
      <c r="C64" s="1391"/>
      <c r="D64" s="1391"/>
    </row>
    <row r="66" spans="1:4">
      <c r="A66" s="1390" t="s">
        <v>2359</v>
      </c>
      <c r="B66" s="1391"/>
      <c r="C66" s="1391"/>
      <c r="D66" s="1391"/>
    </row>
    <row r="67" spans="1:4">
      <c r="A67" s="609" t="s">
        <v>279</v>
      </c>
      <c r="B67" s="609" t="s">
        <v>279</v>
      </c>
      <c r="C67" s="609" t="s">
        <v>2360</v>
      </c>
      <c r="D67" s="610">
        <v>31975</v>
      </c>
    </row>
    <row r="68" spans="1:4">
      <c r="A68" s="609" t="s">
        <v>2361</v>
      </c>
      <c r="B68" s="609" t="s">
        <v>2361</v>
      </c>
      <c r="C68" s="609" t="s">
        <v>2362</v>
      </c>
      <c r="D68" s="610">
        <v>6395</v>
      </c>
    </row>
    <row r="69" spans="1:4">
      <c r="A69" t="s">
        <v>1658</v>
      </c>
    </row>
    <row r="70" spans="1:4">
      <c r="A70" s="1390" t="s">
        <v>2363</v>
      </c>
      <c r="B70" s="1391"/>
      <c r="C70" s="1391"/>
      <c r="D70" s="1391"/>
    </row>
    <row r="71" spans="1:4">
      <c r="A71" s="609" t="s">
        <v>280</v>
      </c>
      <c r="B71" s="609" t="s">
        <v>280</v>
      </c>
      <c r="C71" s="609" t="s">
        <v>2364</v>
      </c>
      <c r="D71" s="610">
        <v>31975</v>
      </c>
    </row>
    <row r="72" spans="1:4">
      <c r="A72" s="609" t="s">
        <v>2365</v>
      </c>
      <c r="B72" s="609" t="s">
        <v>2366</v>
      </c>
      <c r="C72" s="609" t="s">
        <v>2367</v>
      </c>
      <c r="D72" s="610">
        <v>6395</v>
      </c>
    </row>
    <row r="73" spans="1:4">
      <c r="A73" t="s">
        <v>1658</v>
      </c>
    </row>
    <row r="74" spans="1:4">
      <c r="A74" s="1390" t="s">
        <v>2368</v>
      </c>
      <c r="B74" s="1391"/>
      <c r="C74" s="1391"/>
      <c r="D74" s="1391"/>
    </row>
    <row r="75" spans="1:4">
      <c r="A75" s="609" t="s">
        <v>2369</v>
      </c>
      <c r="B75" s="609" t="s">
        <v>2370</v>
      </c>
      <c r="C75" s="609" t="s">
        <v>2371</v>
      </c>
      <c r="D75" s="610">
        <v>850</v>
      </c>
    </row>
    <row r="76" spans="1:4">
      <c r="A76" s="609" t="s">
        <v>2369</v>
      </c>
      <c r="B76" s="609" t="s">
        <v>2372</v>
      </c>
      <c r="C76" s="609" t="s">
        <v>2373</v>
      </c>
      <c r="D76" s="610">
        <v>170</v>
      </c>
    </row>
    <row r="77" spans="1:4">
      <c r="A77" t="s">
        <v>1658</v>
      </c>
    </row>
    <row r="78" spans="1:4">
      <c r="A78" s="1390" t="s">
        <v>2374</v>
      </c>
      <c r="B78" s="1391"/>
      <c r="C78" s="1391"/>
      <c r="D78" s="1391"/>
    </row>
    <row r="79" spans="1:4">
      <c r="A79" s="609" t="s">
        <v>2375</v>
      </c>
      <c r="B79" s="609" t="s">
        <v>2375</v>
      </c>
      <c r="C79" s="609" t="s">
        <v>2376</v>
      </c>
      <c r="D79" s="610">
        <v>725</v>
      </c>
    </row>
    <row r="80" spans="1:4">
      <c r="A80" s="609" t="s">
        <v>2377</v>
      </c>
      <c r="B80" s="609" t="s">
        <v>2378</v>
      </c>
      <c r="C80" s="609" t="s">
        <v>2379</v>
      </c>
      <c r="D80" s="610">
        <v>145</v>
      </c>
    </row>
    <row r="81" spans="1:4">
      <c r="A81" t="s">
        <v>1658</v>
      </c>
    </row>
    <row r="82" spans="1:4">
      <c r="A82" s="1390" t="s">
        <v>2380</v>
      </c>
      <c r="B82" s="1391"/>
      <c r="C82" s="1391"/>
      <c r="D82" s="1391"/>
    </row>
    <row r="83" spans="1:4">
      <c r="A83" s="609" t="s">
        <v>2381</v>
      </c>
      <c r="B83" s="609" t="s">
        <v>281</v>
      </c>
      <c r="C83" s="609" t="s">
        <v>2382</v>
      </c>
      <c r="D83" s="610">
        <v>17745</v>
      </c>
    </row>
    <row r="84" spans="1:4">
      <c r="A84" s="609" t="s">
        <v>2383</v>
      </c>
      <c r="B84" s="609" t="s">
        <v>2384</v>
      </c>
      <c r="C84" s="609" t="s">
        <v>2385</v>
      </c>
      <c r="D84" s="610">
        <v>3549</v>
      </c>
    </row>
    <row r="85" spans="1:4">
      <c r="A85" t="s">
        <v>1658</v>
      </c>
    </row>
    <row r="86" spans="1:4">
      <c r="A86" s="1390" t="s">
        <v>2386</v>
      </c>
      <c r="B86" s="1391"/>
      <c r="C86" s="1391"/>
      <c r="D86" s="1391"/>
    </row>
    <row r="87" spans="1:4">
      <c r="A87" s="609" t="s">
        <v>2387</v>
      </c>
      <c r="B87" s="609" t="s">
        <v>285</v>
      </c>
      <c r="C87" s="609" t="s">
        <v>2388</v>
      </c>
      <c r="D87" s="610">
        <v>1415</v>
      </c>
    </row>
    <row r="88" spans="1:4">
      <c r="A88" s="609" t="s">
        <v>2389</v>
      </c>
      <c r="B88" s="609" t="s">
        <v>2390</v>
      </c>
      <c r="C88" s="609" t="s">
        <v>2391</v>
      </c>
      <c r="D88" s="610">
        <v>283</v>
      </c>
    </row>
    <row r="89" spans="1:4">
      <c r="A89" s="609" t="s">
        <v>286</v>
      </c>
      <c r="B89" s="609" t="s">
        <v>286</v>
      </c>
      <c r="C89" s="609" t="s">
        <v>2392</v>
      </c>
      <c r="D89" s="610">
        <v>785</v>
      </c>
    </row>
    <row r="90" spans="1:4">
      <c r="A90" s="609" t="s">
        <v>2393</v>
      </c>
      <c r="B90" s="609" t="s">
        <v>2394</v>
      </c>
      <c r="C90" s="609" t="s">
        <v>2395</v>
      </c>
      <c r="D90" s="610">
        <v>157</v>
      </c>
    </row>
    <row r="91" spans="1:4">
      <c r="A91" s="609" t="s">
        <v>2396</v>
      </c>
      <c r="B91" s="609" t="s">
        <v>2396</v>
      </c>
      <c r="C91" s="609" t="s">
        <v>2397</v>
      </c>
      <c r="D91" s="610">
        <v>750</v>
      </c>
    </row>
    <row r="92" spans="1:4">
      <c r="A92" s="609" t="s">
        <v>2398</v>
      </c>
      <c r="B92" s="609" t="s">
        <v>2398</v>
      </c>
      <c r="C92" s="609" t="s">
        <v>2399</v>
      </c>
      <c r="D92" s="610">
        <v>150</v>
      </c>
    </row>
    <row r="93" spans="1:4">
      <c r="A93" s="609" t="s">
        <v>287</v>
      </c>
      <c r="B93" s="609" t="s">
        <v>287</v>
      </c>
      <c r="C93" s="609" t="s">
        <v>2400</v>
      </c>
      <c r="D93" s="610">
        <v>2625</v>
      </c>
    </row>
    <row r="94" spans="1:4">
      <c r="A94" s="609" t="s">
        <v>2401</v>
      </c>
      <c r="B94" s="609" t="s">
        <v>2402</v>
      </c>
      <c r="C94" s="609" t="s">
        <v>2403</v>
      </c>
      <c r="D94" s="610">
        <v>525</v>
      </c>
    </row>
    <row r="95" spans="1:4">
      <c r="A95" t="s">
        <v>1658</v>
      </c>
    </row>
    <row r="96" spans="1:4">
      <c r="A96" s="1390" t="s">
        <v>2404</v>
      </c>
      <c r="B96" s="1391"/>
      <c r="C96" s="1391"/>
      <c r="D96" s="1391"/>
    </row>
    <row r="97" spans="1:4">
      <c r="A97" s="609" t="s">
        <v>2405</v>
      </c>
      <c r="B97" s="609" t="s">
        <v>2406</v>
      </c>
      <c r="C97" s="609" t="s">
        <v>2407</v>
      </c>
      <c r="D97" s="610">
        <v>630</v>
      </c>
    </row>
    <row r="98" spans="1:4">
      <c r="A98" s="609" t="s">
        <v>2408</v>
      </c>
      <c r="B98" s="609" t="s">
        <v>2409</v>
      </c>
      <c r="C98" s="609" t="s">
        <v>2410</v>
      </c>
      <c r="D98" s="610">
        <v>130</v>
      </c>
    </row>
    <row r="99" spans="1:4">
      <c r="A99" s="609" t="s">
        <v>2411</v>
      </c>
      <c r="B99" s="609" t="s">
        <v>2412</v>
      </c>
      <c r="C99" s="609" t="s">
        <v>2413</v>
      </c>
      <c r="D99" s="610">
        <v>285</v>
      </c>
    </row>
    <row r="100" spans="1:4">
      <c r="A100" s="609" t="s">
        <v>2414</v>
      </c>
      <c r="B100" s="609" t="s">
        <v>2415</v>
      </c>
      <c r="C100" s="609" t="s">
        <v>2416</v>
      </c>
      <c r="D100" s="610">
        <v>55</v>
      </c>
    </row>
    <row r="101" spans="1:4">
      <c r="A101" t="s">
        <v>1658</v>
      </c>
    </row>
    <row r="102" spans="1:4">
      <c r="A102" s="1390" t="s">
        <v>2417</v>
      </c>
      <c r="B102" s="1391"/>
      <c r="C102" s="1391"/>
      <c r="D102" s="1391"/>
    </row>
    <row r="103" spans="1:4">
      <c r="A103" s="609" t="s">
        <v>2418</v>
      </c>
      <c r="B103" s="609" t="s">
        <v>2419</v>
      </c>
      <c r="C103" s="609" t="s">
        <v>2420</v>
      </c>
      <c r="D103" s="610">
        <v>199</v>
      </c>
    </row>
    <row r="104" spans="1:4">
      <c r="A104" t="s">
        <v>1658</v>
      </c>
    </row>
    <row r="105" spans="1:4">
      <c r="A105" s="1390" t="s">
        <v>2259</v>
      </c>
      <c r="B105" s="1391"/>
      <c r="C105" s="1391"/>
      <c r="D105" s="1391"/>
    </row>
    <row r="106" spans="1:4">
      <c r="A106" s="609" t="s">
        <v>2260</v>
      </c>
      <c r="B106" s="609" t="s">
        <v>2260</v>
      </c>
      <c r="C106" s="609" t="s">
        <v>2261</v>
      </c>
      <c r="D106" s="610">
        <v>1600</v>
      </c>
    </row>
    <row r="107" spans="1:4">
      <c r="A107" s="609" t="s">
        <v>244</v>
      </c>
      <c r="B107" s="609" t="s">
        <v>244</v>
      </c>
      <c r="C107" s="609" t="s">
        <v>2262</v>
      </c>
      <c r="D107" s="610">
        <v>1750</v>
      </c>
    </row>
    <row r="108" spans="1:4">
      <c r="A108" s="609" t="s">
        <v>245</v>
      </c>
      <c r="B108" s="609" t="s">
        <v>245</v>
      </c>
      <c r="C108" s="609" t="s">
        <v>2263</v>
      </c>
      <c r="D108" s="610">
        <v>1600</v>
      </c>
    </row>
    <row r="109" spans="1:4">
      <c r="A109" s="609" t="s">
        <v>2264</v>
      </c>
      <c r="B109" s="609" t="s">
        <v>2264</v>
      </c>
      <c r="C109" s="609" t="s">
        <v>2265</v>
      </c>
      <c r="D109" s="610">
        <v>800</v>
      </c>
    </row>
    <row r="110" spans="1:4">
      <c r="A110" s="609" t="s">
        <v>246</v>
      </c>
      <c r="B110" s="609" t="s">
        <v>246</v>
      </c>
      <c r="C110" s="609" t="s">
        <v>2266</v>
      </c>
      <c r="D110" s="610">
        <v>1850</v>
      </c>
    </row>
    <row r="111" spans="1:4">
      <c r="A111" s="609" t="s">
        <v>2267</v>
      </c>
      <c r="B111" s="609" t="s">
        <v>2268</v>
      </c>
      <c r="C111" s="609" t="s">
        <v>2269</v>
      </c>
      <c r="D111" s="610">
        <v>370</v>
      </c>
    </row>
    <row r="112" spans="1:4">
      <c r="A112" s="609" t="s">
        <v>2270</v>
      </c>
      <c r="B112" s="609" t="s">
        <v>2270</v>
      </c>
      <c r="C112" s="609" t="s">
        <v>2271</v>
      </c>
      <c r="D112" s="610">
        <v>900</v>
      </c>
    </row>
    <row r="113" spans="1:4">
      <c r="A113" s="609" t="s">
        <v>2274</v>
      </c>
      <c r="B113" s="609" t="s">
        <v>283</v>
      </c>
      <c r="C113" s="609" t="s">
        <v>2275</v>
      </c>
      <c r="D113" s="610">
        <v>1850</v>
      </c>
    </row>
    <row r="114" spans="1:4">
      <c r="A114" s="609" t="s">
        <v>284</v>
      </c>
      <c r="B114" s="609" t="s">
        <v>284</v>
      </c>
      <c r="C114" s="609" t="s">
        <v>2276</v>
      </c>
      <c r="D114" s="610">
        <v>1850</v>
      </c>
    </row>
    <row r="115" spans="1:4">
      <c r="A115" s="609" t="s">
        <v>2277</v>
      </c>
      <c r="B115" s="609" t="s">
        <v>2277</v>
      </c>
      <c r="C115" s="609" t="s">
        <v>2278</v>
      </c>
      <c r="D115" s="610">
        <v>1</v>
      </c>
    </row>
    <row r="116" spans="1:4">
      <c r="A116" t="s">
        <v>1658</v>
      </c>
    </row>
    <row r="117" spans="1:4">
      <c r="A117" s="1390" t="s">
        <v>464</v>
      </c>
      <c r="B117" s="1391"/>
      <c r="C117" s="1391"/>
      <c r="D117" s="1391"/>
    </row>
    <row r="118" spans="1:4">
      <c r="A118" s="609" t="s">
        <v>2356</v>
      </c>
      <c r="B118" s="609" t="s">
        <v>2356</v>
      </c>
      <c r="C118" s="609" t="s">
        <v>2357</v>
      </c>
      <c r="D118" s="610">
        <v>180</v>
      </c>
    </row>
    <row r="119" spans="1:4">
      <c r="A119" t="s">
        <v>1658</v>
      </c>
    </row>
    <row r="120" spans="1:4">
      <c r="A120" s="1396" t="s">
        <v>2421</v>
      </c>
      <c r="B120" s="1391"/>
      <c r="C120" s="1391"/>
      <c r="D120" s="1391"/>
    </row>
    <row r="121" spans="1:4">
      <c r="A121" s="1393" t="s">
        <v>2422</v>
      </c>
      <c r="B121" s="1391"/>
      <c r="C121" s="1391"/>
      <c r="D121" s="1391"/>
    </row>
    <row r="123" spans="1:4">
      <c r="A123" s="1390" t="s">
        <v>2259</v>
      </c>
      <c r="B123" s="1391"/>
      <c r="C123" s="1391"/>
      <c r="D123" s="1391"/>
    </row>
    <row r="124" spans="1:4">
      <c r="A124" s="609" t="s">
        <v>2260</v>
      </c>
      <c r="B124" s="609" t="s">
        <v>2260</v>
      </c>
      <c r="C124" s="609" t="s">
        <v>2261</v>
      </c>
      <c r="D124" s="610">
        <v>1600</v>
      </c>
    </row>
    <row r="125" spans="1:4">
      <c r="A125" s="609" t="s">
        <v>244</v>
      </c>
      <c r="B125" s="609" t="s">
        <v>244</v>
      </c>
      <c r="C125" s="609" t="s">
        <v>2262</v>
      </c>
      <c r="D125" s="610">
        <v>1750</v>
      </c>
    </row>
    <row r="126" spans="1:4">
      <c r="A126" s="609" t="s">
        <v>245</v>
      </c>
      <c r="B126" s="609" t="s">
        <v>245</v>
      </c>
      <c r="C126" s="609" t="s">
        <v>2263</v>
      </c>
      <c r="D126" s="610">
        <v>1600</v>
      </c>
    </row>
    <row r="127" spans="1:4">
      <c r="A127" s="609" t="s">
        <v>2264</v>
      </c>
      <c r="B127" s="609" t="s">
        <v>2264</v>
      </c>
      <c r="C127" s="609" t="s">
        <v>2265</v>
      </c>
      <c r="D127" s="610">
        <v>800</v>
      </c>
    </row>
    <row r="128" spans="1:4">
      <c r="A128" s="609" t="s">
        <v>246</v>
      </c>
      <c r="B128" s="609" t="s">
        <v>246</v>
      </c>
      <c r="C128" s="609" t="s">
        <v>2266</v>
      </c>
      <c r="D128" s="610">
        <v>1850</v>
      </c>
    </row>
    <row r="129" spans="1:4">
      <c r="A129" s="609" t="s">
        <v>2267</v>
      </c>
      <c r="B129" s="609" t="s">
        <v>2268</v>
      </c>
      <c r="C129" s="609" t="s">
        <v>2269</v>
      </c>
      <c r="D129" s="610">
        <v>370</v>
      </c>
    </row>
    <row r="130" spans="1:4">
      <c r="A130" s="609" t="s">
        <v>2270</v>
      </c>
      <c r="B130" s="609" t="s">
        <v>2270</v>
      </c>
      <c r="C130" s="609" t="s">
        <v>2271</v>
      </c>
      <c r="D130" s="610">
        <v>900</v>
      </c>
    </row>
    <row r="131" spans="1:4">
      <c r="A131" s="609" t="s">
        <v>2274</v>
      </c>
      <c r="B131" s="609" t="s">
        <v>283</v>
      </c>
      <c r="C131" s="609" t="s">
        <v>2275</v>
      </c>
      <c r="D131" s="610">
        <v>1850</v>
      </c>
    </row>
    <row r="132" spans="1:4">
      <c r="A132" s="609" t="s">
        <v>284</v>
      </c>
      <c r="B132" s="609" t="s">
        <v>284</v>
      </c>
      <c r="C132" s="609" t="s">
        <v>2276</v>
      </c>
      <c r="D132" s="610">
        <v>1850</v>
      </c>
    </row>
    <row r="133" spans="1:4">
      <c r="A133" s="609" t="s">
        <v>2277</v>
      </c>
      <c r="B133" s="609" t="s">
        <v>2277</v>
      </c>
      <c r="C133" s="609" t="s">
        <v>2278</v>
      </c>
      <c r="D133" s="610">
        <v>1</v>
      </c>
    </row>
    <row r="134" spans="1:4">
      <c r="A134" t="s">
        <v>1658</v>
      </c>
    </row>
    <row r="135" spans="1:4">
      <c r="A135" s="1390" t="s">
        <v>1295</v>
      </c>
      <c r="B135" s="1391"/>
      <c r="C135" s="1391"/>
      <c r="D135" s="1391"/>
    </row>
    <row r="136" spans="1:4">
      <c r="A136" s="609" t="s">
        <v>2423</v>
      </c>
      <c r="B136" s="609" t="s">
        <v>2423</v>
      </c>
      <c r="C136" s="609" t="s">
        <v>2424</v>
      </c>
      <c r="D136" s="610">
        <v>119</v>
      </c>
    </row>
    <row r="137" spans="1:4">
      <c r="A137" t="s">
        <v>1658</v>
      </c>
    </row>
    <row r="138" spans="1:4">
      <c r="A138" s="1390" t="s">
        <v>464</v>
      </c>
      <c r="B138" s="1391"/>
      <c r="C138" s="1391"/>
      <c r="D138" s="1391"/>
    </row>
    <row r="139" spans="1:4">
      <c r="A139" s="609" t="s">
        <v>2356</v>
      </c>
      <c r="B139" s="609" t="s">
        <v>2356</v>
      </c>
      <c r="C139" s="609" t="s">
        <v>2357</v>
      </c>
      <c r="D139" s="610">
        <v>180</v>
      </c>
    </row>
    <row r="140" spans="1:4">
      <c r="A140" t="s">
        <v>1658</v>
      </c>
    </row>
    <row r="141" spans="1:4">
      <c r="A141" s="1390" t="s">
        <v>2425</v>
      </c>
      <c r="B141" s="1391"/>
      <c r="C141" s="1391"/>
      <c r="D141" s="1391"/>
    </row>
    <row r="142" spans="1:4">
      <c r="A142" s="609" t="s">
        <v>2426</v>
      </c>
      <c r="B142" s="609" t="s">
        <v>2426</v>
      </c>
      <c r="C142" s="609" t="s">
        <v>2427</v>
      </c>
      <c r="D142" s="610">
        <v>595</v>
      </c>
    </row>
  </sheetData>
  <mergeCells count="24">
    <mergeCell ref="A141:D141"/>
    <mergeCell ref="A82:D82"/>
    <mergeCell ref="A86:D86"/>
    <mergeCell ref="A96:D96"/>
    <mergeCell ref="A102:D102"/>
    <mergeCell ref="A105:D105"/>
    <mergeCell ref="A117:D117"/>
    <mergeCell ref="A120:D120"/>
    <mergeCell ref="A121:D121"/>
    <mergeCell ref="A123:D123"/>
    <mergeCell ref="A135:D135"/>
    <mergeCell ref="A138:D138"/>
    <mergeCell ref="A78:D78"/>
    <mergeCell ref="A1:D1"/>
    <mergeCell ref="A2:D2"/>
    <mergeCell ref="A7:D7"/>
    <mergeCell ref="A22:D22"/>
    <mergeCell ref="A25:D25"/>
    <mergeCell ref="A55:D55"/>
    <mergeCell ref="A58:D58"/>
    <mergeCell ref="A64:D64"/>
    <mergeCell ref="A66:D66"/>
    <mergeCell ref="A70:D70"/>
    <mergeCell ref="A74:D74"/>
  </mergeCells>
  <hyperlinks>
    <hyperlink ref="A3" r:id="rId1" xr:uid="{00000000-0004-0000-5000-000000000000}"/>
  </hyperlinks>
  <pageMargins left="0.7" right="0.7" top="0.75" bottom="0.75" header="0.3" footer="0.3"/>
  <pageSetup orientation="portrait"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0">
    <tabColor rgb="FF660033"/>
  </sheetPr>
  <dimension ref="A1:L139"/>
  <sheetViews>
    <sheetView zoomScale="82" zoomScaleNormal="82" workbookViewId="0">
      <selection activeCell="G60" sqref="G60"/>
    </sheetView>
  </sheetViews>
  <sheetFormatPr defaultColWidth="8.85546875" defaultRowHeight="12.75"/>
  <cols>
    <col min="1" max="1" width="67.85546875" style="104" bestFit="1" customWidth="1"/>
    <col min="2" max="2" width="71.85546875" style="104" bestFit="1" customWidth="1"/>
    <col min="3" max="3" width="15.85546875" style="104" bestFit="1" customWidth="1"/>
    <col min="4" max="4" width="20.85546875" style="104" bestFit="1" customWidth="1"/>
    <col min="5" max="16384" width="8.85546875" style="104"/>
  </cols>
  <sheetData>
    <row r="1" spans="1:4" s="614" customFormat="1" ht="33">
      <c r="A1" s="1400" t="s">
        <v>2428</v>
      </c>
      <c r="B1" s="1401"/>
      <c r="C1" s="1401"/>
      <c r="D1" s="1401"/>
    </row>
    <row r="2" spans="1:4" ht="9" customHeight="1">
      <c r="A2"/>
      <c r="B2"/>
      <c r="C2"/>
      <c r="D2"/>
    </row>
    <row r="3" spans="1:4" ht="10.5" customHeight="1">
      <c r="A3" s="615" t="s">
        <v>2254</v>
      </c>
      <c r="B3" s="615" t="s">
        <v>171</v>
      </c>
      <c r="C3" s="615" t="s">
        <v>2255</v>
      </c>
      <c r="D3" s="615" t="s">
        <v>2256</v>
      </c>
    </row>
    <row r="4" spans="1:4">
      <c r="A4" t="s">
        <v>1658</v>
      </c>
      <c r="B4"/>
      <c r="C4"/>
      <c r="D4"/>
    </row>
    <row r="5" spans="1:4" s="114" customFormat="1" ht="68.25" customHeight="1">
      <c r="A5" s="1402" t="s">
        <v>2429</v>
      </c>
      <c r="B5" s="1391"/>
      <c r="C5" s="1391"/>
      <c r="D5" s="1391"/>
    </row>
    <row r="6" spans="1:4" ht="9" customHeight="1">
      <c r="A6" s="609" t="s">
        <v>2430</v>
      </c>
      <c r="B6" s="609" t="s">
        <v>2431</v>
      </c>
      <c r="C6" s="609" t="s">
        <v>2432</v>
      </c>
      <c r="D6" s="610">
        <v>4995</v>
      </c>
    </row>
    <row r="7" spans="1:4">
      <c r="A7" s="609" t="s">
        <v>2433</v>
      </c>
      <c r="B7" s="609" t="s">
        <v>2434</v>
      </c>
      <c r="C7" s="609" t="s">
        <v>2435</v>
      </c>
      <c r="D7" s="610">
        <v>999</v>
      </c>
    </row>
    <row r="8" spans="1:4" s="113" customFormat="1" ht="15.75" customHeight="1">
      <c r="A8" s="609" t="s">
        <v>2436</v>
      </c>
      <c r="B8" s="609" t="s">
        <v>2437</v>
      </c>
      <c r="C8" s="609" t="s">
        <v>2438</v>
      </c>
      <c r="D8" s="610">
        <v>1499</v>
      </c>
    </row>
    <row r="9" spans="1:4" s="151" customFormat="1" ht="54" customHeight="1">
      <c r="A9" s="609" t="s">
        <v>2439</v>
      </c>
      <c r="B9" s="609" t="s">
        <v>2440</v>
      </c>
      <c r="C9" s="609" t="s">
        <v>2441</v>
      </c>
      <c r="D9" s="610">
        <v>8795</v>
      </c>
    </row>
    <row r="10" spans="1:4" s="155" customFormat="1">
      <c r="A10" s="609" t="s">
        <v>2442</v>
      </c>
      <c r="B10" s="609" t="s">
        <v>2443</v>
      </c>
      <c r="C10" s="609" t="s">
        <v>2444</v>
      </c>
      <c r="D10" s="610">
        <v>1759</v>
      </c>
    </row>
    <row r="11" spans="1:4" s="155" customFormat="1">
      <c r="A11" s="609" t="s">
        <v>2445</v>
      </c>
      <c r="B11" s="609" t="s">
        <v>2446</v>
      </c>
      <c r="C11" s="609" t="s">
        <v>2447</v>
      </c>
      <c r="D11" s="610">
        <v>2639</v>
      </c>
    </row>
    <row r="12" spans="1:4" s="155" customFormat="1" ht="14.25">
      <c r="A12" s="609" t="s">
        <v>2448</v>
      </c>
      <c r="B12" s="609" t="s">
        <v>2449</v>
      </c>
      <c r="C12" s="609" t="s">
        <v>2450</v>
      </c>
      <c r="D12" s="610">
        <v>4995</v>
      </c>
    </row>
    <row r="13" spans="1:4" s="155" customFormat="1">
      <c r="A13" s="609" t="s">
        <v>2451</v>
      </c>
      <c r="B13" s="609" t="s">
        <v>2452</v>
      </c>
      <c r="C13" s="609" t="s">
        <v>2453</v>
      </c>
      <c r="D13" s="610">
        <v>999</v>
      </c>
    </row>
    <row r="14" spans="1:4" s="155" customFormat="1">
      <c r="A14" s="609" t="s">
        <v>2454</v>
      </c>
      <c r="B14" s="609" t="s">
        <v>2455</v>
      </c>
      <c r="C14" s="609" t="s">
        <v>2456</v>
      </c>
      <c r="D14" s="610">
        <v>1748</v>
      </c>
    </row>
    <row r="15" spans="1:4" s="155" customFormat="1" ht="14.65" customHeight="1">
      <c r="A15" t="s">
        <v>1658</v>
      </c>
      <c r="B15"/>
      <c r="C15"/>
      <c r="D15"/>
    </row>
    <row r="16" spans="1:4" s="155" customFormat="1">
      <c r="A16" s="1390" t="s">
        <v>2457</v>
      </c>
      <c r="B16" s="1391"/>
      <c r="C16" s="1391"/>
      <c r="D16" s="1391"/>
    </row>
    <row r="17" spans="1:4" s="155" customFormat="1">
      <c r="A17" s="609" t="s">
        <v>2458</v>
      </c>
      <c r="B17" s="609" t="s">
        <v>2459</v>
      </c>
      <c r="C17" s="609" t="s">
        <v>2460</v>
      </c>
      <c r="D17" s="610">
        <v>300</v>
      </c>
    </row>
    <row r="18" spans="1:4" s="155" customFormat="1">
      <c r="A18" t="s">
        <v>1658</v>
      </c>
      <c r="B18"/>
      <c r="C18"/>
      <c r="D18"/>
    </row>
    <row r="19" spans="1:4" s="155" customFormat="1">
      <c r="A19" s="1390" t="s">
        <v>2461</v>
      </c>
      <c r="B19" s="1391"/>
      <c r="C19" s="1391"/>
      <c r="D19" s="1391"/>
    </row>
    <row r="20" spans="1:4" s="155" customFormat="1" ht="14.25">
      <c r="A20" s="609" t="s">
        <v>2462</v>
      </c>
      <c r="B20" s="609" t="s">
        <v>288</v>
      </c>
      <c r="C20" s="609" t="s">
        <v>2463</v>
      </c>
      <c r="D20" s="610">
        <v>35000</v>
      </c>
    </row>
    <row r="21" spans="1:4" s="155" customFormat="1">
      <c r="A21" s="609" t="s">
        <v>2464</v>
      </c>
      <c r="B21" s="609" t="s">
        <v>289</v>
      </c>
      <c r="C21" s="609" t="s">
        <v>2465</v>
      </c>
      <c r="D21" s="610">
        <v>7000</v>
      </c>
    </row>
    <row r="22" spans="1:4" s="156" customFormat="1" ht="13.9" customHeight="1">
      <c r="A22" s="609" t="s">
        <v>2466</v>
      </c>
      <c r="B22" s="609" t="s">
        <v>290</v>
      </c>
      <c r="C22" s="609" t="s">
        <v>2467</v>
      </c>
      <c r="D22" s="610">
        <v>10500</v>
      </c>
    </row>
    <row r="23" spans="1:4" s="151" customFormat="1" ht="14.25">
      <c r="A23" s="609" t="s">
        <v>2468</v>
      </c>
      <c r="B23" s="609" t="s">
        <v>291</v>
      </c>
      <c r="C23" s="609" t="s">
        <v>2469</v>
      </c>
      <c r="D23" s="610">
        <v>15000</v>
      </c>
    </row>
    <row r="24" spans="1:4" s="151" customFormat="1">
      <c r="A24" s="609" t="s">
        <v>2470</v>
      </c>
      <c r="B24" s="609" t="s">
        <v>292</v>
      </c>
      <c r="C24" s="609" t="s">
        <v>2471</v>
      </c>
      <c r="D24" s="610">
        <v>3000</v>
      </c>
    </row>
    <row r="25" spans="1:4" s="151" customFormat="1">
      <c r="A25" s="609" t="s">
        <v>2472</v>
      </c>
      <c r="B25" s="609" t="s">
        <v>293</v>
      </c>
      <c r="C25" s="609" t="s">
        <v>2473</v>
      </c>
      <c r="D25" s="610">
        <v>4500</v>
      </c>
    </row>
    <row r="26" spans="1:4" s="151" customFormat="1" ht="14.25">
      <c r="A26" s="609" t="s">
        <v>2474</v>
      </c>
      <c r="B26" s="609" t="s">
        <v>294</v>
      </c>
      <c r="C26" s="609" t="s">
        <v>2475</v>
      </c>
      <c r="D26" s="610">
        <v>25000</v>
      </c>
    </row>
    <row r="27" spans="1:4" s="151" customFormat="1">
      <c r="A27" s="609" t="s">
        <v>2476</v>
      </c>
      <c r="B27" s="609" t="s">
        <v>295</v>
      </c>
      <c r="C27" s="609" t="s">
        <v>2477</v>
      </c>
      <c r="D27" s="610">
        <v>5000</v>
      </c>
    </row>
    <row r="28" spans="1:4" s="151" customFormat="1">
      <c r="A28" s="609" t="s">
        <v>2478</v>
      </c>
      <c r="B28" s="609" t="s">
        <v>296</v>
      </c>
      <c r="C28" s="609" t="s">
        <v>2479</v>
      </c>
      <c r="D28" s="610">
        <v>7500</v>
      </c>
    </row>
    <row r="29" spans="1:4" s="151" customFormat="1">
      <c r="A29" s="609" t="s">
        <v>2480</v>
      </c>
      <c r="B29" s="609" t="s">
        <v>297</v>
      </c>
      <c r="C29" s="609" t="s">
        <v>2481</v>
      </c>
      <c r="D29" s="610">
        <v>12500</v>
      </c>
    </row>
    <row r="30" spans="1:4" s="151" customFormat="1">
      <c r="A30" s="609" t="s">
        <v>2482</v>
      </c>
      <c r="B30" s="609" t="s">
        <v>298</v>
      </c>
      <c r="C30" s="609" t="s">
        <v>2483</v>
      </c>
      <c r="D30" s="610">
        <v>2500</v>
      </c>
    </row>
    <row r="31" spans="1:4" s="151" customFormat="1">
      <c r="A31" s="609" t="s">
        <v>2484</v>
      </c>
      <c r="B31" s="609" t="s">
        <v>299</v>
      </c>
      <c r="C31" s="609" t="s">
        <v>2485</v>
      </c>
      <c r="D31" s="610">
        <v>3750</v>
      </c>
    </row>
    <row r="32" spans="1:4" s="151" customFormat="1">
      <c r="A32" t="s">
        <v>1658</v>
      </c>
      <c r="B32"/>
      <c r="C32"/>
      <c r="D32"/>
    </row>
    <row r="33" spans="1:12" s="151" customFormat="1">
      <c r="A33" s="1390" t="s">
        <v>2486</v>
      </c>
      <c r="B33" s="1391"/>
      <c r="C33" s="1391"/>
      <c r="D33" s="1391"/>
    </row>
    <row r="34" spans="1:12" s="151" customFormat="1" ht="26.65" customHeight="1">
      <c r="A34" s="609" t="s">
        <v>2487</v>
      </c>
      <c r="B34" s="609" t="s">
        <v>324</v>
      </c>
      <c r="C34" s="609" t="s">
        <v>2488</v>
      </c>
      <c r="D34" s="610">
        <v>3000</v>
      </c>
    </row>
    <row r="35" spans="1:12" s="151" customFormat="1">
      <c r="A35" s="609" t="s">
        <v>2489</v>
      </c>
      <c r="B35" s="609" t="s">
        <v>325</v>
      </c>
      <c r="C35" s="609" t="s">
        <v>2490</v>
      </c>
      <c r="D35" s="610">
        <v>600</v>
      </c>
    </row>
    <row r="36" spans="1:12" s="151" customFormat="1">
      <c r="A36" s="609" t="s">
        <v>2491</v>
      </c>
      <c r="B36" s="609" t="s">
        <v>326</v>
      </c>
      <c r="C36" s="609" t="s">
        <v>2492</v>
      </c>
      <c r="D36" s="610">
        <v>900</v>
      </c>
    </row>
    <row r="37" spans="1:12" s="151" customFormat="1">
      <c r="A37" s="609" t="s">
        <v>2493</v>
      </c>
      <c r="B37" s="609" t="s">
        <v>327</v>
      </c>
      <c r="C37" s="609" t="s">
        <v>2494</v>
      </c>
      <c r="D37" s="610">
        <v>1900</v>
      </c>
    </row>
    <row r="38" spans="1:12" s="151" customFormat="1">
      <c r="A38" s="609" t="s">
        <v>2495</v>
      </c>
      <c r="B38" s="609" t="s">
        <v>328</v>
      </c>
      <c r="C38" s="609" t="s">
        <v>2496</v>
      </c>
      <c r="D38" s="610">
        <v>2850</v>
      </c>
    </row>
    <row r="39" spans="1:12" s="151" customFormat="1">
      <c r="A39" s="609" t="s">
        <v>2497</v>
      </c>
      <c r="B39" s="609" t="s">
        <v>329</v>
      </c>
      <c r="C39" s="609" t="s">
        <v>2498</v>
      </c>
      <c r="D39" s="610">
        <v>10000</v>
      </c>
      <c r="L39" s="151">
        <f>F39*0.0256</f>
        <v>0</v>
      </c>
    </row>
    <row r="40" spans="1:12" s="151" customFormat="1">
      <c r="A40" s="609" t="s">
        <v>2499</v>
      </c>
      <c r="B40" s="609" t="s">
        <v>330</v>
      </c>
      <c r="C40" s="609" t="s">
        <v>2500</v>
      </c>
      <c r="D40" s="610">
        <v>2000</v>
      </c>
    </row>
    <row r="41" spans="1:12" s="151" customFormat="1">
      <c r="A41" s="609" t="s">
        <v>2501</v>
      </c>
      <c r="B41" s="609" t="s">
        <v>331</v>
      </c>
      <c r="C41" s="609" t="s">
        <v>2502</v>
      </c>
      <c r="D41" s="610">
        <v>3500</v>
      </c>
    </row>
    <row r="42" spans="1:12" s="151" customFormat="1">
      <c r="A42" s="609" t="s">
        <v>2503</v>
      </c>
      <c r="B42" s="609" t="s">
        <v>332</v>
      </c>
      <c r="C42" s="609" t="s">
        <v>2504</v>
      </c>
      <c r="D42" s="610">
        <v>5000</v>
      </c>
    </row>
    <row r="43" spans="1:12" s="151" customFormat="1">
      <c r="A43" s="609" t="s">
        <v>2505</v>
      </c>
      <c r="B43" s="609" t="s">
        <v>333</v>
      </c>
      <c r="C43" s="609" t="s">
        <v>2506</v>
      </c>
      <c r="D43" s="610">
        <v>1000</v>
      </c>
    </row>
    <row r="44" spans="1:12" s="151" customFormat="1">
      <c r="A44" s="609" t="s">
        <v>2507</v>
      </c>
      <c r="B44" s="609" t="s">
        <v>334</v>
      </c>
      <c r="C44" s="609" t="s">
        <v>2508</v>
      </c>
      <c r="D44" s="610">
        <v>1500</v>
      </c>
    </row>
    <row r="45" spans="1:12" s="151" customFormat="1">
      <c r="A45" s="609" t="s">
        <v>2509</v>
      </c>
      <c r="B45" s="609" t="s">
        <v>335</v>
      </c>
      <c r="C45" s="609" t="s">
        <v>2510</v>
      </c>
      <c r="D45" s="610">
        <v>5000</v>
      </c>
    </row>
    <row r="46" spans="1:12" s="151" customFormat="1">
      <c r="A46" s="609" t="s">
        <v>2511</v>
      </c>
      <c r="B46" s="609" t="s">
        <v>336</v>
      </c>
      <c r="C46" s="609" t="s">
        <v>2512</v>
      </c>
      <c r="D46" s="610">
        <v>1000</v>
      </c>
    </row>
    <row r="47" spans="1:12" s="151" customFormat="1">
      <c r="A47" s="609" t="s">
        <v>2513</v>
      </c>
      <c r="B47" s="609" t="s">
        <v>337</v>
      </c>
      <c r="C47" s="609" t="s">
        <v>2514</v>
      </c>
      <c r="D47" s="610">
        <v>1500</v>
      </c>
    </row>
    <row r="48" spans="1:12" s="151" customFormat="1" ht="29.65" customHeight="1">
      <c r="A48" s="609" t="s">
        <v>2515</v>
      </c>
      <c r="B48" s="609" t="s">
        <v>338</v>
      </c>
      <c r="C48" s="609" t="s">
        <v>2516</v>
      </c>
      <c r="D48" s="610">
        <v>7500</v>
      </c>
    </row>
    <row r="49" spans="1:4" s="151" customFormat="1">
      <c r="A49" s="609" t="s">
        <v>2517</v>
      </c>
      <c r="B49" s="609" t="s">
        <v>339</v>
      </c>
      <c r="C49" s="609" t="s">
        <v>2518</v>
      </c>
      <c r="D49" s="610">
        <v>1500</v>
      </c>
    </row>
    <row r="50" spans="1:4" s="151" customFormat="1">
      <c r="A50" s="609" t="s">
        <v>2519</v>
      </c>
      <c r="B50" s="609" t="s">
        <v>340</v>
      </c>
      <c r="C50" s="609" t="s">
        <v>2520</v>
      </c>
      <c r="D50" s="610">
        <v>2250</v>
      </c>
    </row>
    <row r="51" spans="1:4" s="151" customFormat="1">
      <c r="A51" s="609" t="s">
        <v>2521</v>
      </c>
      <c r="B51" s="609" t="s">
        <v>341</v>
      </c>
      <c r="C51" s="609" t="s">
        <v>2522</v>
      </c>
      <c r="D51" s="610">
        <v>5000</v>
      </c>
    </row>
    <row r="52" spans="1:4" s="151" customFormat="1">
      <c r="A52" s="609" t="s">
        <v>2523</v>
      </c>
      <c r="B52" s="609" t="s">
        <v>342</v>
      </c>
      <c r="C52" s="609" t="s">
        <v>2524</v>
      </c>
      <c r="D52" s="610">
        <v>1000</v>
      </c>
    </row>
    <row r="53" spans="1:4" s="151" customFormat="1">
      <c r="A53" s="609" t="s">
        <v>2525</v>
      </c>
      <c r="B53" s="609" t="s">
        <v>343</v>
      </c>
      <c r="C53" s="609" t="s">
        <v>2526</v>
      </c>
      <c r="D53" s="610">
        <v>1500</v>
      </c>
    </row>
    <row r="54" spans="1:4" s="151" customFormat="1">
      <c r="A54" s="609" t="s">
        <v>2527</v>
      </c>
      <c r="B54" s="609" t="s">
        <v>344</v>
      </c>
      <c r="C54" s="609" t="s">
        <v>2528</v>
      </c>
      <c r="D54" s="610">
        <v>5000</v>
      </c>
    </row>
    <row r="55" spans="1:4" s="151" customFormat="1">
      <c r="A55" s="609" t="s">
        <v>2529</v>
      </c>
      <c r="B55" s="609" t="s">
        <v>345</v>
      </c>
      <c r="C55" s="609" t="s">
        <v>2530</v>
      </c>
      <c r="D55" s="610">
        <v>1000</v>
      </c>
    </row>
    <row r="56" spans="1:4" s="151" customFormat="1">
      <c r="A56" s="609" t="s">
        <v>2531</v>
      </c>
      <c r="B56" s="609" t="s">
        <v>346</v>
      </c>
      <c r="C56" s="609" t="s">
        <v>2532</v>
      </c>
      <c r="D56" s="610">
        <v>1500</v>
      </c>
    </row>
    <row r="57" spans="1:4" s="151" customFormat="1">
      <c r="A57" s="609" t="s">
        <v>2533</v>
      </c>
      <c r="B57" s="609" t="s">
        <v>347</v>
      </c>
      <c r="C57" s="609" t="s">
        <v>2534</v>
      </c>
      <c r="D57" s="610">
        <v>1000</v>
      </c>
    </row>
    <row r="58" spans="1:4" s="151" customFormat="1" ht="29.65" customHeight="1">
      <c r="A58" s="609" t="s">
        <v>2535</v>
      </c>
      <c r="B58" s="609" t="s">
        <v>348</v>
      </c>
      <c r="C58" s="609" t="s">
        <v>2536</v>
      </c>
      <c r="D58" s="610">
        <v>1750</v>
      </c>
    </row>
    <row r="59" spans="1:4" s="151" customFormat="1">
      <c r="A59" s="609" t="s">
        <v>2537</v>
      </c>
      <c r="B59" s="609" t="s">
        <v>349</v>
      </c>
      <c r="C59" s="609" t="s">
        <v>2538</v>
      </c>
      <c r="D59" s="610">
        <v>10000</v>
      </c>
    </row>
    <row r="60" spans="1:4" s="151" customFormat="1">
      <c r="A60" s="609" t="s">
        <v>2539</v>
      </c>
      <c r="B60" s="609" t="s">
        <v>350</v>
      </c>
      <c r="C60" s="609" t="s">
        <v>2540</v>
      </c>
      <c r="D60" s="610">
        <v>2000</v>
      </c>
    </row>
    <row r="61" spans="1:4" s="151" customFormat="1">
      <c r="A61" s="609" t="s">
        <v>2541</v>
      </c>
      <c r="B61" s="609" t="s">
        <v>351</v>
      </c>
      <c r="C61" s="609" t="s">
        <v>2542</v>
      </c>
      <c r="D61" s="610">
        <v>3000</v>
      </c>
    </row>
    <row r="62" spans="1:4" s="151" customFormat="1">
      <c r="A62" s="609" t="s">
        <v>2543</v>
      </c>
      <c r="B62" s="609" t="s">
        <v>352</v>
      </c>
      <c r="C62" s="609" t="s">
        <v>2544</v>
      </c>
      <c r="D62" s="610">
        <v>7500</v>
      </c>
    </row>
    <row r="63" spans="1:4" s="151" customFormat="1">
      <c r="A63" s="609" t="s">
        <v>2545</v>
      </c>
      <c r="B63" s="609" t="s">
        <v>353</v>
      </c>
      <c r="C63" s="609" t="s">
        <v>2546</v>
      </c>
      <c r="D63" s="610">
        <v>1500</v>
      </c>
    </row>
    <row r="64" spans="1:4" s="151" customFormat="1">
      <c r="A64" s="609" t="s">
        <v>2547</v>
      </c>
      <c r="B64" s="609" t="s">
        <v>354</v>
      </c>
      <c r="C64" s="609" t="s">
        <v>2548</v>
      </c>
      <c r="D64" s="610">
        <v>2250</v>
      </c>
    </row>
    <row r="65" spans="1:4" s="151" customFormat="1" ht="14.25">
      <c r="A65" s="609" t="s">
        <v>2549</v>
      </c>
      <c r="B65" s="609" t="s">
        <v>355</v>
      </c>
      <c r="C65" s="609" t="s">
        <v>2550</v>
      </c>
      <c r="D65" s="610">
        <v>15000</v>
      </c>
    </row>
    <row r="66" spans="1:4" s="151" customFormat="1">
      <c r="A66" s="609" t="s">
        <v>2551</v>
      </c>
      <c r="B66" s="609" t="s">
        <v>356</v>
      </c>
      <c r="C66" s="609" t="s">
        <v>2552</v>
      </c>
      <c r="D66" s="610">
        <v>3000</v>
      </c>
    </row>
    <row r="67" spans="1:4" s="151" customFormat="1">
      <c r="A67" s="609" t="s">
        <v>2553</v>
      </c>
      <c r="B67" s="609" t="s">
        <v>357</v>
      </c>
      <c r="C67" s="609" t="s">
        <v>2554</v>
      </c>
      <c r="D67" s="610">
        <v>4500</v>
      </c>
    </row>
    <row r="68" spans="1:4" s="151" customFormat="1" ht="31.15" customHeight="1">
      <c r="A68" s="609" t="s">
        <v>2555</v>
      </c>
      <c r="B68" s="609" t="s">
        <v>358</v>
      </c>
      <c r="C68" s="609" t="s">
        <v>2556</v>
      </c>
      <c r="D68" s="610">
        <v>500</v>
      </c>
    </row>
    <row r="69" spans="1:4" s="151" customFormat="1">
      <c r="A69" s="609" t="s">
        <v>2557</v>
      </c>
      <c r="B69" s="609" t="s">
        <v>359</v>
      </c>
      <c r="C69" s="609" t="s">
        <v>2558</v>
      </c>
      <c r="D69" s="610">
        <v>500</v>
      </c>
    </row>
    <row r="70" spans="1:4" s="151" customFormat="1">
      <c r="A70" s="609" t="s">
        <v>2559</v>
      </c>
      <c r="B70" s="609" t="s">
        <v>360</v>
      </c>
      <c r="C70" s="609" t="s">
        <v>2560</v>
      </c>
      <c r="D70" s="610">
        <v>100</v>
      </c>
    </row>
    <row r="71" spans="1:4" s="151" customFormat="1">
      <c r="A71" s="609" t="s">
        <v>2561</v>
      </c>
      <c r="B71" s="609" t="s">
        <v>361</v>
      </c>
      <c r="C71" s="609" t="s">
        <v>2562</v>
      </c>
      <c r="D71" s="610">
        <v>150</v>
      </c>
    </row>
    <row r="72" spans="1:4" s="151" customFormat="1">
      <c r="A72" s="609" t="s">
        <v>2563</v>
      </c>
      <c r="B72" s="609" t="s">
        <v>362</v>
      </c>
      <c r="C72" s="609" t="s">
        <v>2564</v>
      </c>
      <c r="D72" s="610">
        <v>3500</v>
      </c>
    </row>
    <row r="73" spans="1:4" s="151" customFormat="1">
      <c r="A73" s="609" t="s">
        <v>2565</v>
      </c>
      <c r="B73" s="609" t="s">
        <v>363</v>
      </c>
      <c r="C73" s="609" t="s">
        <v>2566</v>
      </c>
      <c r="D73" s="610">
        <v>5000</v>
      </c>
    </row>
    <row r="74" spans="1:4" s="151" customFormat="1">
      <c r="A74" s="609" t="s">
        <v>2567</v>
      </c>
      <c r="B74" s="609" t="s">
        <v>364</v>
      </c>
      <c r="C74" s="609" t="s">
        <v>2568</v>
      </c>
      <c r="D74" s="610">
        <v>4500</v>
      </c>
    </row>
    <row r="75" spans="1:4" s="151" customFormat="1">
      <c r="A75" s="609" t="s">
        <v>2569</v>
      </c>
      <c r="B75" s="609" t="s">
        <v>2570</v>
      </c>
      <c r="C75" s="609" t="s">
        <v>2571</v>
      </c>
      <c r="D75" s="610">
        <v>3000</v>
      </c>
    </row>
    <row r="76" spans="1:4" s="151" customFormat="1">
      <c r="A76" s="609" t="s">
        <v>2572</v>
      </c>
      <c r="B76" s="609" t="s">
        <v>365</v>
      </c>
      <c r="C76" s="609" t="s">
        <v>2573</v>
      </c>
      <c r="D76" s="610">
        <v>3000</v>
      </c>
    </row>
    <row r="77" spans="1:4" s="151" customFormat="1" ht="29.65" customHeight="1">
      <c r="A77" s="609" t="s">
        <v>2574</v>
      </c>
      <c r="B77" s="609" t="s">
        <v>366</v>
      </c>
      <c r="C77" s="609" t="s">
        <v>2575</v>
      </c>
      <c r="D77" s="610">
        <v>1200</v>
      </c>
    </row>
    <row r="78" spans="1:4" s="151" customFormat="1">
      <c r="A78" s="609" t="s">
        <v>2576</v>
      </c>
      <c r="B78" s="609" t="s">
        <v>367</v>
      </c>
      <c r="C78" s="609" t="s">
        <v>2577</v>
      </c>
      <c r="D78" s="610">
        <v>1200</v>
      </c>
    </row>
    <row r="79" spans="1:4" s="151" customFormat="1" ht="14.25">
      <c r="A79" s="609" t="s">
        <v>2578</v>
      </c>
      <c r="B79" s="609" t="s">
        <v>368</v>
      </c>
      <c r="C79" s="609" t="s">
        <v>2579</v>
      </c>
      <c r="D79" s="610">
        <v>2000</v>
      </c>
    </row>
    <row r="80" spans="1:4" s="151" customFormat="1" ht="30.6" customHeight="1">
      <c r="A80" s="609" t="s">
        <v>2580</v>
      </c>
      <c r="B80" s="609" t="s">
        <v>369</v>
      </c>
      <c r="C80" s="609" t="s">
        <v>2581</v>
      </c>
      <c r="D80" s="610">
        <v>400</v>
      </c>
    </row>
    <row r="81" spans="1:4" s="151" customFormat="1">
      <c r="A81" s="609" t="s">
        <v>2582</v>
      </c>
      <c r="B81" s="609" t="s">
        <v>370</v>
      </c>
      <c r="C81" s="609" t="s">
        <v>2583</v>
      </c>
      <c r="D81" s="610">
        <v>600</v>
      </c>
    </row>
    <row r="82" spans="1:4" s="151" customFormat="1">
      <c r="A82" s="609" t="s">
        <v>2584</v>
      </c>
      <c r="B82" s="609" t="s">
        <v>371</v>
      </c>
      <c r="C82" s="609" t="s">
        <v>2585</v>
      </c>
      <c r="D82" s="610">
        <v>2500</v>
      </c>
    </row>
    <row r="83" spans="1:4" s="151" customFormat="1" ht="30.6" customHeight="1">
      <c r="A83" s="609" t="s">
        <v>2586</v>
      </c>
      <c r="B83" s="609" t="s">
        <v>372</v>
      </c>
      <c r="C83" s="609" t="s">
        <v>2587</v>
      </c>
      <c r="D83" s="610">
        <v>500</v>
      </c>
    </row>
    <row r="84" spans="1:4" s="151" customFormat="1">
      <c r="A84" s="609" t="s">
        <v>2588</v>
      </c>
      <c r="B84" s="609" t="s">
        <v>373</v>
      </c>
      <c r="C84" s="609" t="s">
        <v>2589</v>
      </c>
      <c r="D84" s="610">
        <v>875</v>
      </c>
    </row>
    <row r="85" spans="1:4" s="151" customFormat="1">
      <c r="A85" s="609" t="s">
        <v>2590</v>
      </c>
      <c r="B85" s="609" t="s">
        <v>374</v>
      </c>
      <c r="C85" s="609" t="s">
        <v>2591</v>
      </c>
      <c r="D85" s="610">
        <v>7500</v>
      </c>
    </row>
    <row r="86" spans="1:4" s="151" customFormat="1">
      <c r="A86" s="609" t="s">
        <v>2592</v>
      </c>
      <c r="B86" s="609" t="s">
        <v>375</v>
      </c>
      <c r="C86" s="609" t="s">
        <v>2593</v>
      </c>
      <c r="D86" s="610">
        <v>1500</v>
      </c>
    </row>
    <row r="87" spans="1:4" s="151" customFormat="1">
      <c r="A87" s="609" t="s">
        <v>2594</v>
      </c>
      <c r="B87" s="609" t="s">
        <v>376</v>
      </c>
      <c r="C87" s="609" t="s">
        <v>2595</v>
      </c>
      <c r="D87" s="610">
        <v>2250</v>
      </c>
    </row>
    <row r="88" spans="1:4" s="151" customFormat="1">
      <c r="A88" s="609" t="s">
        <v>2596</v>
      </c>
      <c r="B88" s="609" t="s">
        <v>377</v>
      </c>
      <c r="C88" s="609" t="s">
        <v>2597</v>
      </c>
      <c r="D88" s="610">
        <v>995</v>
      </c>
    </row>
    <row r="89" spans="1:4" s="151" customFormat="1" ht="30.6" customHeight="1">
      <c r="A89" s="609" t="s">
        <v>2598</v>
      </c>
      <c r="B89" s="609" t="s">
        <v>378</v>
      </c>
      <c r="C89" s="609" t="s">
        <v>2599</v>
      </c>
      <c r="D89" s="610">
        <v>200</v>
      </c>
    </row>
    <row r="90" spans="1:4" s="151" customFormat="1">
      <c r="A90" s="609" t="s">
        <v>2600</v>
      </c>
      <c r="B90" s="609" t="s">
        <v>379</v>
      </c>
      <c r="C90" s="609" t="s">
        <v>2601</v>
      </c>
      <c r="D90" s="610">
        <v>300</v>
      </c>
    </row>
    <row r="91" spans="1:4" s="151" customFormat="1">
      <c r="A91" s="609" t="s">
        <v>2602</v>
      </c>
      <c r="B91" s="609" t="s">
        <v>380</v>
      </c>
      <c r="C91" s="609" t="s">
        <v>2603</v>
      </c>
      <c r="D91" s="610">
        <v>5000</v>
      </c>
    </row>
    <row r="92" spans="1:4" s="156" customFormat="1" ht="13.9" customHeight="1">
      <c r="A92" s="609" t="s">
        <v>2604</v>
      </c>
      <c r="B92" s="609" t="s">
        <v>381</v>
      </c>
      <c r="C92" s="609" t="s">
        <v>2605</v>
      </c>
      <c r="D92" s="610">
        <v>1000</v>
      </c>
    </row>
    <row r="93" spans="1:4" s="151" customFormat="1" ht="24" customHeight="1">
      <c r="A93" s="609" t="s">
        <v>2606</v>
      </c>
      <c r="B93" s="609" t="s">
        <v>382</v>
      </c>
      <c r="C93" s="609" t="s">
        <v>2607</v>
      </c>
      <c r="D93" s="610">
        <v>1500</v>
      </c>
    </row>
    <row r="94" spans="1:4" s="151" customFormat="1">
      <c r="A94" s="609" t="s">
        <v>2608</v>
      </c>
      <c r="B94" s="609" t="s">
        <v>383</v>
      </c>
      <c r="C94" s="609" t="s">
        <v>2609</v>
      </c>
      <c r="D94" s="610">
        <v>7500</v>
      </c>
    </row>
    <row r="95" spans="1:4" s="151" customFormat="1">
      <c r="A95" s="609" t="s">
        <v>2610</v>
      </c>
      <c r="B95" s="609" t="s">
        <v>384</v>
      </c>
      <c r="C95" s="609" t="s">
        <v>2611</v>
      </c>
      <c r="D95" s="610">
        <v>1500</v>
      </c>
    </row>
    <row r="96" spans="1:4" s="151" customFormat="1">
      <c r="A96" s="609" t="s">
        <v>2610</v>
      </c>
      <c r="B96" s="609" t="s">
        <v>385</v>
      </c>
      <c r="C96" s="609" t="s">
        <v>2612</v>
      </c>
      <c r="D96" s="610">
        <v>2250</v>
      </c>
    </row>
    <row r="97" spans="1:4" s="151" customFormat="1">
      <c r="A97" s="609" t="s">
        <v>2613</v>
      </c>
      <c r="B97" s="609" t="s">
        <v>386</v>
      </c>
      <c r="C97" s="609" t="s">
        <v>318</v>
      </c>
      <c r="D97" s="610">
        <v>10000</v>
      </c>
    </row>
    <row r="98" spans="1:4" s="151" customFormat="1">
      <c r="A98" s="609" t="s">
        <v>2614</v>
      </c>
      <c r="B98" s="609" t="s">
        <v>387</v>
      </c>
      <c r="C98" s="609" t="s">
        <v>319</v>
      </c>
      <c r="D98" s="610">
        <v>2000</v>
      </c>
    </row>
    <row r="99" spans="1:4" s="151" customFormat="1">
      <c r="A99" s="609" t="s">
        <v>2615</v>
      </c>
      <c r="B99" s="609" t="s">
        <v>388</v>
      </c>
      <c r="C99" s="609" t="s">
        <v>320</v>
      </c>
      <c r="D99" s="610">
        <v>3000</v>
      </c>
    </row>
    <row r="100" spans="1:4" s="151" customFormat="1">
      <c r="A100" s="609" t="s">
        <v>2616</v>
      </c>
      <c r="B100" s="609" t="s">
        <v>389</v>
      </c>
      <c r="C100" s="609" t="s">
        <v>321</v>
      </c>
      <c r="D100" s="610">
        <v>5000</v>
      </c>
    </row>
    <row r="101" spans="1:4" s="151" customFormat="1">
      <c r="A101" s="609" t="s">
        <v>2617</v>
      </c>
      <c r="B101" s="609" t="s">
        <v>390</v>
      </c>
      <c r="C101" s="609" t="s">
        <v>322</v>
      </c>
      <c r="D101" s="610">
        <v>1000</v>
      </c>
    </row>
    <row r="102" spans="1:4" s="151" customFormat="1">
      <c r="A102" s="609" t="s">
        <v>2618</v>
      </c>
      <c r="B102" s="609" t="s">
        <v>391</v>
      </c>
      <c r="C102" s="609" t="s">
        <v>323</v>
      </c>
      <c r="D102" s="610">
        <v>1500</v>
      </c>
    </row>
    <row r="103" spans="1:4" s="151" customFormat="1">
      <c r="A103" t="s">
        <v>1658</v>
      </c>
      <c r="B103"/>
      <c r="C103"/>
      <c r="D103"/>
    </row>
    <row r="104" spans="1:4" s="151" customFormat="1">
      <c r="A104" s="1390" t="s">
        <v>2619</v>
      </c>
      <c r="B104" s="1391"/>
      <c r="C104" s="1391"/>
      <c r="D104" s="1391"/>
    </row>
    <row r="105" spans="1:4" s="151" customFormat="1">
      <c r="A105" s="609" t="s">
        <v>2620</v>
      </c>
      <c r="B105" s="609" t="s">
        <v>300</v>
      </c>
      <c r="C105" s="609" t="s">
        <v>2621</v>
      </c>
      <c r="D105" s="610">
        <v>500</v>
      </c>
    </row>
    <row r="106" spans="1:4" s="151" customFormat="1">
      <c r="A106" s="609" t="s">
        <v>2622</v>
      </c>
      <c r="B106" s="609" t="s">
        <v>301</v>
      </c>
      <c r="C106" s="609" t="s">
        <v>2623</v>
      </c>
      <c r="D106" s="610">
        <v>4500</v>
      </c>
    </row>
    <row r="107" spans="1:4" s="151" customFormat="1">
      <c r="A107" s="609" t="s">
        <v>2624</v>
      </c>
      <c r="B107" s="609" t="s">
        <v>302</v>
      </c>
      <c r="C107" s="609" t="s">
        <v>2625</v>
      </c>
      <c r="D107" s="610">
        <v>1800</v>
      </c>
    </row>
    <row r="108" spans="1:4" s="151" customFormat="1">
      <c r="A108" s="609" t="s">
        <v>2626</v>
      </c>
      <c r="B108" s="609" t="s">
        <v>303</v>
      </c>
      <c r="C108" s="609" t="s">
        <v>2627</v>
      </c>
      <c r="D108" s="610">
        <v>1800</v>
      </c>
    </row>
    <row r="109" spans="1:4" s="151" customFormat="1">
      <c r="A109" s="609" t="s">
        <v>2628</v>
      </c>
      <c r="B109" s="609" t="s">
        <v>2629</v>
      </c>
      <c r="C109" s="609" t="s">
        <v>2630</v>
      </c>
      <c r="D109" s="610">
        <v>7000</v>
      </c>
    </row>
    <row r="110" spans="1:4" s="151" customFormat="1">
      <c r="A110" s="609" t="s">
        <v>2631</v>
      </c>
      <c r="B110" s="609" t="s">
        <v>2632</v>
      </c>
      <c r="C110" s="609" t="s">
        <v>2633</v>
      </c>
      <c r="D110" s="610">
        <v>3000</v>
      </c>
    </row>
    <row r="111" spans="1:4" s="151" customFormat="1">
      <c r="A111" s="609" t="s">
        <v>2634</v>
      </c>
      <c r="B111" s="609" t="s">
        <v>304</v>
      </c>
      <c r="C111" s="609" t="s">
        <v>2635</v>
      </c>
      <c r="D111" s="610">
        <v>1500</v>
      </c>
    </row>
    <row r="112" spans="1:4" s="151" customFormat="1">
      <c r="A112" s="609" t="s">
        <v>2636</v>
      </c>
      <c r="B112" s="609" t="s">
        <v>305</v>
      </c>
      <c r="C112" s="609" t="s">
        <v>2637</v>
      </c>
      <c r="D112" s="610">
        <v>3500</v>
      </c>
    </row>
    <row r="113" spans="1:4" s="151" customFormat="1">
      <c r="A113" s="609" t="s">
        <v>2638</v>
      </c>
      <c r="B113" s="609" t="s">
        <v>2639</v>
      </c>
      <c r="C113" s="609" t="s">
        <v>2640</v>
      </c>
      <c r="D113" s="610">
        <v>3000</v>
      </c>
    </row>
    <row r="114" spans="1:4" s="151" customFormat="1">
      <c r="A114" s="609" t="s">
        <v>2641</v>
      </c>
      <c r="B114" s="609" t="s">
        <v>2642</v>
      </c>
      <c r="C114" s="609" t="s">
        <v>2643</v>
      </c>
      <c r="D114" s="610">
        <v>3500</v>
      </c>
    </row>
    <row r="115" spans="1:4" s="151" customFormat="1">
      <c r="A115" s="609" t="s">
        <v>2644</v>
      </c>
      <c r="B115" s="609" t="s">
        <v>2645</v>
      </c>
      <c r="C115" s="609" t="s">
        <v>2646</v>
      </c>
      <c r="D115" s="610">
        <v>7000</v>
      </c>
    </row>
    <row r="116" spans="1:4" s="151" customFormat="1">
      <c r="A116" s="609" t="s">
        <v>2647</v>
      </c>
      <c r="B116" s="609" t="s">
        <v>306</v>
      </c>
      <c r="C116" s="609" t="s">
        <v>2648</v>
      </c>
      <c r="D116" s="610">
        <v>3500</v>
      </c>
    </row>
    <row r="117" spans="1:4" s="162" customFormat="1">
      <c r="A117" s="609" t="s">
        <v>2649</v>
      </c>
      <c r="B117" s="609" t="s">
        <v>307</v>
      </c>
      <c r="C117" s="609" t="s">
        <v>2650</v>
      </c>
      <c r="D117" s="610">
        <v>3500</v>
      </c>
    </row>
    <row r="118" spans="1:4" s="162" customFormat="1">
      <c r="A118" s="609" t="s">
        <v>2651</v>
      </c>
      <c r="B118" s="609" t="s">
        <v>308</v>
      </c>
      <c r="C118" s="609" t="s">
        <v>2652</v>
      </c>
      <c r="D118" s="610">
        <v>1500</v>
      </c>
    </row>
    <row r="119" spans="1:4">
      <c r="A119" s="609" t="s">
        <v>2653</v>
      </c>
      <c r="B119" s="609" t="s">
        <v>309</v>
      </c>
      <c r="C119" s="609" t="s">
        <v>2654</v>
      </c>
      <c r="D119" s="610">
        <v>1500</v>
      </c>
    </row>
    <row r="120" spans="1:4">
      <c r="A120" s="609" t="s">
        <v>2655</v>
      </c>
      <c r="B120" s="609" t="s">
        <v>310</v>
      </c>
      <c r="C120" s="609" t="s">
        <v>2656</v>
      </c>
      <c r="D120" s="610">
        <v>1500</v>
      </c>
    </row>
    <row r="121" spans="1:4">
      <c r="A121" s="609" t="s">
        <v>2657</v>
      </c>
      <c r="B121" s="609" t="s">
        <v>311</v>
      </c>
      <c r="C121" s="609" t="s">
        <v>2658</v>
      </c>
      <c r="D121" s="610">
        <v>1500</v>
      </c>
    </row>
    <row r="122" spans="1:4">
      <c r="A122" s="609" t="s">
        <v>2659</v>
      </c>
      <c r="B122" s="609" t="s">
        <v>312</v>
      </c>
      <c r="C122" s="609" t="s">
        <v>2660</v>
      </c>
      <c r="D122" s="610">
        <v>1500</v>
      </c>
    </row>
    <row r="123" spans="1:4">
      <c r="A123" s="609" t="s">
        <v>2661</v>
      </c>
      <c r="B123" s="609" t="s">
        <v>313</v>
      </c>
      <c r="C123" s="609" t="s">
        <v>2662</v>
      </c>
      <c r="D123" s="610">
        <v>1500</v>
      </c>
    </row>
    <row r="124" spans="1:4">
      <c r="A124" s="609" t="s">
        <v>2663</v>
      </c>
      <c r="B124" s="609" t="s">
        <v>314</v>
      </c>
      <c r="C124" s="609" t="s">
        <v>2664</v>
      </c>
      <c r="D124" s="610">
        <v>500</v>
      </c>
    </row>
    <row r="125" spans="1:4">
      <c r="A125" s="609" t="s">
        <v>2665</v>
      </c>
      <c r="B125" s="609" t="s">
        <v>315</v>
      </c>
      <c r="C125" s="609" t="s">
        <v>2666</v>
      </c>
      <c r="D125" s="610">
        <v>1500</v>
      </c>
    </row>
    <row r="126" spans="1:4">
      <c r="A126" s="609" t="s">
        <v>2667</v>
      </c>
      <c r="B126" s="609" t="s">
        <v>316</v>
      </c>
      <c r="C126" s="609" t="s">
        <v>2668</v>
      </c>
      <c r="D126" s="610">
        <v>3500</v>
      </c>
    </row>
    <row r="127" spans="1:4">
      <c r="A127" s="609" t="s">
        <v>2669</v>
      </c>
      <c r="B127" s="609" t="s">
        <v>316</v>
      </c>
      <c r="C127" s="609" t="s">
        <v>2670</v>
      </c>
      <c r="D127" s="610">
        <v>1500</v>
      </c>
    </row>
    <row r="128" spans="1:4">
      <c r="A128" s="609" t="s">
        <v>2671</v>
      </c>
      <c r="B128" s="609" t="s">
        <v>317</v>
      </c>
      <c r="C128" s="609" t="s">
        <v>2672</v>
      </c>
      <c r="D128" s="610">
        <v>1500</v>
      </c>
    </row>
    <row r="129" spans="1:4">
      <c r="A129" s="609" t="s">
        <v>2673</v>
      </c>
      <c r="B129" s="609" t="s">
        <v>2674</v>
      </c>
      <c r="C129" s="609" t="s">
        <v>2675</v>
      </c>
      <c r="D129" s="610">
        <v>7000</v>
      </c>
    </row>
    <row r="130" spans="1:4">
      <c r="A130" t="s">
        <v>1658</v>
      </c>
      <c r="B130"/>
      <c r="C130"/>
      <c r="D130"/>
    </row>
    <row r="131" spans="1:4">
      <c r="A131" s="1396" t="s">
        <v>2676</v>
      </c>
      <c r="B131" s="1391"/>
      <c r="C131" s="1391"/>
      <c r="D131" s="1391"/>
    </row>
    <row r="132" spans="1:4">
      <c r="A132" s="1396" t="s">
        <v>2677</v>
      </c>
      <c r="B132" s="1391"/>
      <c r="C132" s="1391"/>
      <c r="D132" s="1391"/>
    </row>
    <row r="133" spans="1:4">
      <c r="A133" s="1396" t="s">
        <v>2678</v>
      </c>
      <c r="B133" s="1391"/>
      <c r="C133" s="1391"/>
      <c r="D133" s="1391"/>
    </row>
    <row r="134" spans="1:4">
      <c r="A134" s="1396" t="s">
        <v>2679</v>
      </c>
      <c r="B134" s="1391"/>
      <c r="C134" s="1391"/>
      <c r="D134" s="1391"/>
    </row>
    <row r="135" spans="1:4">
      <c r="A135" s="1396" t="s">
        <v>2680</v>
      </c>
      <c r="B135" s="1391"/>
      <c r="C135" s="1391"/>
      <c r="D135" s="1391"/>
    </row>
    <row r="136" spans="1:4">
      <c r="A136" s="1396" t="s">
        <v>2681</v>
      </c>
      <c r="B136" s="1391"/>
      <c r="C136" s="1391"/>
      <c r="D136" s="1391"/>
    </row>
    <row r="137" spans="1:4">
      <c r="A137" s="1396" t="s">
        <v>2682</v>
      </c>
      <c r="B137" s="1391"/>
      <c r="C137" s="1391"/>
      <c r="D137" s="1391"/>
    </row>
    <row r="138" spans="1:4">
      <c r="A138" s="1396" t="s">
        <v>2683</v>
      </c>
      <c r="B138" s="1391"/>
      <c r="C138" s="1391"/>
      <c r="D138" s="1391"/>
    </row>
    <row r="139" spans="1:4">
      <c r="A139" s="1396" t="s">
        <v>2684</v>
      </c>
      <c r="B139" s="1391"/>
      <c r="C139" s="1391"/>
      <c r="D139" s="1391"/>
    </row>
  </sheetData>
  <mergeCells count="15">
    <mergeCell ref="A137:D137"/>
    <mergeCell ref="A138:D138"/>
    <mergeCell ref="A139:D139"/>
    <mergeCell ref="A131:D131"/>
    <mergeCell ref="A132:D132"/>
    <mergeCell ref="A133:D133"/>
    <mergeCell ref="A134:D134"/>
    <mergeCell ref="A135:D135"/>
    <mergeCell ref="A136:D136"/>
    <mergeCell ref="A104:D104"/>
    <mergeCell ref="A1:D1"/>
    <mergeCell ref="A5:D5"/>
    <mergeCell ref="A16:D16"/>
    <mergeCell ref="A19:D19"/>
    <mergeCell ref="A33:D33"/>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2">
    <tabColor theme="8" tint="-0.249977111117893"/>
  </sheetPr>
  <dimension ref="A1:L88"/>
  <sheetViews>
    <sheetView zoomScaleNormal="100" workbookViewId="0">
      <selection activeCell="G60" sqref="G60"/>
    </sheetView>
  </sheetViews>
  <sheetFormatPr defaultRowHeight="12.75"/>
  <cols>
    <col min="1" max="2" width="64.7109375" bestFit="1" customWidth="1"/>
    <col min="3" max="3" width="26.140625" bestFit="1" customWidth="1"/>
    <col min="4" max="4" width="16" bestFit="1" customWidth="1"/>
  </cols>
  <sheetData>
    <row r="1" spans="1:4">
      <c r="A1" s="1393" t="s">
        <v>2685</v>
      </c>
      <c r="B1" s="1391"/>
      <c r="C1" s="1391"/>
      <c r="D1" s="1391"/>
    </row>
    <row r="3" spans="1:4">
      <c r="A3" s="608" t="s">
        <v>2254</v>
      </c>
      <c r="B3" s="608" t="s">
        <v>171</v>
      </c>
      <c r="C3" s="608" t="s">
        <v>2255</v>
      </c>
      <c r="D3" s="608" t="s">
        <v>2256</v>
      </c>
    </row>
    <row r="4" spans="1:4" ht="14.25">
      <c r="A4" s="609" t="s">
        <v>2685</v>
      </c>
      <c r="B4" s="609" t="s">
        <v>1658</v>
      </c>
      <c r="C4" s="609" t="s">
        <v>2686</v>
      </c>
      <c r="D4" s="610">
        <v>0</v>
      </c>
    </row>
    <row r="5" spans="1:4">
      <c r="A5" t="s">
        <v>1658</v>
      </c>
    </row>
    <row r="6" spans="1:4">
      <c r="A6" s="1390" t="s">
        <v>2687</v>
      </c>
      <c r="B6" s="1391"/>
      <c r="C6" s="1391"/>
      <c r="D6" s="1391"/>
    </row>
    <row r="7" spans="1:4">
      <c r="A7" s="609" t="s">
        <v>2688</v>
      </c>
      <c r="B7" s="609" t="s">
        <v>2689</v>
      </c>
      <c r="C7" s="609" t="s">
        <v>2690</v>
      </c>
      <c r="D7" s="610">
        <v>2040</v>
      </c>
    </row>
    <row r="8" spans="1:4">
      <c r="A8" s="609" t="s">
        <v>2691</v>
      </c>
      <c r="B8" s="609" t="s">
        <v>2692</v>
      </c>
      <c r="C8" s="609" t="s">
        <v>2693</v>
      </c>
      <c r="D8" s="610">
        <v>204</v>
      </c>
    </row>
    <row r="10" spans="1:4">
      <c r="A10" s="1393" t="s">
        <v>2694</v>
      </c>
      <c r="B10" s="1391"/>
      <c r="C10" s="1391"/>
      <c r="D10" s="1391"/>
    </row>
    <row r="12" spans="1:4">
      <c r="A12" s="608" t="s">
        <v>2254</v>
      </c>
      <c r="B12" s="608" t="s">
        <v>171</v>
      </c>
      <c r="C12" s="608" t="s">
        <v>2255</v>
      </c>
      <c r="D12" s="608" t="s">
        <v>2256</v>
      </c>
    </row>
    <row r="13" spans="1:4" ht="14.25">
      <c r="A13" s="609" t="s">
        <v>2694</v>
      </c>
      <c r="B13" s="609" t="s">
        <v>2694</v>
      </c>
      <c r="C13" s="609" t="s">
        <v>2695</v>
      </c>
      <c r="D13" s="610">
        <v>2500</v>
      </c>
    </row>
    <row r="14" spans="1:4">
      <c r="A14" t="s">
        <v>1658</v>
      </c>
    </row>
    <row r="15" spans="1:4">
      <c r="A15" s="1390" t="s">
        <v>1764</v>
      </c>
      <c r="B15" s="1391"/>
      <c r="C15" s="1391"/>
      <c r="D15" s="1391"/>
    </row>
    <row r="16" spans="1:4">
      <c r="A16" s="609" t="s">
        <v>2696</v>
      </c>
      <c r="B16" s="609" t="s">
        <v>2697</v>
      </c>
      <c r="C16" s="609" t="s">
        <v>2698</v>
      </c>
      <c r="D16" s="610">
        <v>450</v>
      </c>
    </row>
    <row r="17" spans="1:4">
      <c r="A17" t="s">
        <v>1658</v>
      </c>
    </row>
    <row r="18" spans="1:4">
      <c r="A18" s="1390" t="s">
        <v>2699</v>
      </c>
      <c r="B18" s="1391"/>
      <c r="C18" s="1391"/>
      <c r="D18" s="1391"/>
    </row>
    <row r="19" spans="1:4">
      <c r="A19" s="609" t="s">
        <v>2700</v>
      </c>
      <c r="B19" s="609" t="s">
        <v>2701</v>
      </c>
      <c r="C19" s="609" t="s">
        <v>2702</v>
      </c>
      <c r="D19" s="610">
        <v>100</v>
      </c>
    </row>
    <row r="20" spans="1:4">
      <c r="A20" t="s">
        <v>1658</v>
      </c>
    </row>
    <row r="21" spans="1:4">
      <c r="A21" s="1396" t="s">
        <v>2703</v>
      </c>
      <c r="B21" s="1391"/>
      <c r="C21" s="1391"/>
      <c r="D21" s="1391"/>
    </row>
    <row r="24" spans="1:4">
      <c r="A24" s="608" t="s">
        <v>2254</v>
      </c>
      <c r="B24" s="608" t="s">
        <v>171</v>
      </c>
      <c r="C24" s="608" t="s">
        <v>2255</v>
      </c>
      <c r="D24" s="608" t="s">
        <v>2256</v>
      </c>
    </row>
    <row r="25" spans="1:4" ht="14.25">
      <c r="A25" s="609" t="s">
        <v>2704</v>
      </c>
      <c r="B25" s="609" t="s">
        <v>2704</v>
      </c>
      <c r="C25" s="609" t="s">
        <v>2705</v>
      </c>
      <c r="D25" s="610">
        <v>4500</v>
      </c>
    </row>
    <row r="26" spans="1:4">
      <c r="A26" t="s">
        <v>1658</v>
      </c>
    </row>
    <row r="27" spans="1:4">
      <c r="A27" s="1390" t="s">
        <v>1248</v>
      </c>
      <c r="B27" s="1391"/>
      <c r="C27" s="1391"/>
      <c r="D27" s="1391"/>
    </row>
    <row r="28" spans="1:4">
      <c r="A28" s="609" t="s">
        <v>1752</v>
      </c>
      <c r="B28" s="609" t="s">
        <v>1752</v>
      </c>
      <c r="C28" s="609" t="s">
        <v>1753</v>
      </c>
      <c r="D28" s="610">
        <v>5395</v>
      </c>
    </row>
    <row r="29" spans="1:4">
      <c r="A29" s="609" t="s">
        <v>1754</v>
      </c>
      <c r="B29" s="609" t="s">
        <v>1754</v>
      </c>
      <c r="C29" s="609" t="s">
        <v>1755</v>
      </c>
      <c r="D29" s="610">
        <v>12795</v>
      </c>
    </row>
    <row r="30" spans="1:4">
      <c r="A30" s="609" t="s">
        <v>1756</v>
      </c>
      <c r="B30" s="609" t="s">
        <v>1756</v>
      </c>
      <c r="C30" s="609" t="s">
        <v>1757</v>
      </c>
      <c r="D30" s="610">
        <v>23995</v>
      </c>
    </row>
    <row r="31" spans="1:4">
      <c r="A31" s="609" t="s">
        <v>1758</v>
      </c>
      <c r="B31" s="609" t="s">
        <v>1758</v>
      </c>
      <c r="C31" s="609" t="s">
        <v>1759</v>
      </c>
      <c r="D31" s="610">
        <v>44995</v>
      </c>
    </row>
    <row r="32" spans="1:4">
      <c r="A32" s="609" t="s">
        <v>1762</v>
      </c>
      <c r="B32" s="609" t="s">
        <v>1762</v>
      </c>
      <c r="C32" s="609" t="s">
        <v>1763</v>
      </c>
      <c r="D32" s="610">
        <v>210000</v>
      </c>
    </row>
    <row r="33" spans="1:12">
      <c r="A33" t="s">
        <v>1658</v>
      </c>
    </row>
    <row r="34" spans="1:12">
      <c r="A34" s="1390" t="s">
        <v>1764</v>
      </c>
      <c r="B34" s="1391"/>
      <c r="C34" s="1391"/>
      <c r="D34" s="1391"/>
    </row>
    <row r="35" spans="1:12">
      <c r="A35" s="609" t="s">
        <v>1765</v>
      </c>
      <c r="B35" s="609" t="s">
        <v>1765</v>
      </c>
      <c r="C35" s="609" t="s">
        <v>1766</v>
      </c>
      <c r="D35" s="610">
        <v>1079</v>
      </c>
    </row>
    <row r="36" spans="1:12">
      <c r="A36" s="609" t="s">
        <v>1767</v>
      </c>
      <c r="B36" s="609" t="s">
        <v>1767</v>
      </c>
      <c r="C36" s="609" t="s">
        <v>1768</v>
      </c>
      <c r="D36" s="610">
        <v>2559</v>
      </c>
    </row>
    <row r="37" spans="1:12">
      <c r="A37" s="609" t="s">
        <v>1769</v>
      </c>
      <c r="B37" s="609" t="s">
        <v>1769</v>
      </c>
      <c r="C37" s="609" t="s">
        <v>1770</v>
      </c>
      <c r="D37" s="610">
        <v>4799</v>
      </c>
    </row>
    <row r="38" spans="1:12">
      <c r="A38" s="609" t="s">
        <v>1771</v>
      </c>
      <c r="B38" s="609" t="s">
        <v>1771</v>
      </c>
      <c r="C38" s="609" t="s">
        <v>1772</v>
      </c>
      <c r="D38" s="610">
        <v>8999</v>
      </c>
    </row>
    <row r="39" spans="1:12">
      <c r="A39" s="609" t="s">
        <v>1773</v>
      </c>
      <c r="B39" s="609" t="s">
        <v>1773</v>
      </c>
      <c r="C39" s="609" t="s">
        <v>1774</v>
      </c>
      <c r="D39" s="610">
        <v>3075</v>
      </c>
      <c r="L39">
        <f>F39*0.0256</f>
        <v>0</v>
      </c>
    </row>
    <row r="40" spans="1:12">
      <c r="A40" s="609" t="s">
        <v>1775</v>
      </c>
      <c r="B40" s="609" t="s">
        <v>1775</v>
      </c>
      <c r="C40" s="609" t="s">
        <v>1776</v>
      </c>
      <c r="D40" s="610">
        <v>7293</v>
      </c>
    </row>
    <row r="41" spans="1:12">
      <c r="A41" s="609" t="s">
        <v>1777</v>
      </c>
      <c r="B41" s="609" t="s">
        <v>1777</v>
      </c>
      <c r="C41" s="609" t="s">
        <v>1778</v>
      </c>
      <c r="D41" s="610">
        <v>13677</v>
      </c>
    </row>
    <row r="42" spans="1:12">
      <c r="A42" s="609" t="s">
        <v>1779</v>
      </c>
      <c r="B42" s="609" t="s">
        <v>1779</v>
      </c>
      <c r="C42" s="609" t="s">
        <v>1780</v>
      </c>
      <c r="D42" s="610">
        <v>25647</v>
      </c>
    </row>
    <row r="43" spans="1:12">
      <c r="A43" s="609" t="s">
        <v>1781</v>
      </c>
      <c r="B43" s="609" t="s">
        <v>1781</v>
      </c>
      <c r="C43" s="609" t="s">
        <v>1782</v>
      </c>
      <c r="D43" s="610">
        <v>4856</v>
      </c>
    </row>
    <row r="44" spans="1:12">
      <c r="A44" s="609" t="s">
        <v>1783</v>
      </c>
      <c r="B44" s="609" t="s">
        <v>1783</v>
      </c>
      <c r="C44" s="609" t="s">
        <v>1784</v>
      </c>
      <c r="D44" s="610">
        <v>11516</v>
      </c>
    </row>
    <row r="45" spans="1:12">
      <c r="A45" s="609" t="s">
        <v>1785</v>
      </c>
      <c r="B45" s="609" t="s">
        <v>1785</v>
      </c>
      <c r="C45" s="609" t="s">
        <v>1786</v>
      </c>
      <c r="D45" s="610">
        <v>21596</v>
      </c>
    </row>
    <row r="46" spans="1:12">
      <c r="A46" s="609" t="s">
        <v>1787</v>
      </c>
      <c r="B46" s="609" t="s">
        <v>1787</v>
      </c>
      <c r="C46" s="609" t="s">
        <v>1788</v>
      </c>
      <c r="D46" s="610">
        <v>40496</v>
      </c>
    </row>
    <row r="47" spans="1:12">
      <c r="A47" s="609" t="s">
        <v>1801</v>
      </c>
      <c r="B47" s="609" t="s">
        <v>1801</v>
      </c>
      <c r="C47" s="609" t="s">
        <v>1802</v>
      </c>
      <c r="D47" s="610">
        <v>42000</v>
      </c>
    </row>
    <row r="48" spans="1:12">
      <c r="A48" s="609" t="s">
        <v>1803</v>
      </c>
      <c r="B48" s="609" t="s">
        <v>1803</v>
      </c>
      <c r="C48" s="609" t="s">
        <v>1804</v>
      </c>
      <c r="D48" s="610">
        <v>119700</v>
      </c>
    </row>
    <row r="49" spans="1:4">
      <c r="A49" s="609" t="s">
        <v>1805</v>
      </c>
      <c r="B49" s="609" t="s">
        <v>1805</v>
      </c>
      <c r="C49" s="609" t="s">
        <v>1806</v>
      </c>
      <c r="D49" s="610">
        <v>189000</v>
      </c>
    </row>
    <row r="50" spans="1:4">
      <c r="A50" s="609" t="s">
        <v>2706</v>
      </c>
      <c r="B50" s="609" t="s">
        <v>2706</v>
      </c>
      <c r="C50" s="609" t="s">
        <v>2707</v>
      </c>
      <c r="D50" s="610">
        <v>1980</v>
      </c>
    </row>
    <row r="51" spans="1:4">
      <c r="A51" s="609" t="s">
        <v>2708</v>
      </c>
      <c r="B51" s="609" t="s">
        <v>2708</v>
      </c>
      <c r="C51" s="609" t="s">
        <v>2709</v>
      </c>
      <c r="D51" s="610">
        <v>1200</v>
      </c>
    </row>
    <row r="52" spans="1:4">
      <c r="A52" s="609" t="s">
        <v>2710</v>
      </c>
      <c r="B52" s="609" t="s">
        <v>2710</v>
      </c>
      <c r="C52" s="609" t="s">
        <v>2711</v>
      </c>
      <c r="D52" s="610">
        <v>3420</v>
      </c>
    </row>
    <row r="53" spans="1:4">
      <c r="A53" s="609" t="s">
        <v>2712</v>
      </c>
      <c r="B53" s="609" t="s">
        <v>2712</v>
      </c>
      <c r="C53" s="609" t="s">
        <v>2713</v>
      </c>
      <c r="D53" s="610">
        <v>5400</v>
      </c>
    </row>
    <row r="54" spans="1:4">
      <c r="A54" t="s">
        <v>1658</v>
      </c>
    </row>
    <row r="55" spans="1:4">
      <c r="A55" s="1390" t="s">
        <v>1807</v>
      </c>
      <c r="B55" s="1391"/>
      <c r="C55" s="1391"/>
      <c r="D55" s="1391"/>
    </row>
    <row r="56" spans="1:4">
      <c r="A56" s="609" t="s">
        <v>2714</v>
      </c>
      <c r="B56" s="609" t="s">
        <v>2714</v>
      </c>
      <c r="C56" s="609" t="s">
        <v>2715</v>
      </c>
      <c r="D56" s="610">
        <v>1500</v>
      </c>
    </row>
    <row r="57" spans="1:4">
      <c r="A57" s="609" t="s">
        <v>2716</v>
      </c>
      <c r="B57" s="609" t="s">
        <v>2716</v>
      </c>
      <c r="C57" s="609" t="s">
        <v>2717</v>
      </c>
      <c r="D57" s="610">
        <v>4000</v>
      </c>
    </row>
    <row r="58" spans="1:4">
      <c r="A58" s="609" t="s">
        <v>2718</v>
      </c>
      <c r="B58" s="609" t="s">
        <v>2718</v>
      </c>
      <c r="C58" s="609" t="s">
        <v>2719</v>
      </c>
      <c r="D58" s="610">
        <v>4000</v>
      </c>
    </row>
    <row r="59" spans="1:4">
      <c r="A59" s="609" t="s">
        <v>2720</v>
      </c>
      <c r="B59" s="609" t="s">
        <v>2720</v>
      </c>
      <c r="C59" s="609" t="s">
        <v>2721</v>
      </c>
      <c r="D59" s="610">
        <v>800</v>
      </c>
    </row>
    <row r="60" spans="1:4">
      <c r="A60" s="609" t="s">
        <v>2722</v>
      </c>
      <c r="B60" s="609" t="s">
        <v>2722</v>
      </c>
      <c r="C60" s="609" t="s">
        <v>2723</v>
      </c>
      <c r="D60" s="610">
        <v>5200</v>
      </c>
    </row>
    <row r="61" spans="1:4">
      <c r="A61" t="s">
        <v>1658</v>
      </c>
    </row>
    <row r="62" spans="1:4">
      <c r="A62" s="1390" t="s">
        <v>1905</v>
      </c>
      <c r="B62" s="1391"/>
      <c r="C62" s="1391"/>
      <c r="D62" s="1391"/>
    </row>
    <row r="63" spans="1:4">
      <c r="A63" s="609" t="s">
        <v>2724</v>
      </c>
      <c r="B63" s="609" t="s">
        <v>2724</v>
      </c>
      <c r="C63" s="609" t="s">
        <v>2725</v>
      </c>
      <c r="D63" s="610">
        <v>300</v>
      </c>
    </row>
    <row r="64" spans="1:4">
      <c r="A64" s="609" t="s">
        <v>2726</v>
      </c>
      <c r="B64" s="609" t="s">
        <v>2726</v>
      </c>
      <c r="C64" s="609" t="s">
        <v>2727</v>
      </c>
      <c r="D64" s="610">
        <v>855</v>
      </c>
    </row>
    <row r="65" spans="1:4">
      <c r="A65" s="609" t="s">
        <v>2728</v>
      </c>
      <c r="B65" s="609" t="s">
        <v>2728</v>
      </c>
      <c r="C65" s="609" t="s">
        <v>2729</v>
      </c>
      <c r="D65" s="610">
        <v>1350</v>
      </c>
    </row>
    <row r="66" spans="1:4">
      <c r="A66" s="609" t="s">
        <v>2730</v>
      </c>
      <c r="B66" s="609" t="s">
        <v>2730</v>
      </c>
      <c r="C66" s="609" t="s">
        <v>2731</v>
      </c>
      <c r="D66" s="610">
        <v>800</v>
      </c>
    </row>
    <row r="67" spans="1:4">
      <c r="A67" s="609" t="s">
        <v>2732</v>
      </c>
      <c r="B67" s="609" t="s">
        <v>2732</v>
      </c>
      <c r="C67" s="609" t="s">
        <v>2733</v>
      </c>
      <c r="D67" s="610">
        <v>2280</v>
      </c>
    </row>
    <row r="68" spans="1:4">
      <c r="A68" s="609" t="s">
        <v>2734</v>
      </c>
      <c r="B68" s="609" t="s">
        <v>2734</v>
      </c>
      <c r="C68" s="609" t="s">
        <v>2735</v>
      </c>
      <c r="D68" s="610">
        <v>3600</v>
      </c>
    </row>
    <row r="69" spans="1:4">
      <c r="A69" s="609" t="s">
        <v>2736</v>
      </c>
      <c r="B69" s="609" t="s">
        <v>2736</v>
      </c>
      <c r="C69" s="609" t="s">
        <v>2737</v>
      </c>
      <c r="D69" s="610">
        <v>800</v>
      </c>
    </row>
    <row r="70" spans="1:4">
      <c r="A70" s="609" t="s">
        <v>2738</v>
      </c>
      <c r="B70" s="609" t="s">
        <v>2738</v>
      </c>
      <c r="C70" s="609" t="s">
        <v>2739</v>
      </c>
      <c r="D70" s="610">
        <v>2280</v>
      </c>
    </row>
    <row r="71" spans="1:4">
      <c r="A71" s="609" t="s">
        <v>2740</v>
      </c>
      <c r="B71" s="609" t="s">
        <v>2740</v>
      </c>
      <c r="C71" s="609" t="s">
        <v>2741</v>
      </c>
      <c r="D71" s="610">
        <v>3600</v>
      </c>
    </row>
    <row r="72" spans="1:4">
      <c r="A72" s="609" t="s">
        <v>2742</v>
      </c>
      <c r="B72" s="609" t="s">
        <v>2742</v>
      </c>
      <c r="C72" s="609" t="s">
        <v>2743</v>
      </c>
      <c r="D72" s="610">
        <v>160</v>
      </c>
    </row>
    <row r="73" spans="1:4">
      <c r="A73" s="609" t="s">
        <v>2744</v>
      </c>
      <c r="B73" s="609" t="s">
        <v>2744</v>
      </c>
      <c r="C73" s="609" t="s">
        <v>2745</v>
      </c>
      <c r="D73" s="610">
        <v>456</v>
      </c>
    </row>
    <row r="74" spans="1:4">
      <c r="A74" s="609" t="s">
        <v>2746</v>
      </c>
      <c r="B74" s="609" t="s">
        <v>2746</v>
      </c>
      <c r="C74" s="609" t="s">
        <v>2747</v>
      </c>
      <c r="D74" s="610">
        <v>720</v>
      </c>
    </row>
    <row r="75" spans="1:4">
      <c r="A75" s="609" t="s">
        <v>2748</v>
      </c>
      <c r="B75" s="609" t="s">
        <v>2748</v>
      </c>
      <c r="C75" s="609" t="s">
        <v>2749</v>
      </c>
      <c r="D75" s="610">
        <v>1040</v>
      </c>
    </row>
    <row r="76" spans="1:4">
      <c r="A76" s="609" t="s">
        <v>2750</v>
      </c>
      <c r="B76" s="609" t="s">
        <v>2750</v>
      </c>
      <c r="C76" s="609" t="s">
        <v>2751</v>
      </c>
      <c r="D76" s="610">
        <v>2964</v>
      </c>
    </row>
    <row r="77" spans="1:4">
      <c r="A77" s="609" t="s">
        <v>2752</v>
      </c>
      <c r="B77" s="609" t="s">
        <v>2752</v>
      </c>
      <c r="C77" s="609" t="s">
        <v>2753</v>
      </c>
      <c r="D77" s="610">
        <v>4680</v>
      </c>
    </row>
    <row r="78" spans="1:4">
      <c r="A78" s="609" t="s">
        <v>2092</v>
      </c>
      <c r="B78" s="609" t="s">
        <v>2093</v>
      </c>
      <c r="C78" s="609" t="s">
        <v>2094</v>
      </c>
      <c r="D78" s="610">
        <v>80</v>
      </c>
    </row>
    <row r="79" spans="1:4">
      <c r="A79" s="609" t="s">
        <v>2095</v>
      </c>
      <c r="B79" s="609" t="s">
        <v>2096</v>
      </c>
      <c r="C79" s="609" t="s">
        <v>2097</v>
      </c>
      <c r="D79" s="610">
        <v>228</v>
      </c>
    </row>
    <row r="80" spans="1:4">
      <c r="A80" s="609" t="s">
        <v>2098</v>
      </c>
      <c r="B80" s="609" t="s">
        <v>2099</v>
      </c>
      <c r="C80" s="609" t="s">
        <v>2100</v>
      </c>
      <c r="D80" s="610">
        <v>360</v>
      </c>
    </row>
    <row r="81" spans="1:4">
      <c r="A81" t="s">
        <v>1658</v>
      </c>
    </row>
    <row r="82" spans="1:4">
      <c r="A82" s="1390" t="s">
        <v>464</v>
      </c>
      <c r="B82" s="1391"/>
      <c r="C82" s="1391"/>
      <c r="D82" s="1391"/>
    </row>
    <row r="83" spans="1:4">
      <c r="A83" s="609" t="s">
        <v>2188</v>
      </c>
      <c r="B83" s="609" t="s">
        <v>2188</v>
      </c>
      <c r="C83" s="609" t="s">
        <v>2189</v>
      </c>
      <c r="D83" s="610">
        <v>350</v>
      </c>
    </row>
    <row r="84" spans="1:4">
      <c r="A84" s="609" t="s">
        <v>2190</v>
      </c>
      <c r="B84" s="609" t="s">
        <v>2190</v>
      </c>
      <c r="C84" s="609" t="s">
        <v>2191</v>
      </c>
      <c r="D84" s="610">
        <v>800</v>
      </c>
    </row>
    <row r="85" spans="1:4">
      <c r="A85" s="609" t="s">
        <v>2754</v>
      </c>
      <c r="B85" s="609" t="s">
        <v>2754</v>
      </c>
      <c r="C85" s="609" t="s">
        <v>2755</v>
      </c>
      <c r="D85" s="610">
        <v>650</v>
      </c>
    </row>
    <row r="86" spans="1:4">
      <c r="A86" s="609" t="s">
        <v>2756</v>
      </c>
      <c r="B86" s="609" t="s">
        <v>2756</v>
      </c>
      <c r="C86" s="609" t="s">
        <v>2757</v>
      </c>
      <c r="D86" s="610">
        <v>1300</v>
      </c>
    </row>
    <row r="87" spans="1:4">
      <c r="A87" t="s">
        <v>1658</v>
      </c>
    </row>
    <row r="88" spans="1:4">
      <c r="A88" s="1396" t="s">
        <v>2758</v>
      </c>
      <c r="B88" s="1391"/>
      <c r="C88" s="1391"/>
      <c r="D88" s="1391"/>
    </row>
  </sheetData>
  <mergeCells count="12">
    <mergeCell ref="A88:D88"/>
    <mergeCell ref="A1:D1"/>
    <mergeCell ref="A6:D6"/>
    <mergeCell ref="A10:D10"/>
    <mergeCell ref="A15:D15"/>
    <mergeCell ref="A18:D18"/>
    <mergeCell ref="A21:D21"/>
    <mergeCell ref="A27:D27"/>
    <mergeCell ref="A34:D34"/>
    <mergeCell ref="A55:D55"/>
    <mergeCell ref="A62:D62"/>
    <mergeCell ref="A82:D82"/>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3">
    <tabColor rgb="FFFF0000"/>
  </sheetPr>
  <dimension ref="A1:L39"/>
  <sheetViews>
    <sheetView zoomScaleNormal="100" workbookViewId="0">
      <selection activeCell="G60" sqref="G60"/>
    </sheetView>
  </sheetViews>
  <sheetFormatPr defaultRowHeight="12.75"/>
  <cols>
    <col min="1" max="1" width="28.42578125" bestFit="1" customWidth="1"/>
    <col min="2" max="2" width="24.7109375" bestFit="1" customWidth="1"/>
    <col min="3" max="3" width="12.28515625" bestFit="1" customWidth="1"/>
    <col min="4" max="4" width="16" bestFit="1" customWidth="1"/>
  </cols>
  <sheetData>
    <row r="1" spans="1:4" s="613" customFormat="1" ht="30">
      <c r="A1" s="1392" t="s">
        <v>2763</v>
      </c>
      <c r="B1" s="1403"/>
      <c r="C1" s="1403"/>
      <c r="D1" s="1403"/>
    </row>
    <row r="2" spans="1:4">
      <c r="A2" s="615" t="s">
        <v>2254</v>
      </c>
      <c r="B2" s="615" t="s">
        <v>171</v>
      </c>
      <c r="C2" s="615" t="s">
        <v>2255</v>
      </c>
      <c r="D2" s="615" t="s">
        <v>2256</v>
      </c>
    </row>
    <row r="3" spans="1:4" ht="63.4" customHeight="1">
      <c r="A3" t="s">
        <v>1658</v>
      </c>
    </row>
    <row r="4" spans="1:4">
      <c r="A4" s="609" t="s">
        <v>2764</v>
      </c>
      <c r="B4" s="609" t="s">
        <v>2765</v>
      </c>
      <c r="C4" s="609" t="s">
        <v>2766</v>
      </c>
      <c r="D4" s="610">
        <v>79</v>
      </c>
    </row>
    <row r="5" spans="1:4">
      <c r="A5" s="609" t="s">
        <v>2767</v>
      </c>
      <c r="B5" s="609" t="s">
        <v>2765</v>
      </c>
      <c r="C5" s="609" t="s">
        <v>2768</v>
      </c>
      <c r="D5" s="610">
        <v>207</v>
      </c>
    </row>
    <row r="6" spans="1:4">
      <c r="A6" s="609" t="s">
        <v>2769</v>
      </c>
      <c r="B6" s="609" t="s">
        <v>2765</v>
      </c>
      <c r="C6" s="609" t="s">
        <v>2770</v>
      </c>
      <c r="D6" s="610">
        <v>256</v>
      </c>
    </row>
    <row r="7" spans="1:4">
      <c r="A7" s="609" t="s">
        <v>2771</v>
      </c>
      <c r="B7" s="609" t="s">
        <v>2765</v>
      </c>
      <c r="C7" s="609" t="s">
        <v>2772</v>
      </c>
      <c r="D7" s="610">
        <v>295</v>
      </c>
    </row>
    <row r="39" spans="12:12">
      <c r="L39">
        <f>F39*0.0256</f>
        <v>0</v>
      </c>
    </row>
  </sheetData>
  <mergeCells count="1">
    <mergeCell ref="A1:D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8569-3550-40BA-8317-CD87B46C5557}">
  <sheetPr>
    <tabColor indexed="62"/>
  </sheetPr>
  <dimension ref="A1:P106"/>
  <sheetViews>
    <sheetView zoomScale="96" zoomScaleNormal="96" workbookViewId="0">
      <selection activeCell="A4" sqref="A4:O4"/>
    </sheetView>
  </sheetViews>
  <sheetFormatPr defaultColWidth="8.85546875" defaultRowHeight="12.75"/>
  <cols>
    <col min="1" max="1" width="14.42578125" style="378" customWidth="1"/>
    <col min="2" max="2" width="8.7109375" style="378" customWidth="1"/>
    <col min="3" max="3" width="20.7109375" style="769" bestFit="1" customWidth="1"/>
    <col min="4" max="4" width="49.28515625" style="378" customWidth="1"/>
    <col min="5" max="5" width="16.140625" style="378" customWidth="1"/>
    <col min="6" max="6" width="15.42578125" style="455" customWidth="1"/>
    <col min="7" max="7" width="20.5703125" style="455" customWidth="1"/>
    <col min="8" max="8" width="23.42578125" style="378" customWidth="1"/>
    <col min="9" max="9" width="20.5703125" style="378" customWidth="1"/>
    <col min="10" max="10" width="24.28515625" style="378" customWidth="1"/>
    <col min="11" max="11" width="21.140625" style="378" customWidth="1"/>
    <col min="12" max="12" width="23.85546875" style="378" customWidth="1"/>
    <col min="13" max="13" width="21.85546875" style="378" customWidth="1"/>
    <col min="14" max="14" width="23.42578125" style="378" customWidth="1"/>
    <col min="15" max="15" width="21.85546875" style="378" customWidth="1"/>
    <col min="16" max="16384" width="8.85546875" style="378"/>
  </cols>
  <sheetData>
    <row r="1" spans="1:15" s="437" customFormat="1" ht="13.5" thickBot="1">
      <c r="B1" s="852"/>
      <c r="C1" s="852"/>
      <c r="D1" s="380"/>
      <c r="E1" s="380"/>
      <c r="F1" s="381"/>
      <c r="G1" s="381"/>
      <c r="H1" s="381"/>
      <c r="I1" s="381"/>
      <c r="J1" s="381"/>
      <c r="K1" s="380"/>
      <c r="L1" s="381"/>
    </row>
    <row r="2" spans="1:15" s="437" customFormat="1">
      <c r="A2" s="853"/>
      <c r="B2" s="854"/>
      <c r="C2" s="854"/>
      <c r="D2" s="384"/>
      <c r="E2" s="384"/>
      <c r="F2" s="385"/>
      <c r="G2" s="385"/>
      <c r="H2" s="385"/>
      <c r="I2" s="386"/>
      <c r="J2" s="386"/>
      <c r="K2" s="386"/>
      <c r="L2" s="386"/>
      <c r="M2" s="853"/>
      <c r="N2" s="853"/>
      <c r="O2" s="853"/>
    </row>
    <row r="3" spans="1:15" s="437" customFormat="1">
      <c r="B3" s="852"/>
      <c r="C3" s="852"/>
      <c r="D3" s="380"/>
      <c r="E3" s="380"/>
      <c r="F3" s="381"/>
      <c r="G3" s="381"/>
      <c r="H3" s="381"/>
      <c r="I3" s="387"/>
      <c r="J3" s="387"/>
      <c r="K3" s="387"/>
      <c r="L3" s="387"/>
    </row>
    <row r="4" spans="1:15" s="437" customFormat="1" ht="27">
      <c r="A4" s="1141" t="s">
        <v>4459</v>
      </c>
      <c r="B4" s="1023"/>
      <c r="C4" s="1023"/>
      <c r="D4" s="1023"/>
      <c r="E4" s="1023"/>
      <c r="F4" s="1023"/>
      <c r="G4" s="1023"/>
      <c r="H4" s="1023"/>
      <c r="I4" s="1023"/>
      <c r="J4" s="1023"/>
      <c r="K4" s="1023"/>
      <c r="L4" s="1023"/>
      <c r="M4" s="1023"/>
      <c r="N4" s="1023"/>
      <c r="O4" s="1023"/>
    </row>
    <row r="5" spans="1:15" ht="56.25" customHeight="1">
      <c r="A5" s="1142" t="s">
        <v>702</v>
      </c>
      <c r="B5" s="1143"/>
      <c r="C5" s="1143"/>
      <c r="D5" s="1143"/>
      <c r="E5" s="1143"/>
      <c r="F5" s="1143"/>
      <c r="G5" s="1143"/>
      <c r="H5" s="1143"/>
      <c r="I5" s="1143"/>
      <c r="J5" s="1143"/>
      <c r="K5" s="1143"/>
      <c r="L5" s="1143"/>
      <c r="M5" s="1143"/>
      <c r="N5" s="1143"/>
      <c r="O5" s="1143"/>
    </row>
    <row r="6" spans="1:15" ht="13.5" thickBot="1">
      <c r="A6" s="389"/>
      <c r="B6" s="389"/>
      <c r="C6" s="389"/>
      <c r="D6" s="389"/>
      <c r="E6" s="389"/>
      <c r="F6" s="389"/>
      <c r="G6" s="389"/>
      <c r="H6" s="389"/>
      <c r="I6" s="389"/>
      <c r="J6" s="389"/>
      <c r="K6" s="389"/>
      <c r="L6" s="389"/>
      <c r="M6" s="389"/>
      <c r="N6" s="389"/>
      <c r="O6" s="389"/>
    </row>
    <row r="7" spans="1:15">
      <c r="B7" s="769"/>
    </row>
    <row r="8" spans="1:15">
      <c r="B8" s="769"/>
    </row>
    <row r="9" spans="1:15" ht="14.25">
      <c r="B9" s="851"/>
      <c r="C9" s="851"/>
      <c r="D9" s="391"/>
      <c r="E9" s="391"/>
      <c r="F9" s="391"/>
      <c r="G9" s="391"/>
      <c r="H9" s="391"/>
      <c r="I9" s="391"/>
      <c r="J9" s="391"/>
      <c r="K9" s="387"/>
      <c r="L9" s="392"/>
      <c r="M9" s="387"/>
      <c r="N9" s="387"/>
    </row>
    <row r="10" spans="1:15" ht="14.25">
      <c r="B10" s="404"/>
      <c r="C10" s="404"/>
      <c r="D10" s="387"/>
      <c r="E10" s="387"/>
      <c r="F10" s="1026" t="s">
        <v>3</v>
      </c>
      <c r="G10" s="1026"/>
      <c r="H10" s="1023"/>
      <c r="I10" s="1023"/>
      <c r="K10" s="387"/>
      <c r="L10" s="392"/>
      <c r="M10" s="395"/>
      <c r="N10" s="387"/>
    </row>
    <row r="11" spans="1:15" ht="14.25">
      <c r="B11" s="404"/>
      <c r="C11" s="404"/>
      <c r="D11" s="387"/>
      <c r="E11" s="387"/>
      <c r="F11" s="387"/>
      <c r="G11" s="392" t="s">
        <v>210</v>
      </c>
      <c r="H11" s="850" t="s">
        <v>458</v>
      </c>
      <c r="I11" s="394"/>
      <c r="J11" s="394"/>
      <c r="K11" s="399"/>
      <c r="L11" s="392"/>
      <c r="M11" s="387"/>
      <c r="N11" s="387"/>
    </row>
    <row r="12" spans="1:15" ht="14.25">
      <c r="B12" s="404"/>
      <c r="C12" s="404"/>
      <c r="D12" s="387"/>
      <c r="E12" s="387"/>
      <c r="F12" s="387"/>
      <c r="G12" s="392" t="s">
        <v>212</v>
      </c>
      <c r="H12" s="850" t="s">
        <v>459</v>
      </c>
      <c r="I12" s="394"/>
      <c r="J12" s="394"/>
      <c r="K12" s="399"/>
      <c r="L12" s="392"/>
      <c r="M12" s="387"/>
      <c r="N12" s="387"/>
    </row>
    <row r="13" spans="1:15">
      <c r="B13" s="404"/>
      <c r="C13" s="404"/>
      <c r="D13" s="387"/>
      <c r="E13" s="387"/>
      <c r="F13" s="387"/>
      <c r="G13" s="392" t="s">
        <v>214</v>
      </c>
      <c r="H13" s="850" t="s">
        <v>460</v>
      </c>
    </row>
    <row r="14" spans="1:15" ht="14.25">
      <c r="B14" s="404"/>
      <c r="C14" s="404"/>
      <c r="D14" s="387"/>
      <c r="E14" s="387"/>
      <c r="F14" s="387"/>
      <c r="G14" s="392" t="s">
        <v>8</v>
      </c>
      <c r="H14" s="387" t="s">
        <v>96</v>
      </c>
      <c r="I14" s="394"/>
      <c r="J14" s="394"/>
      <c r="K14" s="394"/>
      <c r="L14" s="394"/>
    </row>
    <row r="15" spans="1:15" ht="14.25">
      <c r="B15" s="404"/>
      <c r="C15" s="404"/>
      <c r="D15" s="387"/>
      <c r="E15" s="387"/>
      <c r="F15" s="387"/>
      <c r="G15" s="392" t="s">
        <v>9</v>
      </c>
      <c r="H15" s="387" t="s">
        <v>709</v>
      </c>
      <c r="I15" s="394"/>
      <c r="J15" s="394"/>
      <c r="K15" s="394"/>
      <c r="L15" s="394"/>
    </row>
    <row r="16" spans="1:15" ht="14.25">
      <c r="B16" s="404"/>
      <c r="C16" s="404"/>
      <c r="D16" s="387"/>
      <c r="E16" s="387"/>
      <c r="F16" s="387"/>
      <c r="G16" s="392" t="s">
        <v>10</v>
      </c>
      <c r="H16" s="387" t="s">
        <v>215</v>
      </c>
      <c r="I16" s="394"/>
      <c r="J16" s="394"/>
      <c r="K16" s="394"/>
      <c r="L16" s="394"/>
    </row>
    <row r="17" spans="1:15" ht="14.25">
      <c r="B17" s="404"/>
      <c r="C17" s="404"/>
      <c r="D17" s="387"/>
      <c r="E17" s="387"/>
      <c r="F17" s="387"/>
      <c r="G17" s="392" t="s">
        <v>12</v>
      </c>
      <c r="H17" s="387" t="s">
        <v>710</v>
      </c>
      <c r="I17" s="394"/>
      <c r="J17" s="394"/>
      <c r="K17" s="394"/>
      <c r="L17" s="394"/>
    </row>
    <row r="18" spans="1:15" ht="14.25">
      <c r="B18" s="404"/>
      <c r="C18" s="404"/>
      <c r="D18" s="387"/>
      <c r="E18" s="387"/>
      <c r="F18" s="387"/>
      <c r="G18" s="392"/>
      <c r="H18" s="387" t="s">
        <v>711</v>
      </c>
      <c r="I18" s="394"/>
      <c r="J18" s="394"/>
      <c r="K18" s="394"/>
      <c r="L18" s="394"/>
    </row>
    <row r="19" spans="1:15" ht="14.25">
      <c r="B19" s="404"/>
      <c r="C19" s="404"/>
      <c r="D19" s="387"/>
      <c r="E19" s="387"/>
      <c r="F19" s="387"/>
      <c r="G19" s="392" t="s">
        <v>13</v>
      </c>
      <c r="H19" s="387" t="s">
        <v>60</v>
      </c>
      <c r="I19" s="397"/>
      <c r="J19" s="397"/>
      <c r="K19" s="397"/>
      <c r="L19" s="397"/>
    </row>
    <row r="20" spans="1:15" ht="14.25">
      <c r="B20" s="404"/>
      <c r="C20" s="404"/>
      <c r="D20" s="387"/>
      <c r="E20" s="387"/>
      <c r="F20" s="387"/>
      <c r="G20" s="392" t="s">
        <v>16</v>
      </c>
      <c r="H20" s="387" t="s">
        <v>218</v>
      </c>
      <c r="I20" s="397"/>
      <c r="J20" s="397"/>
      <c r="K20" s="397"/>
      <c r="L20" s="397"/>
    </row>
    <row r="21" spans="1:15" ht="14.25">
      <c r="B21" s="404"/>
      <c r="C21" s="404"/>
      <c r="D21" s="387"/>
      <c r="E21" s="387"/>
      <c r="F21" s="387"/>
      <c r="G21" s="392" t="s">
        <v>219</v>
      </c>
      <c r="H21" s="850" t="s">
        <v>706</v>
      </c>
      <c r="I21" s="397"/>
      <c r="J21" s="397"/>
      <c r="K21" s="397"/>
      <c r="L21" s="397"/>
    </row>
    <row r="22" spans="1:15" ht="14.25">
      <c r="B22" s="404"/>
      <c r="C22" s="404"/>
      <c r="D22" s="387"/>
      <c r="E22" s="387"/>
      <c r="F22" s="387"/>
      <c r="G22" s="392" t="s">
        <v>220</v>
      </c>
      <c r="H22" s="850" t="s">
        <v>461</v>
      </c>
      <c r="I22" s="397"/>
      <c r="J22" s="397"/>
      <c r="K22" s="397"/>
      <c r="L22" s="397"/>
    </row>
    <row r="23" spans="1:15" ht="14.25">
      <c r="B23" s="404"/>
      <c r="C23" s="404"/>
      <c r="D23" s="387"/>
      <c r="E23" s="387"/>
      <c r="F23" s="387"/>
      <c r="G23" s="392" t="s">
        <v>21</v>
      </c>
      <c r="H23" s="850" t="s">
        <v>707</v>
      </c>
      <c r="I23" s="397"/>
      <c r="J23" s="397"/>
      <c r="K23" s="397"/>
      <c r="L23" s="397"/>
    </row>
    <row r="24" spans="1:15" ht="13.5" customHeight="1">
      <c r="B24" s="404"/>
      <c r="C24" s="404"/>
      <c r="D24" s="387"/>
      <c r="E24" s="387"/>
      <c r="F24" s="387"/>
      <c r="G24" s="392" t="s">
        <v>22</v>
      </c>
      <c r="H24" s="400" t="s">
        <v>708</v>
      </c>
      <c r="I24" s="397"/>
      <c r="J24" s="397"/>
      <c r="K24" s="397"/>
      <c r="L24" s="397"/>
    </row>
    <row r="25" spans="1:15" s="387" customFormat="1" ht="15" thickBot="1">
      <c r="A25" s="1104" t="s">
        <v>23</v>
      </c>
      <c r="B25" s="1037"/>
      <c r="C25" s="1037"/>
      <c r="D25" s="1037"/>
      <c r="E25" s="1037"/>
      <c r="F25" s="1037"/>
      <c r="G25" s="1037"/>
      <c r="H25" s="1037"/>
      <c r="I25" s="1037"/>
      <c r="J25" s="1037"/>
      <c r="K25" s="1037"/>
      <c r="L25" s="1037"/>
      <c r="M25" s="1037"/>
      <c r="N25" s="1037"/>
      <c r="O25" s="1037"/>
    </row>
    <row r="26" spans="1:15" s="387" customFormat="1" ht="14.25">
      <c r="A26" s="1098" t="s">
        <v>221</v>
      </c>
      <c r="B26" s="1099"/>
      <c r="C26" s="1099"/>
      <c r="D26" s="1100"/>
      <c r="E26" s="1101" t="s">
        <v>222</v>
      </c>
      <c r="F26" s="1061"/>
      <c r="G26" s="1061"/>
      <c r="H26" s="1061"/>
      <c r="I26" s="1061"/>
      <c r="J26" s="1061"/>
      <c r="K26" s="1102"/>
      <c r="L26" s="1098" t="s">
        <v>223</v>
      </c>
      <c r="M26" s="1061"/>
      <c r="N26" s="1061"/>
      <c r="O26" s="1102"/>
    </row>
    <row r="27" spans="1:15" s="387" customFormat="1" ht="12.75" customHeight="1">
      <c r="A27" s="1030" t="s">
        <v>160</v>
      </c>
      <c r="B27" s="1031"/>
      <c r="C27" s="1031"/>
      <c r="D27" s="401" t="s">
        <v>161</v>
      </c>
      <c r="E27" s="1030" t="s">
        <v>160</v>
      </c>
      <c r="F27" s="1023"/>
      <c r="G27" s="1023"/>
      <c r="H27" s="1023"/>
      <c r="I27" s="1109" t="s">
        <v>162</v>
      </c>
      <c r="J27" s="1139"/>
      <c r="K27" s="1106"/>
      <c r="L27" s="1030" t="s">
        <v>160</v>
      </c>
      <c r="M27" s="1023"/>
      <c r="N27" s="1110" t="s">
        <v>162</v>
      </c>
      <c r="O27" s="1111"/>
    </row>
    <row r="28" spans="1:15" s="387" customFormat="1" ht="12.75" customHeight="1">
      <c r="A28" s="1030" t="s">
        <v>43</v>
      </c>
      <c r="B28" s="1031"/>
      <c r="C28" s="1031"/>
      <c r="D28" s="402">
        <v>0</v>
      </c>
      <c r="E28" s="1030" t="s">
        <v>43</v>
      </c>
      <c r="F28" s="1023"/>
      <c r="G28" s="1023"/>
      <c r="H28" s="1023"/>
      <c r="I28" s="1105">
        <v>450</v>
      </c>
      <c r="J28" s="1139"/>
      <c r="K28" s="1106"/>
      <c r="L28" s="1030" t="s">
        <v>43</v>
      </c>
      <c r="M28" s="1023"/>
      <c r="N28" s="1107">
        <v>675</v>
      </c>
      <c r="O28" s="1108"/>
    </row>
    <row r="29" spans="1:15" s="387" customFormat="1" ht="12.75" customHeight="1">
      <c r="A29" s="1030" t="s">
        <v>164</v>
      </c>
      <c r="B29" s="1031"/>
      <c r="C29" s="1031"/>
      <c r="D29" s="401" t="s">
        <v>165</v>
      </c>
      <c r="E29" s="1030" t="s">
        <v>164</v>
      </c>
      <c r="F29" s="1023"/>
      <c r="G29" s="1023"/>
      <c r="H29" s="1023"/>
      <c r="I29" s="1109" t="s">
        <v>44</v>
      </c>
      <c r="J29" s="1139"/>
      <c r="K29" s="1106"/>
      <c r="L29" s="1030" t="s">
        <v>164</v>
      </c>
      <c r="M29" s="1023"/>
      <c r="N29" s="1110" t="s">
        <v>45</v>
      </c>
      <c r="O29" s="1111"/>
    </row>
    <row r="30" spans="1:15" s="387" customFormat="1" ht="12.75" customHeight="1">
      <c r="A30" s="1030" t="s">
        <v>46</v>
      </c>
      <c r="B30" s="1031"/>
      <c r="C30" s="1031"/>
      <c r="D30" s="401" t="s">
        <v>78</v>
      </c>
      <c r="E30" s="1030" t="s">
        <v>47</v>
      </c>
      <c r="F30" s="1031"/>
      <c r="G30" s="1031"/>
      <c r="H30" s="1031"/>
      <c r="I30" s="1109" t="s">
        <v>48</v>
      </c>
      <c r="J30" s="1109"/>
      <c r="K30" s="1140"/>
      <c r="L30" s="1030" t="s">
        <v>166</v>
      </c>
      <c r="M30" s="1031"/>
      <c r="N30" s="1110" t="s">
        <v>48</v>
      </c>
      <c r="O30" s="1111"/>
    </row>
    <row r="31" spans="1:15" s="387" customFormat="1" ht="12.75" customHeight="1" thickBot="1">
      <c r="A31" s="1035" t="s">
        <v>225</v>
      </c>
      <c r="B31" s="1036"/>
      <c r="C31" s="1036"/>
      <c r="D31" s="403" t="s">
        <v>809</v>
      </c>
      <c r="E31" s="1035" t="s">
        <v>225</v>
      </c>
      <c r="F31" s="1036"/>
      <c r="G31" s="1036"/>
      <c r="H31" s="1036"/>
      <c r="I31" s="1112" t="s">
        <v>3550</v>
      </c>
      <c r="J31" s="1112"/>
      <c r="K31" s="1138"/>
      <c r="L31" s="1035" t="s">
        <v>225</v>
      </c>
      <c r="M31" s="1036"/>
      <c r="N31" s="1037" t="s">
        <v>3550</v>
      </c>
      <c r="O31" s="1038"/>
    </row>
    <row r="32" spans="1:15" ht="14.25">
      <c r="B32" s="404"/>
      <c r="C32" s="404"/>
      <c r="D32" s="399"/>
      <c r="E32" s="399"/>
      <c r="F32" s="387"/>
      <c r="G32" s="387"/>
      <c r="H32" s="392"/>
      <c r="I32" s="387"/>
      <c r="J32" s="387"/>
      <c r="K32" s="397"/>
      <c r="L32" s="387"/>
    </row>
    <row r="33" spans="1:15" s="387" customFormat="1" ht="12.75" customHeight="1">
      <c r="D33" s="399"/>
      <c r="E33" s="399"/>
      <c r="F33" s="1039"/>
      <c r="G33" s="1023"/>
      <c r="H33" s="1023"/>
      <c r="I33" s="1023"/>
      <c r="J33" s="1023"/>
      <c r="K33" s="778"/>
      <c r="L33" s="778"/>
      <c r="M33" s="392"/>
    </row>
    <row r="34" spans="1:15" s="387" customFormat="1" ht="12.75" customHeight="1">
      <c r="D34" s="399"/>
      <c r="E34" s="399"/>
      <c r="F34" s="1039"/>
      <c r="G34" s="1023"/>
      <c r="H34" s="1023"/>
      <c r="I34" s="1023"/>
      <c r="J34" s="1023"/>
      <c r="K34" s="778"/>
      <c r="L34" s="778"/>
      <c r="M34" s="392"/>
    </row>
    <row r="35" spans="1:15" ht="15" thickBot="1">
      <c r="B35" s="404"/>
      <c r="C35" s="404"/>
      <c r="D35" s="387"/>
      <c r="E35" s="387"/>
      <c r="F35" s="616"/>
      <c r="G35" s="616"/>
      <c r="H35" s="392"/>
      <c r="I35" s="387"/>
      <c r="J35" s="387"/>
      <c r="K35" s="397"/>
      <c r="L35" s="387"/>
    </row>
    <row r="36" spans="1:15" ht="13.5" thickBot="1">
      <c r="B36" s="404"/>
      <c r="C36" s="404"/>
      <c r="D36" s="387"/>
      <c r="E36" s="387"/>
      <c r="F36" s="1088" t="s">
        <v>167</v>
      </c>
      <c r="G36" s="1041"/>
      <c r="H36" s="1042" t="s">
        <v>168</v>
      </c>
      <c r="I36" s="1043"/>
      <c r="J36" s="1116"/>
      <c r="K36" s="1044"/>
      <c r="L36" s="1044"/>
      <c r="M36" s="1044"/>
      <c r="N36" s="1044"/>
      <c r="O36" s="1045"/>
    </row>
    <row r="37" spans="1:15" ht="58.5" customHeight="1" thickBot="1">
      <c r="A37" s="411" t="s">
        <v>122</v>
      </c>
      <c r="B37" s="411" t="s">
        <v>169</v>
      </c>
      <c r="C37" s="849" t="s">
        <v>170</v>
      </c>
      <c r="D37" s="412" t="s">
        <v>171</v>
      </c>
      <c r="E37" s="412" t="s">
        <v>172</v>
      </c>
      <c r="F37" s="412" t="s">
        <v>173</v>
      </c>
      <c r="G37" s="411" t="s">
        <v>174</v>
      </c>
      <c r="H37" s="412" t="s">
        <v>175</v>
      </c>
      <c r="I37" s="411" t="s">
        <v>174</v>
      </c>
      <c r="J37" s="848" t="s">
        <v>176</v>
      </c>
      <c r="K37" s="411" t="s">
        <v>174</v>
      </c>
      <c r="L37" s="412" t="s">
        <v>177</v>
      </c>
      <c r="M37" s="411" t="s">
        <v>174</v>
      </c>
      <c r="N37" s="412" t="s">
        <v>178</v>
      </c>
      <c r="O37" s="411" t="s">
        <v>174</v>
      </c>
    </row>
    <row r="38" spans="1:15" s="388" customFormat="1" ht="13.5" thickBot="1">
      <c r="A38" s="1046">
        <v>11</v>
      </c>
      <c r="B38" s="1136"/>
      <c r="C38" s="514" t="s">
        <v>4457</v>
      </c>
      <c r="D38" s="515" t="s">
        <v>4458</v>
      </c>
      <c r="E38" s="516">
        <v>15161</v>
      </c>
      <c r="F38" s="720">
        <f>SUM(E38,E39,E40)*(1-75%)</f>
        <v>3879.5</v>
      </c>
      <c r="G38" s="1062">
        <f>F38*B38</f>
        <v>0</v>
      </c>
      <c r="H38" s="836">
        <f>F38*0.0832</f>
        <v>322.77439999999996</v>
      </c>
      <c r="I38" s="1062">
        <f>H38*B38</f>
        <v>0</v>
      </c>
      <c r="J38" s="835">
        <f>F38*0.0313</f>
        <v>121.42835000000001</v>
      </c>
      <c r="K38" s="1131">
        <f>J38*B38</f>
        <v>0</v>
      </c>
      <c r="L38" s="51">
        <f>F38*0.0256</f>
        <v>99.315200000000004</v>
      </c>
      <c r="M38" s="1062">
        <f>L38*B38</f>
        <v>0</v>
      </c>
      <c r="N38" s="51">
        <f>F38*0.0213</f>
        <v>82.633349999999993</v>
      </c>
      <c r="O38" s="1062">
        <f>N38*B38</f>
        <v>0</v>
      </c>
    </row>
    <row r="39" spans="1:15" ht="15" thickBot="1">
      <c r="A39" s="1047"/>
      <c r="B39" s="1137"/>
      <c r="C39" s="834" t="s">
        <v>714</v>
      </c>
      <c r="D39" s="833" t="s">
        <v>670</v>
      </c>
      <c r="E39" s="832">
        <v>282</v>
      </c>
      <c r="F39" s="422" t="s">
        <v>162</v>
      </c>
      <c r="G39" s="1130"/>
      <c r="H39" s="422" t="s">
        <v>162</v>
      </c>
      <c r="I39" s="1130"/>
      <c r="J39" s="847" t="s">
        <v>162</v>
      </c>
      <c r="K39" s="1132"/>
      <c r="L39" s="53" t="s">
        <v>162</v>
      </c>
      <c r="M39" s="1117"/>
      <c r="N39" s="423" t="s">
        <v>162</v>
      </c>
      <c r="O39" s="1117"/>
    </row>
    <row r="40" spans="1:15" ht="13.5" thickBot="1">
      <c r="A40" s="1048"/>
      <c r="B40" s="1049"/>
      <c r="C40" s="764" t="s">
        <v>179</v>
      </c>
      <c r="D40" s="795" t="s">
        <v>180</v>
      </c>
      <c r="E40" s="830">
        <v>75</v>
      </c>
      <c r="F40" s="422" t="s">
        <v>162</v>
      </c>
      <c r="G40" s="1134"/>
      <c r="H40" s="52" t="s">
        <v>162</v>
      </c>
      <c r="I40" s="1134"/>
      <c r="J40" s="831" t="s">
        <v>162</v>
      </c>
      <c r="K40" s="1132"/>
      <c r="L40" s="53" t="s">
        <v>162</v>
      </c>
      <c r="M40" s="1117"/>
      <c r="N40" s="53" t="s">
        <v>162</v>
      </c>
      <c r="O40" s="1127"/>
    </row>
    <row r="41" spans="1:15" ht="13.5" thickBot="1">
      <c r="A41" s="846"/>
      <c r="B41" s="430"/>
      <c r="C41" s="765"/>
      <c r="D41" s="757"/>
      <c r="E41" s="845"/>
      <c r="F41" s="434"/>
      <c r="G41" s="855"/>
      <c r="H41" s="434"/>
      <c r="I41" s="855"/>
      <c r="J41" s="434"/>
      <c r="K41" s="856"/>
      <c r="L41" s="857"/>
      <c r="M41" s="858"/>
      <c r="N41" s="858"/>
      <c r="O41" s="859"/>
    </row>
    <row r="42" spans="1:15" s="388" customFormat="1" ht="13.5" thickBot="1">
      <c r="A42" s="1046" t="s">
        <v>226</v>
      </c>
      <c r="B42" s="1136"/>
      <c r="C42" s="514" t="s">
        <v>4457</v>
      </c>
      <c r="D42" s="515" t="s">
        <v>4458</v>
      </c>
      <c r="E42" s="516">
        <v>15161</v>
      </c>
      <c r="F42" s="720">
        <f>SUM(E42,E43,E44)*(1-75%)</f>
        <v>3879.5</v>
      </c>
      <c r="G42" s="1062">
        <f>F42*B42</f>
        <v>0</v>
      </c>
      <c r="H42" s="836">
        <f>F42*0.0832+I28/12</f>
        <v>360.27439999999996</v>
      </c>
      <c r="I42" s="1062">
        <f>H42*B42</f>
        <v>0</v>
      </c>
      <c r="J42" s="835">
        <f>F42*0.0313+I28/12</f>
        <v>158.92835000000002</v>
      </c>
      <c r="K42" s="1131">
        <f>J42*B42</f>
        <v>0</v>
      </c>
      <c r="L42" s="51">
        <f>F42*0.0256+I28/12</f>
        <v>136.8152</v>
      </c>
      <c r="M42" s="1062">
        <f>L42*B42</f>
        <v>0</v>
      </c>
      <c r="N42" s="51">
        <f>F42*0.0213+I28/12</f>
        <v>120.13334999999999</v>
      </c>
      <c r="O42" s="1062">
        <f>N42*B42</f>
        <v>0</v>
      </c>
    </row>
    <row r="43" spans="1:15" ht="15" thickBot="1">
      <c r="A43" s="1047"/>
      <c r="B43" s="1137"/>
      <c r="C43" s="834" t="s">
        <v>714</v>
      </c>
      <c r="D43" s="833" t="s">
        <v>670</v>
      </c>
      <c r="E43" s="832">
        <v>282</v>
      </c>
      <c r="F43" s="422" t="s">
        <v>162</v>
      </c>
      <c r="G43" s="1130"/>
      <c r="H43" s="52" t="s">
        <v>162</v>
      </c>
      <c r="I43" s="1130"/>
      <c r="J43" s="831" t="s">
        <v>162</v>
      </c>
      <c r="K43" s="1132"/>
      <c r="L43" s="53" t="s">
        <v>162</v>
      </c>
      <c r="M43" s="1117"/>
      <c r="N43" s="53" t="s">
        <v>162</v>
      </c>
      <c r="O43" s="1117"/>
    </row>
    <row r="44" spans="1:15" ht="13.5" thickBot="1">
      <c r="A44" s="1048"/>
      <c r="B44" s="1049"/>
      <c r="C44" s="764" t="s">
        <v>179</v>
      </c>
      <c r="D44" s="795" t="s">
        <v>180</v>
      </c>
      <c r="E44" s="830">
        <v>75</v>
      </c>
      <c r="F44" s="52" t="s">
        <v>162</v>
      </c>
      <c r="G44" s="1134"/>
      <c r="H44" s="52" t="s">
        <v>162</v>
      </c>
      <c r="I44" s="1134"/>
      <c r="J44" s="831" t="s">
        <v>162</v>
      </c>
      <c r="K44" s="1132"/>
      <c r="L44" s="53" t="s">
        <v>162</v>
      </c>
      <c r="M44" s="1117"/>
      <c r="N44" s="53" t="s">
        <v>162</v>
      </c>
      <c r="O44" s="1127"/>
    </row>
    <row r="45" spans="1:15" ht="13.5" thickBot="1">
      <c r="A45" s="846"/>
      <c r="B45" s="430"/>
      <c r="C45" s="765"/>
      <c r="D45" s="757"/>
      <c r="E45" s="845"/>
      <c r="F45" s="54"/>
      <c r="G45" s="844"/>
      <c r="H45" s="54"/>
      <c r="I45" s="844"/>
      <c r="J45" s="54"/>
      <c r="K45" s="843"/>
      <c r="L45" s="842"/>
      <c r="M45" s="841"/>
      <c r="N45" s="841"/>
      <c r="O45" s="840"/>
    </row>
    <row r="46" spans="1:15" s="388" customFormat="1" ht="13.5" thickBot="1">
      <c r="A46" s="1046" t="s">
        <v>227</v>
      </c>
      <c r="B46" s="1136"/>
      <c r="C46" s="514" t="s">
        <v>4457</v>
      </c>
      <c r="D46" s="515" t="s">
        <v>4458</v>
      </c>
      <c r="E46" s="516">
        <v>15161</v>
      </c>
      <c r="F46" s="720">
        <f>SUM(E46,E47,E48)*(1-75%)</f>
        <v>3879.5</v>
      </c>
      <c r="G46" s="1062">
        <f>F46*B46</f>
        <v>0</v>
      </c>
      <c r="H46" s="836">
        <f>F46*0.0832+N28/12</f>
        <v>379.02439999999996</v>
      </c>
      <c r="I46" s="1062">
        <f>H46*B46</f>
        <v>0</v>
      </c>
      <c r="J46" s="835">
        <f>F46*0.0313+N28/12</f>
        <v>177.67835000000002</v>
      </c>
      <c r="K46" s="1131">
        <f>J46*B46</f>
        <v>0</v>
      </c>
      <c r="L46" s="51">
        <f>F46*0.0256+N28/12</f>
        <v>155.5652</v>
      </c>
      <c r="M46" s="1062">
        <f>L46*B46</f>
        <v>0</v>
      </c>
      <c r="N46" s="51">
        <f>F46*0.0213+N28/12</f>
        <v>138.88335000000001</v>
      </c>
      <c r="O46" s="1062">
        <f>N46*B46</f>
        <v>0</v>
      </c>
    </row>
    <row r="47" spans="1:15" ht="15" thickBot="1">
      <c r="A47" s="1047"/>
      <c r="B47" s="1137"/>
      <c r="C47" s="834" t="s">
        <v>714</v>
      </c>
      <c r="D47" s="833" t="s">
        <v>670</v>
      </c>
      <c r="E47" s="832">
        <v>282</v>
      </c>
      <c r="F47" s="52" t="s">
        <v>162</v>
      </c>
      <c r="G47" s="1130"/>
      <c r="H47" s="52" t="s">
        <v>162</v>
      </c>
      <c r="I47" s="1130"/>
      <c r="J47" s="831" t="s">
        <v>162</v>
      </c>
      <c r="K47" s="1132"/>
      <c r="L47" s="53" t="s">
        <v>162</v>
      </c>
      <c r="M47" s="1117"/>
      <c r="N47" s="53" t="s">
        <v>162</v>
      </c>
      <c r="O47" s="1117"/>
    </row>
    <row r="48" spans="1:15" ht="13.5" thickBot="1">
      <c r="A48" s="1047"/>
      <c r="B48" s="1137"/>
      <c r="C48" s="764" t="s">
        <v>179</v>
      </c>
      <c r="D48" s="795" t="s">
        <v>180</v>
      </c>
      <c r="E48" s="830">
        <v>75</v>
      </c>
      <c r="F48" s="52" t="s">
        <v>162</v>
      </c>
      <c r="G48" s="1130"/>
      <c r="H48" s="58" t="s">
        <v>162</v>
      </c>
      <c r="I48" s="1130"/>
      <c r="J48" s="829" t="s">
        <v>162</v>
      </c>
      <c r="K48" s="1133"/>
      <c r="L48" s="828" t="s">
        <v>162</v>
      </c>
      <c r="M48" s="1117"/>
      <c r="N48" s="828" t="s">
        <v>162</v>
      </c>
      <c r="O48" s="1127"/>
    </row>
    <row r="49" spans="1:16" ht="13.5" customHeight="1" thickBot="1">
      <c r="A49" s="1135" t="s">
        <v>182</v>
      </c>
      <c r="B49" s="1044"/>
      <c r="C49" s="1044"/>
      <c r="D49" s="1044"/>
      <c r="E49" s="1044"/>
      <c r="F49" s="1044"/>
      <c r="G49" s="1055"/>
      <c r="H49" s="1044"/>
      <c r="I49" s="1055"/>
      <c r="J49" s="1044"/>
      <c r="K49" s="1055"/>
      <c r="L49" s="1044"/>
      <c r="M49" s="1055"/>
      <c r="N49" s="1044"/>
      <c r="O49" s="1056"/>
    </row>
    <row r="50" spans="1:16" s="861" customFormat="1" ht="13.5" thickBot="1">
      <c r="A50" s="1144"/>
      <c r="B50" s="440"/>
      <c r="C50" s="824" t="s">
        <v>209</v>
      </c>
      <c r="D50" s="827" t="s">
        <v>66</v>
      </c>
      <c r="E50" s="823">
        <v>975.85567010309285</v>
      </c>
      <c r="F50" s="822">
        <f t="shared" ref="F50:F105" si="0">E50*(1-40%)</f>
        <v>585.51340206185569</v>
      </c>
      <c r="G50" s="819">
        <f t="shared" ref="G50:G105" si="1">F50*B50</f>
        <v>0</v>
      </c>
      <c r="H50" s="60">
        <f t="shared" ref="H50:H105" si="2">F50*0.0832</f>
        <v>48.714715051546392</v>
      </c>
      <c r="I50" s="819">
        <f t="shared" ref="I50:I105" si="3">H50*B50</f>
        <v>0</v>
      </c>
      <c r="J50" s="820">
        <f t="shared" ref="J50:J105" si="4">F50*0.0313</f>
        <v>18.326569484536083</v>
      </c>
      <c r="K50" s="819">
        <f t="shared" ref="K50:K105" si="5">J50*B50</f>
        <v>0</v>
      </c>
      <c r="L50" s="60">
        <f t="shared" ref="L50:L105" si="6">F50*0.0256</f>
        <v>14.989143092783506</v>
      </c>
      <c r="M50" s="819">
        <f t="shared" ref="M50:M105" si="7">L50*B50</f>
        <v>0</v>
      </c>
      <c r="N50" s="820">
        <f t="shared" ref="N50:N105" si="8">F50*0.0213</f>
        <v>12.471435463917526</v>
      </c>
      <c r="O50" s="819">
        <f t="shared" ref="O50:O105" si="9">N50*B50</f>
        <v>0</v>
      </c>
      <c r="P50" s="860"/>
    </row>
    <row r="51" spans="1:16" ht="13.5" thickBot="1">
      <c r="A51" s="1145"/>
      <c r="B51" s="440"/>
      <c r="C51" s="419" t="s">
        <v>486</v>
      </c>
      <c r="D51" s="825" t="s">
        <v>671</v>
      </c>
      <c r="E51" s="823">
        <v>134.01030927835052</v>
      </c>
      <c r="F51" s="822">
        <f t="shared" si="0"/>
        <v>80.406185567010311</v>
      </c>
      <c r="G51" s="821">
        <f t="shared" si="1"/>
        <v>0</v>
      </c>
      <c r="H51" s="60">
        <f t="shared" si="2"/>
        <v>6.6897946391752576</v>
      </c>
      <c r="I51" s="819">
        <f t="shared" si="3"/>
        <v>0</v>
      </c>
      <c r="J51" s="820">
        <f t="shared" si="4"/>
        <v>2.5167136082474229</v>
      </c>
      <c r="K51" s="819">
        <f t="shared" si="5"/>
        <v>0</v>
      </c>
      <c r="L51" s="60">
        <f t="shared" si="6"/>
        <v>2.0583983505154642</v>
      </c>
      <c r="M51" s="819">
        <f t="shared" si="7"/>
        <v>0</v>
      </c>
      <c r="N51" s="820">
        <f t="shared" si="8"/>
        <v>1.7126517525773195</v>
      </c>
      <c r="O51" s="819">
        <f t="shared" si="9"/>
        <v>0</v>
      </c>
      <c r="P51" s="860"/>
    </row>
    <row r="52" spans="1:16" ht="13.5" thickBot="1">
      <c r="A52" s="1145"/>
      <c r="B52" s="441"/>
      <c r="C52" s="824" t="s">
        <v>3491</v>
      </c>
      <c r="D52" s="825" t="s">
        <v>3568</v>
      </c>
      <c r="E52" s="823">
        <v>411.34020618556701</v>
      </c>
      <c r="F52" s="822">
        <f t="shared" si="0"/>
        <v>246.8041237113402</v>
      </c>
      <c r="G52" s="821">
        <f t="shared" si="1"/>
        <v>0</v>
      </c>
      <c r="H52" s="60">
        <f t="shared" si="2"/>
        <v>20.534103092783504</v>
      </c>
      <c r="I52" s="819">
        <f t="shared" si="3"/>
        <v>0</v>
      </c>
      <c r="J52" s="820">
        <f t="shared" si="4"/>
        <v>7.7249690721649484</v>
      </c>
      <c r="K52" s="819">
        <f t="shared" si="5"/>
        <v>0</v>
      </c>
      <c r="L52" s="60">
        <f t="shared" si="6"/>
        <v>6.3181855670103095</v>
      </c>
      <c r="M52" s="819">
        <f t="shared" si="7"/>
        <v>0</v>
      </c>
      <c r="N52" s="820">
        <f t="shared" si="8"/>
        <v>5.2569278350515463</v>
      </c>
      <c r="O52" s="819">
        <f t="shared" si="9"/>
        <v>0</v>
      </c>
      <c r="P52" s="860"/>
    </row>
    <row r="53" spans="1:16" ht="13.5" thickBot="1">
      <c r="A53" s="1145"/>
      <c r="B53" s="441"/>
      <c r="C53" s="419" t="s">
        <v>472</v>
      </c>
      <c r="D53" s="825" t="s">
        <v>720</v>
      </c>
      <c r="E53" s="823">
        <v>257.73195876288662</v>
      </c>
      <c r="F53" s="822">
        <f t="shared" si="0"/>
        <v>154.63917525773198</v>
      </c>
      <c r="G53" s="821">
        <f t="shared" si="1"/>
        <v>0</v>
      </c>
      <c r="H53" s="60">
        <f t="shared" si="2"/>
        <v>12.865979381443299</v>
      </c>
      <c r="I53" s="819">
        <f t="shared" si="3"/>
        <v>0</v>
      </c>
      <c r="J53" s="820">
        <f t="shared" si="4"/>
        <v>4.8402061855670109</v>
      </c>
      <c r="K53" s="819">
        <f t="shared" si="5"/>
        <v>0</v>
      </c>
      <c r="L53" s="60">
        <f t="shared" si="6"/>
        <v>3.9587628865979387</v>
      </c>
      <c r="M53" s="819">
        <f t="shared" si="7"/>
        <v>0</v>
      </c>
      <c r="N53" s="820">
        <f t="shared" si="8"/>
        <v>3.293814432989691</v>
      </c>
      <c r="O53" s="819">
        <f t="shared" si="9"/>
        <v>0</v>
      </c>
      <c r="P53" s="860"/>
    </row>
    <row r="54" spans="1:16" ht="13.5" thickBot="1">
      <c r="A54" s="1145"/>
      <c r="B54" s="440"/>
      <c r="C54" s="824" t="s">
        <v>689</v>
      </c>
      <c r="D54" s="827" t="s">
        <v>712</v>
      </c>
      <c r="E54" s="823">
        <v>412.37113402061857</v>
      </c>
      <c r="F54" s="822">
        <f t="shared" si="0"/>
        <v>247.42268041237114</v>
      </c>
      <c r="G54" s="819">
        <f t="shared" si="1"/>
        <v>0</v>
      </c>
      <c r="H54" s="60">
        <f t="shared" si="2"/>
        <v>20.585567010309276</v>
      </c>
      <c r="I54" s="819">
        <f t="shared" si="3"/>
        <v>0</v>
      </c>
      <c r="J54" s="820">
        <f t="shared" si="4"/>
        <v>7.7443298969072165</v>
      </c>
      <c r="K54" s="819">
        <f t="shared" si="5"/>
        <v>0</v>
      </c>
      <c r="L54" s="60">
        <f t="shared" si="6"/>
        <v>6.3340206185567016</v>
      </c>
      <c r="M54" s="819">
        <f t="shared" si="7"/>
        <v>0</v>
      </c>
      <c r="N54" s="820">
        <f t="shared" si="8"/>
        <v>5.2701030927835051</v>
      </c>
      <c r="O54" s="819">
        <f t="shared" si="9"/>
        <v>0</v>
      </c>
      <c r="P54" s="860"/>
    </row>
    <row r="55" spans="1:16" ht="13.5" thickBot="1">
      <c r="A55" s="1145"/>
      <c r="B55" s="440"/>
      <c r="C55" s="419" t="s">
        <v>690</v>
      </c>
      <c r="D55" s="825" t="s">
        <v>721</v>
      </c>
      <c r="E55" s="823">
        <v>514.43298969072168</v>
      </c>
      <c r="F55" s="822">
        <f t="shared" si="0"/>
        <v>308.65979381443299</v>
      </c>
      <c r="G55" s="821">
        <f t="shared" si="1"/>
        <v>0</v>
      </c>
      <c r="H55" s="60">
        <f t="shared" si="2"/>
        <v>25.680494845360823</v>
      </c>
      <c r="I55" s="819">
        <f t="shared" si="3"/>
        <v>0</v>
      </c>
      <c r="J55" s="820">
        <f t="shared" si="4"/>
        <v>9.6610515463917537</v>
      </c>
      <c r="K55" s="819">
        <f t="shared" si="5"/>
        <v>0</v>
      </c>
      <c r="L55" s="60">
        <f t="shared" si="6"/>
        <v>7.9016907216494845</v>
      </c>
      <c r="M55" s="819">
        <f t="shared" si="7"/>
        <v>0</v>
      </c>
      <c r="N55" s="820">
        <f t="shared" si="8"/>
        <v>6.5744536082474223</v>
      </c>
      <c r="O55" s="819">
        <f t="shared" si="9"/>
        <v>0</v>
      </c>
      <c r="P55" s="860"/>
    </row>
    <row r="56" spans="1:16" ht="13.5" thickBot="1">
      <c r="A56" s="1145"/>
      <c r="B56" s="440"/>
      <c r="C56" s="419" t="s">
        <v>198</v>
      </c>
      <c r="D56" s="420" t="s">
        <v>815</v>
      </c>
      <c r="E56" s="823">
        <v>339.17525773195877</v>
      </c>
      <c r="F56" s="822">
        <f t="shared" si="0"/>
        <v>203.50515463917526</v>
      </c>
      <c r="G56" s="821">
        <f t="shared" si="1"/>
        <v>0</v>
      </c>
      <c r="H56" s="60">
        <f t="shared" si="2"/>
        <v>16.931628865979381</v>
      </c>
      <c r="I56" s="819">
        <f t="shared" si="3"/>
        <v>0</v>
      </c>
      <c r="J56" s="820">
        <f t="shared" si="4"/>
        <v>6.3697113402061856</v>
      </c>
      <c r="K56" s="819">
        <f t="shared" si="5"/>
        <v>0</v>
      </c>
      <c r="L56" s="60">
        <f t="shared" si="6"/>
        <v>5.2097319587628865</v>
      </c>
      <c r="M56" s="819">
        <f t="shared" si="7"/>
        <v>0</v>
      </c>
      <c r="N56" s="820">
        <f t="shared" si="8"/>
        <v>4.3346597938144331</v>
      </c>
      <c r="O56" s="819">
        <f t="shared" si="9"/>
        <v>0</v>
      </c>
      <c r="P56" s="860"/>
    </row>
    <row r="57" spans="1:16" ht="13.5" thickBot="1">
      <c r="A57" s="1145"/>
      <c r="B57" s="440"/>
      <c r="C57" s="419" t="s">
        <v>542</v>
      </c>
      <c r="D57" s="420" t="s">
        <v>3607</v>
      </c>
      <c r="E57" s="823">
        <v>1025.7731958762886</v>
      </c>
      <c r="F57" s="822">
        <f t="shared" si="0"/>
        <v>615.46391752577313</v>
      </c>
      <c r="G57" s="821">
        <f t="shared" si="1"/>
        <v>0</v>
      </c>
      <c r="H57" s="60">
        <f t="shared" si="2"/>
        <v>51.20659793814432</v>
      </c>
      <c r="I57" s="819">
        <f t="shared" si="3"/>
        <v>0</v>
      </c>
      <c r="J57" s="820">
        <f t="shared" si="4"/>
        <v>19.2640206185567</v>
      </c>
      <c r="K57" s="819">
        <f t="shared" si="5"/>
        <v>0</v>
      </c>
      <c r="L57" s="60">
        <f t="shared" si="6"/>
        <v>15.755876288659794</v>
      </c>
      <c r="M57" s="819">
        <f t="shared" si="7"/>
        <v>0</v>
      </c>
      <c r="N57" s="820">
        <f t="shared" si="8"/>
        <v>13.109381443298968</v>
      </c>
      <c r="O57" s="819">
        <f t="shared" si="9"/>
        <v>0</v>
      </c>
      <c r="P57" s="860"/>
    </row>
    <row r="58" spans="1:16" ht="26.25" thickBot="1">
      <c r="A58" s="1145"/>
      <c r="B58" s="440"/>
      <c r="C58" s="419" t="s">
        <v>89</v>
      </c>
      <c r="D58" s="420" t="s">
        <v>3608</v>
      </c>
      <c r="E58" s="823">
        <v>3505.1546391752577</v>
      </c>
      <c r="F58" s="822">
        <f t="shared" si="0"/>
        <v>2103.0927835051543</v>
      </c>
      <c r="G58" s="821">
        <f t="shared" si="1"/>
        <v>0</v>
      </c>
      <c r="H58" s="60">
        <f t="shared" si="2"/>
        <v>174.97731958762884</v>
      </c>
      <c r="I58" s="819">
        <f t="shared" si="3"/>
        <v>0</v>
      </c>
      <c r="J58" s="820">
        <f t="shared" si="4"/>
        <v>65.826804123711327</v>
      </c>
      <c r="K58" s="819">
        <f t="shared" si="5"/>
        <v>0</v>
      </c>
      <c r="L58" s="60">
        <f t="shared" si="6"/>
        <v>53.839175257731952</v>
      </c>
      <c r="M58" s="819">
        <f t="shared" si="7"/>
        <v>0</v>
      </c>
      <c r="N58" s="820">
        <f t="shared" si="8"/>
        <v>44.795876288659784</v>
      </c>
      <c r="O58" s="819">
        <f t="shared" si="9"/>
        <v>0</v>
      </c>
      <c r="P58" s="860"/>
    </row>
    <row r="59" spans="1:16" ht="13.5" thickBot="1">
      <c r="A59" s="1145"/>
      <c r="B59" s="440"/>
      <c r="C59" s="824" t="s">
        <v>272</v>
      </c>
      <c r="D59" s="827" t="s">
        <v>3609</v>
      </c>
      <c r="E59" s="823">
        <v>1134.020618556701</v>
      </c>
      <c r="F59" s="822">
        <f t="shared" si="0"/>
        <v>680.41237113402065</v>
      </c>
      <c r="G59" s="821">
        <f t="shared" si="1"/>
        <v>0</v>
      </c>
      <c r="H59" s="60">
        <f t="shared" si="2"/>
        <v>56.610309278350513</v>
      </c>
      <c r="I59" s="819">
        <f t="shared" si="3"/>
        <v>0</v>
      </c>
      <c r="J59" s="820">
        <f t="shared" si="4"/>
        <v>21.296907216494848</v>
      </c>
      <c r="K59" s="819">
        <f t="shared" si="5"/>
        <v>0</v>
      </c>
      <c r="L59" s="60">
        <f t="shared" si="6"/>
        <v>17.41855670103093</v>
      </c>
      <c r="M59" s="819">
        <f t="shared" si="7"/>
        <v>0</v>
      </c>
      <c r="N59" s="820">
        <f t="shared" si="8"/>
        <v>14.492783505154639</v>
      </c>
      <c r="O59" s="819">
        <f t="shared" si="9"/>
        <v>0</v>
      </c>
      <c r="P59" s="860"/>
    </row>
    <row r="60" spans="1:16" ht="13.5" thickBot="1">
      <c r="A60" s="1145"/>
      <c r="B60" s="445"/>
      <c r="C60" s="824" t="s">
        <v>487</v>
      </c>
      <c r="D60" s="825" t="s">
        <v>3610</v>
      </c>
      <c r="E60" s="823">
        <v>1025.7731958762886</v>
      </c>
      <c r="F60" s="822">
        <f t="shared" si="0"/>
        <v>615.46391752577313</v>
      </c>
      <c r="G60" s="821">
        <f t="shared" si="1"/>
        <v>0</v>
      </c>
      <c r="H60" s="60">
        <f t="shared" si="2"/>
        <v>51.20659793814432</v>
      </c>
      <c r="I60" s="819">
        <f t="shared" si="3"/>
        <v>0</v>
      </c>
      <c r="J60" s="820">
        <f t="shared" si="4"/>
        <v>19.2640206185567</v>
      </c>
      <c r="K60" s="819">
        <f t="shared" si="5"/>
        <v>0</v>
      </c>
      <c r="L60" s="60">
        <f t="shared" si="6"/>
        <v>15.755876288659794</v>
      </c>
      <c r="M60" s="819">
        <f t="shared" si="7"/>
        <v>0</v>
      </c>
      <c r="N60" s="820">
        <f t="shared" si="8"/>
        <v>13.109381443298968</v>
      </c>
      <c r="O60" s="819">
        <f t="shared" si="9"/>
        <v>0</v>
      </c>
      <c r="P60" s="860"/>
    </row>
    <row r="61" spans="1:16" ht="13.5" thickBot="1">
      <c r="A61" s="1145"/>
      <c r="B61" s="440"/>
      <c r="C61" s="419" t="s">
        <v>488</v>
      </c>
      <c r="D61" s="825" t="s">
        <v>3611</v>
      </c>
      <c r="E61" s="823">
        <v>5463.9175257731958</v>
      </c>
      <c r="F61" s="822">
        <f t="shared" si="0"/>
        <v>3278.3505154639174</v>
      </c>
      <c r="G61" s="821">
        <f t="shared" si="1"/>
        <v>0</v>
      </c>
      <c r="H61" s="60">
        <f t="shared" si="2"/>
        <v>272.75876288659794</v>
      </c>
      <c r="I61" s="819">
        <f t="shared" si="3"/>
        <v>0</v>
      </c>
      <c r="J61" s="820">
        <f t="shared" si="4"/>
        <v>102.61237113402062</v>
      </c>
      <c r="K61" s="819">
        <f t="shared" si="5"/>
        <v>0</v>
      </c>
      <c r="L61" s="60">
        <f t="shared" si="6"/>
        <v>83.925773195876289</v>
      </c>
      <c r="M61" s="819">
        <f t="shared" si="7"/>
        <v>0</v>
      </c>
      <c r="N61" s="820">
        <f t="shared" si="8"/>
        <v>69.828865979381433</v>
      </c>
      <c r="O61" s="819">
        <f t="shared" si="9"/>
        <v>0</v>
      </c>
      <c r="P61" s="860"/>
    </row>
    <row r="62" spans="1:16" ht="13.5" thickBot="1">
      <c r="A62" s="1145"/>
      <c r="B62" s="440"/>
      <c r="C62" s="419" t="s">
        <v>484</v>
      </c>
      <c r="D62" s="825" t="s">
        <v>409</v>
      </c>
      <c r="E62" s="823">
        <v>206.18556701030928</v>
      </c>
      <c r="F62" s="822">
        <f t="shared" si="0"/>
        <v>123.71134020618557</v>
      </c>
      <c r="G62" s="821">
        <f t="shared" si="1"/>
        <v>0</v>
      </c>
      <c r="H62" s="60">
        <f t="shared" si="2"/>
        <v>10.292783505154638</v>
      </c>
      <c r="I62" s="819">
        <f t="shared" si="3"/>
        <v>0</v>
      </c>
      <c r="J62" s="820">
        <f t="shared" si="4"/>
        <v>3.8721649484536083</v>
      </c>
      <c r="K62" s="819">
        <f t="shared" si="5"/>
        <v>0</v>
      </c>
      <c r="L62" s="60">
        <f t="shared" si="6"/>
        <v>3.1670103092783508</v>
      </c>
      <c r="M62" s="819">
        <f t="shared" si="7"/>
        <v>0</v>
      </c>
      <c r="N62" s="820">
        <f t="shared" si="8"/>
        <v>2.6350515463917525</v>
      </c>
      <c r="O62" s="819">
        <f t="shared" si="9"/>
        <v>0</v>
      </c>
      <c r="P62" s="860"/>
    </row>
    <row r="63" spans="1:16" ht="26.25" thickBot="1">
      <c r="A63" s="1145"/>
      <c r="B63" s="441"/>
      <c r="C63" s="419" t="s">
        <v>485</v>
      </c>
      <c r="D63" s="825" t="s">
        <v>3511</v>
      </c>
      <c r="E63" s="823">
        <v>287.62886597938143</v>
      </c>
      <c r="F63" s="822">
        <f t="shared" si="0"/>
        <v>172.57731958762886</v>
      </c>
      <c r="G63" s="821">
        <f t="shared" si="1"/>
        <v>0</v>
      </c>
      <c r="H63" s="60">
        <f t="shared" si="2"/>
        <v>14.358432989690721</v>
      </c>
      <c r="I63" s="819">
        <f t="shared" si="3"/>
        <v>0</v>
      </c>
      <c r="J63" s="820">
        <f t="shared" si="4"/>
        <v>5.4016701030927834</v>
      </c>
      <c r="K63" s="819">
        <f t="shared" si="5"/>
        <v>0</v>
      </c>
      <c r="L63" s="60">
        <f t="shared" si="6"/>
        <v>4.417979381443299</v>
      </c>
      <c r="M63" s="819">
        <f t="shared" si="7"/>
        <v>0</v>
      </c>
      <c r="N63" s="820">
        <f t="shared" si="8"/>
        <v>3.6758969072164946</v>
      </c>
      <c r="O63" s="819">
        <f t="shared" si="9"/>
        <v>0</v>
      </c>
      <c r="P63" s="860"/>
    </row>
    <row r="64" spans="1:16" ht="13.5" thickBot="1">
      <c r="A64" s="1145"/>
      <c r="B64" s="440"/>
      <c r="C64" s="419" t="s">
        <v>3489</v>
      </c>
      <c r="D64" s="825" t="s">
        <v>3564</v>
      </c>
      <c r="E64" s="823">
        <v>875.25773195876286</v>
      </c>
      <c r="F64" s="822">
        <f t="shared" si="0"/>
        <v>525.15463917525767</v>
      </c>
      <c r="G64" s="821">
        <f t="shared" si="1"/>
        <v>0</v>
      </c>
      <c r="H64" s="60">
        <f t="shared" si="2"/>
        <v>43.692865979381438</v>
      </c>
      <c r="I64" s="819">
        <f t="shared" si="3"/>
        <v>0</v>
      </c>
      <c r="J64" s="820">
        <f t="shared" si="4"/>
        <v>16.437340206185567</v>
      </c>
      <c r="K64" s="819">
        <f t="shared" si="5"/>
        <v>0</v>
      </c>
      <c r="L64" s="60">
        <f t="shared" si="6"/>
        <v>13.443958762886597</v>
      </c>
      <c r="M64" s="819">
        <f t="shared" si="7"/>
        <v>0</v>
      </c>
      <c r="N64" s="820">
        <f t="shared" si="8"/>
        <v>11.185793814432989</v>
      </c>
      <c r="O64" s="819">
        <f t="shared" si="9"/>
        <v>0</v>
      </c>
      <c r="P64" s="860"/>
    </row>
    <row r="65" spans="1:16" ht="13.5" thickBot="1">
      <c r="A65" s="1145"/>
      <c r="B65" s="440"/>
      <c r="C65" s="824" t="s">
        <v>87</v>
      </c>
      <c r="D65" s="825" t="s">
        <v>722</v>
      </c>
      <c r="E65" s="823">
        <v>1389.6907216494847</v>
      </c>
      <c r="F65" s="822">
        <f t="shared" si="0"/>
        <v>833.81443298969077</v>
      </c>
      <c r="G65" s="821">
        <f t="shared" si="1"/>
        <v>0</v>
      </c>
      <c r="H65" s="60">
        <f t="shared" si="2"/>
        <v>69.373360824742264</v>
      </c>
      <c r="I65" s="819">
        <f t="shared" si="3"/>
        <v>0</v>
      </c>
      <c r="J65" s="820">
        <f t="shared" si="4"/>
        <v>26.098391752577321</v>
      </c>
      <c r="K65" s="819">
        <f t="shared" si="5"/>
        <v>0</v>
      </c>
      <c r="L65" s="60">
        <f t="shared" si="6"/>
        <v>21.345649484536086</v>
      </c>
      <c r="M65" s="819">
        <f t="shared" si="7"/>
        <v>0</v>
      </c>
      <c r="N65" s="820">
        <f t="shared" si="8"/>
        <v>17.760247422680415</v>
      </c>
      <c r="O65" s="819">
        <f t="shared" si="9"/>
        <v>0</v>
      </c>
      <c r="P65" s="860"/>
    </row>
    <row r="66" spans="1:16" ht="13.5" thickBot="1">
      <c r="A66" s="1145"/>
      <c r="B66" s="440"/>
      <c r="C66" s="824" t="s">
        <v>474</v>
      </c>
      <c r="D66" s="825" t="s">
        <v>723</v>
      </c>
      <c r="E66" s="823">
        <v>229.48453608247422</v>
      </c>
      <c r="F66" s="822">
        <f t="shared" si="0"/>
        <v>137.69072164948452</v>
      </c>
      <c r="G66" s="821">
        <f t="shared" si="1"/>
        <v>0</v>
      </c>
      <c r="H66" s="60">
        <f t="shared" si="2"/>
        <v>11.45586804123711</v>
      </c>
      <c r="I66" s="819">
        <f t="shared" si="3"/>
        <v>0</v>
      </c>
      <c r="J66" s="820">
        <f t="shared" si="4"/>
        <v>4.3097195876288659</v>
      </c>
      <c r="K66" s="819">
        <f t="shared" si="5"/>
        <v>0</v>
      </c>
      <c r="L66" s="60">
        <f t="shared" si="6"/>
        <v>3.5248824742268039</v>
      </c>
      <c r="M66" s="819">
        <f t="shared" si="7"/>
        <v>0</v>
      </c>
      <c r="N66" s="820">
        <f t="shared" si="8"/>
        <v>2.9328123711340202</v>
      </c>
      <c r="O66" s="819">
        <f t="shared" si="9"/>
        <v>0</v>
      </c>
      <c r="P66" s="860"/>
    </row>
    <row r="67" spans="1:16" ht="13.5" thickBot="1">
      <c r="A67" s="1145"/>
      <c r="B67" s="441"/>
      <c r="C67" s="824">
        <v>45206712</v>
      </c>
      <c r="D67" s="825" t="s">
        <v>3612</v>
      </c>
      <c r="E67" s="823">
        <v>2577.319587628866</v>
      </c>
      <c r="F67" s="822">
        <f t="shared" si="0"/>
        <v>1546.3917525773195</v>
      </c>
      <c r="G67" s="821">
        <f t="shared" si="1"/>
        <v>0</v>
      </c>
      <c r="H67" s="60">
        <f t="shared" si="2"/>
        <v>128.65979381443299</v>
      </c>
      <c r="I67" s="819">
        <f t="shared" si="3"/>
        <v>0</v>
      </c>
      <c r="J67" s="820">
        <f t="shared" si="4"/>
        <v>48.402061855670105</v>
      </c>
      <c r="K67" s="819">
        <f t="shared" si="5"/>
        <v>0</v>
      </c>
      <c r="L67" s="60">
        <f t="shared" si="6"/>
        <v>39.587628865979383</v>
      </c>
      <c r="M67" s="819">
        <f t="shared" si="7"/>
        <v>0</v>
      </c>
      <c r="N67" s="820">
        <f t="shared" si="8"/>
        <v>32.938144329896907</v>
      </c>
      <c r="O67" s="819">
        <f t="shared" si="9"/>
        <v>0</v>
      </c>
      <c r="P67" s="860"/>
    </row>
    <row r="68" spans="1:16" ht="13.5" thickBot="1">
      <c r="A68" s="1145"/>
      <c r="B68" s="441"/>
      <c r="C68" s="824">
        <v>45206719</v>
      </c>
      <c r="D68" s="825" t="s">
        <v>3613</v>
      </c>
      <c r="E68" s="823">
        <v>3092.7835051546394</v>
      </c>
      <c r="F68" s="822">
        <f t="shared" si="0"/>
        <v>1855.6701030927836</v>
      </c>
      <c r="G68" s="821">
        <f t="shared" si="1"/>
        <v>0</v>
      </c>
      <c r="H68" s="60">
        <f t="shared" si="2"/>
        <v>154.39175257731958</v>
      </c>
      <c r="I68" s="819">
        <f t="shared" si="3"/>
        <v>0</v>
      </c>
      <c r="J68" s="820">
        <f t="shared" si="4"/>
        <v>58.082474226804131</v>
      </c>
      <c r="K68" s="819">
        <f t="shared" si="5"/>
        <v>0</v>
      </c>
      <c r="L68" s="60">
        <f t="shared" si="6"/>
        <v>47.505154639175259</v>
      </c>
      <c r="M68" s="819">
        <f t="shared" si="7"/>
        <v>0</v>
      </c>
      <c r="N68" s="820">
        <f t="shared" si="8"/>
        <v>39.52577319587629</v>
      </c>
      <c r="O68" s="819">
        <f t="shared" si="9"/>
        <v>0</v>
      </c>
      <c r="P68" s="860"/>
    </row>
    <row r="69" spans="1:16" ht="26.25" thickBot="1">
      <c r="A69" s="1145"/>
      <c r="B69" s="441"/>
      <c r="C69" s="824" t="s">
        <v>490</v>
      </c>
      <c r="D69" s="825" t="s">
        <v>3505</v>
      </c>
      <c r="E69" s="823">
        <v>1103.0927835051546</v>
      </c>
      <c r="F69" s="822">
        <f t="shared" si="0"/>
        <v>661.85567010309273</v>
      </c>
      <c r="G69" s="819">
        <f t="shared" si="1"/>
        <v>0</v>
      </c>
      <c r="H69" s="60">
        <f t="shared" si="2"/>
        <v>55.06639175257731</v>
      </c>
      <c r="I69" s="819">
        <f t="shared" si="3"/>
        <v>0</v>
      </c>
      <c r="J69" s="820">
        <f t="shared" si="4"/>
        <v>20.716082474226802</v>
      </c>
      <c r="K69" s="819">
        <f t="shared" si="5"/>
        <v>0</v>
      </c>
      <c r="L69" s="60">
        <f t="shared" si="6"/>
        <v>16.943505154639176</v>
      </c>
      <c r="M69" s="819">
        <f t="shared" si="7"/>
        <v>0</v>
      </c>
      <c r="N69" s="820">
        <f t="shared" si="8"/>
        <v>14.097525773195875</v>
      </c>
      <c r="O69" s="819">
        <f t="shared" si="9"/>
        <v>0</v>
      </c>
      <c r="P69" s="860"/>
    </row>
    <row r="70" spans="1:16" ht="13.5" thickBot="1">
      <c r="A70" s="1145"/>
      <c r="B70" s="440"/>
      <c r="C70" s="419" t="s">
        <v>455</v>
      </c>
      <c r="D70" s="827" t="s">
        <v>3506</v>
      </c>
      <c r="E70" s="823">
        <v>1101.5257731958764</v>
      </c>
      <c r="F70" s="822">
        <f t="shared" si="0"/>
        <v>660.91546391752581</v>
      </c>
      <c r="G70" s="821">
        <f t="shared" si="1"/>
        <v>0</v>
      </c>
      <c r="H70" s="60">
        <f t="shared" si="2"/>
        <v>54.988166597938147</v>
      </c>
      <c r="I70" s="819">
        <f t="shared" si="3"/>
        <v>0</v>
      </c>
      <c r="J70" s="820">
        <f t="shared" si="4"/>
        <v>20.686654020618558</v>
      </c>
      <c r="K70" s="819">
        <f t="shared" si="5"/>
        <v>0</v>
      </c>
      <c r="L70" s="60">
        <f t="shared" si="6"/>
        <v>16.919435876288663</v>
      </c>
      <c r="M70" s="819">
        <f t="shared" si="7"/>
        <v>0</v>
      </c>
      <c r="N70" s="820">
        <f t="shared" si="8"/>
        <v>14.0774993814433</v>
      </c>
      <c r="O70" s="819">
        <f t="shared" si="9"/>
        <v>0</v>
      </c>
      <c r="P70" s="860"/>
    </row>
    <row r="71" spans="1:16" ht="13.5" thickBot="1">
      <c r="A71" s="1145"/>
      <c r="B71" s="440"/>
      <c r="C71" s="419" t="s">
        <v>3575</v>
      </c>
      <c r="D71" s="825" t="s">
        <v>3569</v>
      </c>
      <c r="E71" s="823">
        <v>1601.0309278350517</v>
      </c>
      <c r="F71" s="822">
        <f t="shared" si="0"/>
        <v>960.61855670103091</v>
      </c>
      <c r="G71" s="821">
        <f t="shared" si="1"/>
        <v>0</v>
      </c>
      <c r="H71" s="60">
        <f t="shared" si="2"/>
        <v>79.923463917525766</v>
      </c>
      <c r="I71" s="819">
        <f t="shared" si="3"/>
        <v>0</v>
      </c>
      <c r="J71" s="820">
        <f t="shared" si="4"/>
        <v>30.06736082474227</v>
      </c>
      <c r="K71" s="819">
        <f t="shared" si="5"/>
        <v>0</v>
      </c>
      <c r="L71" s="60">
        <f t="shared" si="6"/>
        <v>24.591835051546393</v>
      </c>
      <c r="M71" s="819">
        <f t="shared" si="7"/>
        <v>0</v>
      </c>
      <c r="N71" s="820">
        <f t="shared" si="8"/>
        <v>20.461175257731959</v>
      </c>
      <c r="O71" s="819">
        <f t="shared" si="9"/>
        <v>0</v>
      </c>
      <c r="P71" s="860"/>
    </row>
    <row r="72" spans="1:16" s="413" customFormat="1" ht="26.25" thickBot="1">
      <c r="A72" s="1145"/>
      <c r="B72" s="805"/>
      <c r="C72" s="808" t="s">
        <v>3794</v>
      </c>
      <c r="D72" s="420" t="s">
        <v>3633</v>
      </c>
      <c r="E72" s="823">
        <v>2020.340206185567</v>
      </c>
      <c r="F72" s="59">
        <f t="shared" si="0"/>
        <v>1212.2041237113401</v>
      </c>
      <c r="G72" s="527">
        <f t="shared" si="1"/>
        <v>0</v>
      </c>
      <c r="H72" s="528">
        <f t="shared" si="2"/>
        <v>100.8553830927835</v>
      </c>
      <c r="I72" s="528">
        <f t="shared" si="3"/>
        <v>0</v>
      </c>
      <c r="J72" s="528">
        <f t="shared" si="4"/>
        <v>37.941989072164951</v>
      </c>
      <c r="K72" s="528">
        <f t="shared" si="5"/>
        <v>0</v>
      </c>
      <c r="L72" s="528">
        <f t="shared" si="6"/>
        <v>31.032425567010307</v>
      </c>
      <c r="M72" s="528">
        <f t="shared" si="7"/>
        <v>0</v>
      </c>
      <c r="N72" s="528">
        <f t="shared" si="8"/>
        <v>25.819947835051543</v>
      </c>
      <c r="O72" s="528">
        <f t="shared" si="9"/>
        <v>0</v>
      </c>
      <c r="P72" s="860"/>
    </row>
    <row r="73" spans="1:16" s="413" customFormat="1" ht="26.25" thickBot="1">
      <c r="A73" s="1145"/>
      <c r="B73" s="805"/>
      <c r="C73" s="808" t="s">
        <v>3496</v>
      </c>
      <c r="D73" s="420" t="s">
        <v>3634</v>
      </c>
      <c r="E73" s="823">
        <v>3510.0309278350514</v>
      </c>
      <c r="F73" s="59">
        <f t="shared" si="0"/>
        <v>2106.0185567010308</v>
      </c>
      <c r="G73" s="527">
        <f t="shared" si="1"/>
        <v>0</v>
      </c>
      <c r="H73" s="528">
        <f t="shared" si="2"/>
        <v>175.22074391752577</v>
      </c>
      <c r="I73" s="528">
        <f t="shared" si="3"/>
        <v>0</v>
      </c>
      <c r="J73" s="528">
        <f t="shared" si="4"/>
        <v>65.918380824742272</v>
      </c>
      <c r="K73" s="528">
        <f t="shared" si="5"/>
        <v>0</v>
      </c>
      <c r="L73" s="528">
        <f t="shared" si="6"/>
        <v>53.914075051546391</v>
      </c>
      <c r="M73" s="528">
        <f t="shared" si="7"/>
        <v>0</v>
      </c>
      <c r="N73" s="528">
        <f t="shared" si="8"/>
        <v>44.858195257731957</v>
      </c>
      <c r="O73" s="528">
        <f t="shared" si="9"/>
        <v>0</v>
      </c>
      <c r="P73" s="860"/>
    </row>
    <row r="74" spans="1:16" ht="13.5" thickBot="1">
      <c r="A74" s="1145"/>
      <c r="B74" s="440"/>
      <c r="C74" s="419" t="s">
        <v>691</v>
      </c>
      <c r="D74" s="827" t="s">
        <v>3614</v>
      </c>
      <c r="E74" s="823">
        <v>4286.5979381443303</v>
      </c>
      <c r="F74" s="822">
        <f t="shared" si="0"/>
        <v>2571.9587628865979</v>
      </c>
      <c r="G74" s="821">
        <f t="shared" si="1"/>
        <v>0</v>
      </c>
      <c r="H74" s="60">
        <f t="shared" si="2"/>
        <v>213.98696907216492</v>
      </c>
      <c r="I74" s="819">
        <f t="shared" si="3"/>
        <v>0</v>
      </c>
      <c r="J74" s="820">
        <f t="shared" si="4"/>
        <v>80.502309278350523</v>
      </c>
      <c r="K74" s="819">
        <f t="shared" si="5"/>
        <v>0</v>
      </c>
      <c r="L74" s="60">
        <f t="shared" si="6"/>
        <v>65.842144329896911</v>
      </c>
      <c r="M74" s="819">
        <f t="shared" si="7"/>
        <v>0</v>
      </c>
      <c r="N74" s="820">
        <f t="shared" si="8"/>
        <v>54.782721649484536</v>
      </c>
      <c r="O74" s="819">
        <f t="shared" si="9"/>
        <v>0</v>
      </c>
      <c r="P74" s="860"/>
    </row>
    <row r="75" spans="1:16" ht="13.5" thickBot="1">
      <c r="A75" s="1145"/>
      <c r="B75" s="441"/>
      <c r="C75" s="824" t="s">
        <v>3574</v>
      </c>
      <c r="D75" s="825" t="s">
        <v>3589</v>
      </c>
      <c r="E75" s="823">
        <v>308.2474226804124</v>
      </c>
      <c r="F75" s="822">
        <f t="shared" si="0"/>
        <v>184.94845360824743</v>
      </c>
      <c r="G75" s="821">
        <f t="shared" si="1"/>
        <v>0</v>
      </c>
      <c r="H75" s="60">
        <f t="shared" si="2"/>
        <v>15.387711340206186</v>
      </c>
      <c r="I75" s="819">
        <f t="shared" si="3"/>
        <v>0</v>
      </c>
      <c r="J75" s="820">
        <f t="shared" si="4"/>
        <v>5.788886597938145</v>
      </c>
      <c r="K75" s="819">
        <f t="shared" si="5"/>
        <v>0</v>
      </c>
      <c r="L75" s="60">
        <f t="shared" si="6"/>
        <v>4.7346804123711346</v>
      </c>
      <c r="M75" s="819">
        <f t="shared" si="7"/>
        <v>0</v>
      </c>
      <c r="N75" s="820">
        <f t="shared" si="8"/>
        <v>3.9394020618556702</v>
      </c>
      <c r="O75" s="819">
        <f t="shared" si="9"/>
        <v>0</v>
      </c>
      <c r="P75" s="860"/>
    </row>
    <row r="76" spans="1:16" ht="13.5" thickBot="1">
      <c r="A76" s="1145"/>
      <c r="B76" s="440"/>
      <c r="C76" s="419" t="s">
        <v>436</v>
      </c>
      <c r="D76" s="825" t="s">
        <v>673</v>
      </c>
      <c r="E76" s="823">
        <v>515.46391752577324</v>
      </c>
      <c r="F76" s="822">
        <f t="shared" si="0"/>
        <v>309.27835051546396</v>
      </c>
      <c r="G76" s="821">
        <f t="shared" si="1"/>
        <v>0</v>
      </c>
      <c r="H76" s="60">
        <f t="shared" si="2"/>
        <v>25.731958762886599</v>
      </c>
      <c r="I76" s="819">
        <f t="shared" si="3"/>
        <v>0</v>
      </c>
      <c r="J76" s="820">
        <f t="shared" si="4"/>
        <v>9.6804123711340218</v>
      </c>
      <c r="K76" s="819">
        <f t="shared" si="5"/>
        <v>0</v>
      </c>
      <c r="L76" s="60">
        <f t="shared" si="6"/>
        <v>7.9175257731958775</v>
      </c>
      <c r="M76" s="819">
        <f t="shared" si="7"/>
        <v>0</v>
      </c>
      <c r="N76" s="820">
        <f t="shared" si="8"/>
        <v>6.587628865979382</v>
      </c>
      <c r="O76" s="819">
        <f t="shared" si="9"/>
        <v>0</v>
      </c>
      <c r="P76" s="860"/>
    </row>
    <row r="77" spans="1:16" ht="13.5" thickBot="1">
      <c r="A77" s="1145"/>
      <c r="B77" s="440"/>
      <c r="C77" s="824" t="s">
        <v>477</v>
      </c>
      <c r="D77" s="420" t="s">
        <v>3615</v>
      </c>
      <c r="E77" s="823">
        <v>88.659793814432987</v>
      </c>
      <c r="F77" s="822">
        <f t="shared" si="0"/>
        <v>53.19587628865979</v>
      </c>
      <c r="G77" s="821">
        <f t="shared" si="1"/>
        <v>0</v>
      </c>
      <c r="H77" s="60">
        <f t="shared" si="2"/>
        <v>4.4258969072164946</v>
      </c>
      <c r="I77" s="819">
        <f t="shared" si="3"/>
        <v>0</v>
      </c>
      <c r="J77" s="820">
        <f t="shared" si="4"/>
        <v>1.6650309278350515</v>
      </c>
      <c r="K77" s="819">
        <f t="shared" si="5"/>
        <v>0</v>
      </c>
      <c r="L77" s="60">
        <f t="shared" si="6"/>
        <v>1.3618144329896906</v>
      </c>
      <c r="M77" s="819">
        <f t="shared" si="7"/>
        <v>0</v>
      </c>
      <c r="N77" s="820">
        <f t="shared" si="8"/>
        <v>1.1330721649484534</v>
      </c>
      <c r="O77" s="819">
        <f t="shared" si="9"/>
        <v>0</v>
      </c>
      <c r="P77" s="860"/>
    </row>
    <row r="78" spans="1:16" ht="13.5" thickBot="1">
      <c r="A78" s="1145"/>
      <c r="B78" s="440"/>
      <c r="C78" s="824" t="s">
        <v>692</v>
      </c>
      <c r="D78" s="825" t="s">
        <v>3510</v>
      </c>
      <c r="E78" s="823">
        <v>126.80412371134021</v>
      </c>
      <c r="F78" s="822">
        <f t="shared" si="0"/>
        <v>76.082474226804123</v>
      </c>
      <c r="G78" s="821">
        <f t="shared" si="1"/>
        <v>0</v>
      </c>
      <c r="H78" s="60">
        <f t="shared" si="2"/>
        <v>6.3300618556701025</v>
      </c>
      <c r="I78" s="819">
        <f t="shared" si="3"/>
        <v>0</v>
      </c>
      <c r="J78" s="820">
        <f t="shared" si="4"/>
        <v>2.3813814432989693</v>
      </c>
      <c r="K78" s="819">
        <f t="shared" si="5"/>
        <v>0</v>
      </c>
      <c r="L78" s="60">
        <f t="shared" si="6"/>
        <v>1.9477113402061856</v>
      </c>
      <c r="M78" s="819">
        <f t="shared" si="7"/>
        <v>0</v>
      </c>
      <c r="N78" s="820">
        <f t="shared" si="8"/>
        <v>1.6205567010309279</v>
      </c>
      <c r="O78" s="819">
        <f t="shared" si="9"/>
        <v>0</v>
      </c>
      <c r="P78" s="860"/>
    </row>
    <row r="79" spans="1:16" ht="13.5" thickBot="1">
      <c r="A79" s="1145"/>
      <c r="B79" s="440"/>
      <c r="C79" s="824" t="s">
        <v>693</v>
      </c>
      <c r="D79" s="420" t="s">
        <v>674</v>
      </c>
      <c r="E79" s="823">
        <v>129.89690721649484</v>
      </c>
      <c r="F79" s="822">
        <f t="shared" si="0"/>
        <v>77.9381443298969</v>
      </c>
      <c r="G79" s="821">
        <f t="shared" si="1"/>
        <v>0</v>
      </c>
      <c r="H79" s="60">
        <f t="shared" si="2"/>
        <v>6.4844536082474216</v>
      </c>
      <c r="I79" s="819">
        <f t="shared" si="3"/>
        <v>0</v>
      </c>
      <c r="J79" s="820">
        <f t="shared" si="4"/>
        <v>2.4394639175257731</v>
      </c>
      <c r="K79" s="819">
        <f t="shared" si="5"/>
        <v>0</v>
      </c>
      <c r="L79" s="60">
        <f t="shared" si="6"/>
        <v>1.9952164948453608</v>
      </c>
      <c r="M79" s="819">
        <f t="shared" si="7"/>
        <v>0</v>
      </c>
      <c r="N79" s="820">
        <f t="shared" si="8"/>
        <v>1.6600824742268039</v>
      </c>
      <c r="O79" s="819">
        <f t="shared" si="9"/>
        <v>0</v>
      </c>
      <c r="P79" s="860"/>
    </row>
    <row r="80" spans="1:16" ht="26.25" thickBot="1">
      <c r="A80" s="1145"/>
      <c r="B80" s="440"/>
      <c r="C80" s="419" t="s">
        <v>438</v>
      </c>
      <c r="D80" s="420" t="s">
        <v>594</v>
      </c>
      <c r="E80" s="823">
        <v>1134.020618556701</v>
      </c>
      <c r="F80" s="822">
        <f t="shared" si="0"/>
        <v>680.41237113402065</v>
      </c>
      <c r="G80" s="821">
        <f t="shared" si="1"/>
        <v>0</v>
      </c>
      <c r="H80" s="60">
        <f t="shared" si="2"/>
        <v>56.610309278350513</v>
      </c>
      <c r="I80" s="819">
        <f t="shared" si="3"/>
        <v>0</v>
      </c>
      <c r="J80" s="820">
        <f t="shared" si="4"/>
        <v>21.296907216494848</v>
      </c>
      <c r="K80" s="819">
        <f t="shared" si="5"/>
        <v>0</v>
      </c>
      <c r="L80" s="60">
        <f t="shared" si="6"/>
        <v>17.41855670103093</v>
      </c>
      <c r="M80" s="819">
        <f t="shared" si="7"/>
        <v>0</v>
      </c>
      <c r="N80" s="820">
        <f t="shared" si="8"/>
        <v>14.492783505154639</v>
      </c>
      <c r="O80" s="819">
        <f t="shared" si="9"/>
        <v>0</v>
      </c>
      <c r="P80" s="860"/>
    </row>
    <row r="81" spans="1:16" ht="13.5" thickBot="1">
      <c r="A81" s="1145"/>
      <c r="B81" s="440"/>
      <c r="C81" s="824" t="s">
        <v>439</v>
      </c>
      <c r="D81" s="827" t="s">
        <v>595</v>
      </c>
      <c r="E81" s="823">
        <v>809.2783505154639</v>
      </c>
      <c r="F81" s="822">
        <f t="shared" si="0"/>
        <v>485.56701030927832</v>
      </c>
      <c r="G81" s="821">
        <f t="shared" si="1"/>
        <v>0</v>
      </c>
      <c r="H81" s="60">
        <f t="shared" si="2"/>
        <v>40.399175257731955</v>
      </c>
      <c r="I81" s="819">
        <f t="shared" si="3"/>
        <v>0</v>
      </c>
      <c r="J81" s="820">
        <f t="shared" si="4"/>
        <v>15.198247422680412</v>
      </c>
      <c r="K81" s="819">
        <f t="shared" si="5"/>
        <v>0</v>
      </c>
      <c r="L81" s="60">
        <f t="shared" si="6"/>
        <v>12.430515463917526</v>
      </c>
      <c r="M81" s="819">
        <f t="shared" si="7"/>
        <v>0</v>
      </c>
      <c r="N81" s="820">
        <f t="shared" si="8"/>
        <v>10.342577319587628</v>
      </c>
      <c r="O81" s="819">
        <f t="shared" si="9"/>
        <v>0</v>
      </c>
      <c r="P81" s="860"/>
    </row>
    <row r="82" spans="1:16" ht="13.5" thickBot="1">
      <c r="A82" s="1145"/>
      <c r="B82" s="445"/>
      <c r="C82" s="824" t="s">
        <v>440</v>
      </c>
      <c r="D82" s="825" t="s">
        <v>418</v>
      </c>
      <c r="E82" s="823">
        <v>688.45360824742261</v>
      </c>
      <c r="F82" s="822">
        <f t="shared" si="0"/>
        <v>413.07216494845358</v>
      </c>
      <c r="G82" s="821">
        <f t="shared" si="1"/>
        <v>0</v>
      </c>
      <c r="H82" s="60">
        <f t="shared" si="2"/>
        <v>34.367604123711338</v>
      </c>
      <c r="I82" s="819">
        <f t="shared" si="3"/>
        <v>0</v>
      </c>
      <c r="J82" s="820">
        <f t="shared" si="4"/>
        <v>12.929158762886598</v>
      </c>
      <c r="K82" s="819">
        <f t="shared" si="5"/>
        <v>0</v>
      </c>
      <c r="L82" s="60">
        <f t="shared" si="6"/>
        <v>10.574647422680412</v>
      </c>
      <c r="M82" s="819">
        <f t="shared" si="7"/>
        <v>0</v>
      </c>
      <c r="N82" s="820">
        <f t="shared" si="8"/>
        <v>8.7984371134020609</v>
      </c>
      <c r="O82" s="819">
        <f t="shared" si="9"/>
        <v>0</v>
      </c>
      <c r="P82" s="860"/>
    </row>
    <row r="83" spans="1:16" ht="13.5" thickBot="1">
      <c r="A83" s="1145"/>
      <c r="B83" s="440"/>
      <c r="C83" s="824" t="s">
        <v>441</v>
      </c>
      <c r="D83" s="825" t="s">
        <v>596</v>
      </c>
      <c r="E83" s="823">
        <v>846.39175257731961</v>
      </c>
      <c r="F83" s="822">
        <f t="shared" si="0"/>
        <v>507.83505154639175</v>
      </c>
      <c r="G83" s="821">
        <f t="shared" si="1"/>
        <v>0</v>
      </c>
      <c r="H83" s="60">
        <f t="shared" si="2"/>
        <v>42.251876288659794</v>
      </c>
      <c r="I83" s="819">
        <f t="shared" si="3"/>
        <v>0</v>
      </c>
      <c r="J83" s="820">
        <f t="shared" si="4"/>
        <v>15.895237113402063</v>
      </c>
      <c r="K83" s="819">
        <f t="shared" si="5"/>
        <v>0</v>
      </c>
      <c r="L83" s="60">
        <f t="shared" si="6"/>
        <v>13.000577319587629</v>
      </c>
      <c r="M83" s="819">
        <f t="shared" si="7"/>
        <v>0</v>
      </c>
      <c r="N83" s="820">
        <f t="shared" si="8"/>
        <v>10.816886597938144</v>
      </c>
      <c r="O83" s="819">
        <f t="shared" si="9"/>
        <v>0</v>
      </c>
      <c r="P83" s="860"/>
    </row>
    <row r="84" spans="1:16" ht="13.5" thickBot="1">
      <c r="A84" s="1145"/>
      <c r="B84" s="440"/>
      <c r="C84" s="824" t="s">
        <v>442</v>
      </c>
      <c r="D84" s="825" t="s">
        <v>597</v>
      </c>
      <c r="E84" s="823">
        <v>711.34020618556701</v>
      </c>
      <c r="F84" s="822">
        <f t="shared" si="0"/>
        <v>426.8041237113402</v>
      </c>
      <c r="G84" s="821">
        <f t="shared" si="1"/>
        <v>0</v>
      </c>
      <c r="H84" s="60">
        <f t="shared" si="2"/>
        <v>35.510103092783503</v>
      </c>
      <c r="I84" s="819">
        <f t="shared" si="3"/>
        <v>0</v>
      </c>
      <c r="J84" s="820">
        <f t="shared" si="4"/>
        <v>13.358969072164948</v>
      </c>
      <c r="K84" s="819">
        <f t="shared" si="5"/>
        <v>0</v>
      </c>
      <c r="L84" s="60">
        <f t="shared" si="6"/>
        <v>10.926185567010309</v>
      </c>
      <c r="M84" s="819">
        <f t="shared" si="7"/>
        <v>0</v>
      </c>
      <c r="N84" s="820">
        <f t="shared" si="8"/>
        <v>9.0909278350515468</v>
      </c>
      <c r="O84" s="819">
        <f t="shared" si="9"/>
        <v>0</v>
      </c>
      <c r="P84" s="860"/>
    </row>
    <row r="85" spans="1:16" ht="13.5" thickBot="1">
      <c r="A85" s="1145"/>
      <c r="B85" s="441"/>
      <c r="C85" s="824" t="s">
        <v>443</v>
      </c>
      <c r="D85" s="825" t="s">
        <v>598</v>
      </c>
      <c r="E85" s="823">
        <v>196.90721649484536</v>
      </c>
      <c r="F85" s="822">
        <f t="shared" si="0"/>
        <v>118.14432989690721</v>
      </c>
      <c r="G85" s="821">
        <f t="shared" si="1"/>
        <v>0</v>
      </c>
      <c r="H85" s="60">
        <f t="shared" si="2"/>
        <v>9.82960824742268</v>
      </c>
      <c r="I85" s="819">
        <f t="shared" si="3"/>
        <v>0</v>
      </c>
      <c r="J85" s="820">
        <f t="shared" si="4"/>
        <v>3.697917525773196</v>
      </c>
      <c r="K85" s="819">
        <f t="shared" si="5"/>
        <v>0</v>
      </c>
      <c r="L85" s="60">
        <f t="shared" si="6"/>
        <v>3.0244948453608247</v>
      </c>
      <c r="M85" s="819">
        <f t="shared" si="7"/>
        <v>0</v>
      </c>
      <c r="N85" s="820">
        <f t="shared" si="8"/>
        <v>2.5164742268041236</v>
      </c>
      <c r="O85" s="819">
        <f t="shared" si="9"/>
        <v>0</v>
      </c>
      <c r="P85" s="860"/>
    </row>
    <row r="86" spans="1:16" ht="13.5" thickBot="1">
      <c r="A86" s="1145"/>
      <c r="B86" s="440"/>
      <c r="C86" s="824" t="s">
        <v>444</v>
      </c>
      <c r="D86" s="825" t="s">
        <v>680</v>
      </c>
      <c r="E86" s="823">
        <v>688.45360824742261</v>
      </c>
      <c r="F86" s="822">
        <f t="shared" si="0"/>
        <v>413.07216494845358</v>
      </c>
      <c r="G86" s="821">
        <f t="shared" si="1"/>
        <v>0</v>
      </c>
      <c r="H86" s="60">
        <f t="shared" si="2"/>
        <v>34.367604123711338</v>
      </c>
      <c r="I86" s="819">
        <f t="shared" si="3"/>
        <v>0</v>
      </c>
      <c r="J86" s="820">
        <f t="shared" si="4"/>
        <v>12.929158762886598</v>
      </c>
      <c r="K86" s="819">
        <f t="shared" si="5"/>
        <v>0</v>
      </c>
      <c r="L86" s="60">
        <f t="shared" si="6"/>
        <v>10.574647422680412</v>
      </c>
      <c r="M86" s="819">
        <f t="shared" si="7"/>
        <v>0</v>
      </c>
      <c r="N86" s="820">
        <f t="shared" si="8"/>
        <v>8.7984371134020609</v>
      </c>
      <c r="O86" s="819">
        <f t="shared" si="9"/>
        <v>0</v>
      </c>
      <c r="P86" s="860"/>
    </row>
    <row r="87" spans="1:16" ht="13.5" thickBot="1">
      <c r="A87" s="1145"/>
      <c r="B87" s="440"/>
      <c r="C87" s="824" t="s">
        <v>445</v>
      </c>
      <c r="D87" s="825" t="s">
        <v>681</v>
      </c>
      <c r="E87" s="823">
        <v>257.73195876288662</v>
      </c>
      <c r="F87" s="822">
        <f t="shared" si="0"/>
        <v>154.63917525773198</v>
      </c>
      <c r="G87" s="821">
        <f t="shared" si="1"/>
        <v>0</v>
      </c>
      <c r="H87" s="60">
        <f t="shared" si="2"/>
        <v>12.865979381443299</v>
      </c>
      <c r="I87" s="819">
        <f t="shared" si="3"/>
        <v>0</v>
      </c>
      <c r="J87" s="820">
        <f t="shared" si="4"/>
        <v>4.8402061855670109</v>
      </c>
      <c r="K87" s="819">
        <f t="shared" si="5"/>
        <v>0</v>
      </c>
      <c r="L87" s="60">
        <f t="shared" si="6"/>
        <v>3.9587628865979387</v>
      </c>
      <c r="M87" s="819">
        <f t="shared" si="7"/>
        <v>0</v>
      </c>
      <c r="N87" s="820">
        <f t="shared" si="8"/>
        <v>3.293814432989691</v>
      </c>
      <c r="O87" s="819">
        <f t="shared" si="9"/>
        <v>0</v>
      </c>
      <c r="P87" s="860"/>
    </row>
    <row r="88" spans="1:16" ht="13.5" thickBot="1">
      <c r="A88" s="1145"/>
      <c r="B88" s="440"/>
      <c r="C88" s="824" t="s">
        <v>3487</v>
      </c>
      <c r="D88" s="825" t="s">
        <v>3507</v>
      </c>
      <c r="E88" s="823">
        <v>407.21649484536084</v>
      </c>
      <c r="F88" s="822">
        <f t="shared" si="0"/>
        <v>244.32989690721649</v>
      </c>
      <c r="G88" s="821">
        <f t="shared" si="1"/>
        <v>0</v>
      </c>
      <c r="H88" s="60">
        <f t="shared" si="2"/>
        <v>20.328247422680413</v>
      </c>
      <c r="I88" s="819">
        <f t="shared" si="3"/>
        <v>0</v>
      </c>
      <c r="J88" s="820">
        <f t="shared" si="4"/>
        <v>7.647525773195877</v>
      </c>
      <c r="K88" s="819">
        <f t="shared" si="5"/>
        <v>0</v>
      </c>
      <c r="L88" s="60">
        <f t="shared" si="6"/>
        <v>6.254845360824743</v>
      </c>
      <c r="M88" s="819">
        <f t="shared" si="7"/>
        <v>0</v>
      </c>
      <c r="N88" s="820">
        <f t="shared" si="8"/>
        <v>5.204226804123711</v>
      </c>
      <c r="O88" s="819">
        <f t="shared" si="9"/>
        <v>0</v>
      </c>
      <c r="P88" s="860"/>
    </row>
    <row r="89" spans="1:16" ht="13.5" thickBot="1">
      <c r="A89" s="1145"/>
      <c r="B89" s="440"/>
      <c r="C89" s="824" t="s">
        <v>694</v>
      </c>
      <c r="D89" s="827" t="s">
        <v>3527</v>
      </c>
      <c r="E89" s="823">
        <v>1835.8762886597938</v>
      </c>
      <c r="F89" s="822">
        <f t="shared" si="0"/>
        <v>1101.5257731958761</v>
      </c>
      <c r="G89" s="821">
        <f t="shared" si="1"/>
        <v>0</v>
      </c>
      <c r="H89" s="60">
        <f t="shared" si="2"/>
        <v>91.646944329896883</v>
      </c>
      <c r="I89" s="819">
        <f t="shared" si="3"/>
        <v>0</v>
      </c>
      <c r="J89" s="820">
        <f t="shared" si="4"/>
        <v>34.477756701030927</v>
      </c>
      <c r="K89" s="819">
        <f t="shared" si="5"/>
        <v>0</v>
      </c>
      <c r="L89" s="60">
        <f t="shared" si="6"/>
        <v>28.199059793814431</v>
      </c>
      <c r="M89" s="819">
        <f t="shared" si="7"/>
        <v>0</v>
      </c>
      <c r="N89" s="820">
        <f t="shared" si="8"/>
        <v>23.462498969072161</v>
      </c>
      <c r="O89" s="819">
        <f t="shared" si="9"/>
        <v>0</v>
      </c>
      <c r="P89" s="860"/>
    </row>
    <row r="90" spans="1:16" ht="13.5" thickBot="1">
      <c r="A90" s="1145"/>
      <c r="B90" s="441"/>
      <c r="C90" s="824" t="s">
        <v>454</v>
      </c>
      <c r="D90" s="420" t="s">
        <v>3526</v>
      </c>
      <c r="E90" s="823">
        <v>872.1649484536083</v>
      </c>
      <c r="F90" s="822">
        <f t="shared" si="0"/>
        <v>523.29896907216494</v>
      </c>
      <c r="G90" s="821">
        <f t="shared" si="1"/>
        <v>0</v>
      </c>
      <c r="H90" s="60">
        <f t="shared" si="2"/>
        <v>43.538474226804119</v>
      </c>
      <c r="I90" s="819">
        <f t="shared" si="3"/>
        <v>0</v>
      </c>
      <c r="J90" s="820">
        <f t="shared" si="4"/>
        <v>16.379257731958763</v>
      </c>
      <c r="K90" s="819">
        <f t="shared" si="5"/>
        <v>0</v>
      </c>
      <c r="L90" s="60">
        <f t="shared" si="6"/>
        <v>13.396453608247423</v>
      </c>
      <c r="M90" s="819">
        <f t="shared" si="7"/>
        <v>0</v>
      </c>
      <c r="N90" s="820">
        <f t="shared" si="8"/>
        <v>11.146268041237112</v>
      </c>
      <c r="O90" s="819">
        <f t="shared" si="9"/>
        <v>0</v>
      </c>
      <c r="P90" s="860"/>
    </row>
    <row r="91" spans="1:16" ht="13.5" thickBot="1">
      <c r="A91" s="1145"/>
      <c r="B91" s="440"/>
      <c r="C91" s="824" t="s">
        <v>70</v>
      </c>
      <c r="D91" s="420" t="s">
        <v>682</v>
      </c>
      <c r="E91" s="823">
        <v>61.855670103092784</v>
      </c>
      <c r="F91" s="822">
        <f t="shared" si="0"/>
        <v>37.113402061855666</v>
      </c>
      <c r="G91" s="821">
        <f t="shared" si="1"/>
        <v>0</v>
      </c>
      <c r="H91" s="60">
        <f t="shared" si="2"/>
        <v>3.0878350515463913</v>
      </c>
      <c r="I91" s="819">
        <f t="shared" si="3"/>
        <v>0</v>
      </c>
      <c r="J91" s="820">
        <f t="shared" si="4"/>
        <v>1.1616494845360823</v>
      </c>
      <c r="K91" s="819">
        <f t="shared" si="5"/>
        <v>0</v>
      </c>
      <c r="L91" s="60">
        <f t="shared" si="6"/>
        <v>0.95010309278350513</v>
      </c>
      <c r="M91" s="819">
        <f t="shared" si="7"/>
        <v>0</v>
      </c>
      <c r="N91" s="820">
        <f t="shared" si="8"/>
        <v>0.7905154639175257</v>
      </c>
      <c r="O91" s="819">
        <f t="shared" si="9"/>
        <v>0</v>
      </c>
      <c r="P91" s="860"/>
    </row>
    <row r="92" spans="1:16" ht="13.5" thickBot="1">
      <c r="A92" s="1145"/>
      <c r="B92" s="440"/>
      <c r="C92" s="824" t="s">
        <v>456</v>
      </c>
      <c r="D92" s="420" t="s">
        <v>683</v>
      </c>
      <c r="E92" s="823">
        <v>123.71134020618557</v>
      </c>
      <c r="F92" s="822">
        <f t="shared" si="0"/>
        <v>74.226804123711332</v>
      </c>
      <c r="G92" s="821">
        <f t="shared" si="1"/>
        <v>0</v>
      </c>
      <c r="H92" s="60">
        <f t="shared" si="2"/>
        <v>6.1756701030927825</v>
      </c>
      <c r="I92" s="819">
        <f t="shared" si="3"/>
        <v>0</v>
      </c>
      <c r="J92" s="820">
        <f t="shared" si="4"/>
        <v>2.3232989690721646</v>
      </c>
      <c r="K92" s="819">
        <f t="shared" si="5"/>
        <v>0</v>
      </c>
      <c r="L92" s="60">
        <f t="shared" si="6"/>
        <v>1.9002061855670103</v>
      </c>
      <c r="M92" s="819">
        <f t="shared" si="7"/>
        <v>0</v>
      </c>
      <c r="N92" s="820">
        <f t="shared" si="8"/>
        <v>1.5810309278350514</v>
      </c>
      <c r="O92" s="819">
        <f t="shared" si="9"/>
        <v>0</v>
      </c>
      <c r="P92" s="860"/>
    </row>
    <row r="93" spans="1:16" ht="13.5" thickBot="1">
      <c r="A93" s="1145"/>
      <c r="B93" s="440"/>
      <c r="C93" s="824" t="s">
        <v>695</v>
      </c>
      <c r="D93" s="420" t="s">
        <v>3531</v>
      </c>
      <c r="E93" s="823">
        <v>941.23711340206194</v>
      </c>
      <c r="F93" s="822">
        <f t="shared" si="0"/>
        <v>564.74226804123714</v>
      </c>
      <c r="G93" s="821">
        <f t="shared" si="1"/>
        <v>0</v>
      </c>
      <c r="H93" s="60">
        <f t="shared" si="2"/>
        <v>46.986556701030928</v>
      </c>
      <c r="I93" s="819">
        <f t="shared" si="3"/>
        <v>0</v>
      </c>
      <c r="J93" s="820">
        <f t="shared" si="4"/>
        <v>17.676432989690724</v>
      </c>
      <c r="K93" s="819">
        <f t="shared" si="5"/>
        <v>0</v>
      </c>
      <c r="L93" s="60">
        <f t="shared" si="6"/>
        <v>14.457402061855671</v>
      </c>
      <c r="M93" s="819">
        <f t="shared" si="7"/>
        <v>0</v>
      </c>
      <c r="N93" s="820">
        <f t="shared" si="8"/>
        <v>12.02901030927835</v>
      </c>
      <c r="O93" s="819">
        <f t="shared" si="9"/>
        <v>0</v>
      </c>
      <c r="P93" s="860"/>
    </row>
    <row r="94" spans="1:16" ht="13.5" thickBot="1">
      <c r="A94" s="1145"/>
      <c r="B94" s="445"/>
      <c r="C94" s="824" t="s">
        <v>696</v>
      </c>
      <c r="D94" s="420" t="s">
        <v>3532</v>
      </c>
      <c r="E94" s="823">
        <v>1227.8350515463917</v>
      </c>
      <c r="F94" s="822">
        <f t="shared" si="0"/>
        <v>736.70103092783495</v>
      </c>
      <c r="G94" s="821">
        <f t="shared" si="1"/>
        <v>0</v>
      </c>
      <c r="H94" s="60">
        <f t="shared" si="2"/>
        <v>61.293525773195867</v>
      </c>
      <c r="I94" s="819">
        <f t="shared" si="3"/>
        <v>0</v>
      </c>
      <c r="J94" s="820">
        <f t="shared" si="4"/>
        <v>23.058742268041236</v>
      </c>
      <c r="K94" s="819">
        <f t="shared" si="5"/>
        <v>0</v>
      </c>
      <c r="L94" s="60">
        <f t="shared" si="6"/>
        <v>18.859546391752577</v>
      </c>
      <c r="M94" s="819">
        <f t="shared" si="7"/>
        <v>0</v>
      </c>
      <c r="N94" s="820">
        <f t="shared" si="8"/>
        <v>15.691731958762883</v>
      </c>
      <c r="O94" s="819">
        <f t="shared" si="9"/>
        <v>0</v>
      </c>
      <c r="P94" s="860"/>
    </row>
    <row r="95" spans="1:16" ht="13.5" thickBot="1">
      <c r="A95" s="1145"/>
      <c r="B95" s="441"/>
      <c r="C95" s="824" t="s">
        <v>697</v>
      </c>
      <c r="D95" s="825" t="s">
        <v>3529</v>
      </c>
      <c r="E95" s="823">
        <v>1445.3608247422681</v>
      </c>
      <c r="F95" s="822">
        <f t="shared" si="0"/>
        <v>867.21649484536078</v>
      </c>
      <c r="G95" s="821">
        <f t="shared" si="1"/>
        <v>0</v>
      </c>
      <c r="H95" s="60">
        <f t="shared" si="2"/>
        <v>72.15241237113402</v>
      </c>
      <c r="I95" s="819">
        <f t="shared" si="3"/>
        <v>0</v>
      </c>
      <c r="J95" s="820">
        <f t="shared" si="4"/>
        <v>27.143876288659794</v>
      </c>
      <c r="K95" s="819">
        <f t="shared" si="5"/>
        <v>0</v>
      </c>
      <c r="L95" s="60">
        <f t="shared" si="6"/>
        <v>22.200742268041235</v>
      </c>
      <c r="M95" s="819">
        <f t="shared" si="7"/>
        <v>0</v>
      </c>
      <c r="N95" s="820">
        <f t="shared" si="8"/>
        <v>18.471711340206184</v>
      </c>
      <c r="O95" s="819">
        <f t="shared" si="9"/>
        <v>0</v>
      </c>
      <c r="P95" s="860"/>
    </row>
    <row r="96" spans="1:16" ht="13.5" thickBot="1">
      <c r="A96" s="1145"/>
      <c r="B96" s="440"/>
      <c r="C96" s="824" t="s">
        <v>3504</v>
      </c>
      <c r="D96" s="825" t="s">
        <v>3530</v>
      </c>
      <c r="E96" s="823">
        <v>1720.6185567010309</v>
      </c>
      <c r="F96" s="822">
        <f t="shared" si="0"/>
        <v>1032.3711340206185</v>
      </c>
      <c r="G96" s="821">
        <f t="shared" si="1"/>
        <v>0</v>
      </c>
      <c r="H96" s="60">
        <f t="shared" si="2"/>
        <v>85.893278350515445</v>
      </c>
      <c r="I96" s="819">
        <f t="shared" si="3"/>
        <v>0</v>
      </c>
      <c r="J96" s="820">
        <f t="shared" si="4"/>
        <v>32.313216494845356</v>
      </c>
      <c r="K96" s="819">
        <f t="shared" si="5"/>
        <v>0</v>
      </c>
      <c r="L96" s="60">
        <f t="shared" si="6"/>
        <v>26.428701030927833</v>
      </c>
      <c r="M96" s="819">
        <f t="shared" si="7"/>
        <v>0</v>
      </c>
      <c r="N96" s="820">
        <f t="shared" si="8"/>
        <v>21.989505154639172</v>
      </c>
      <c r="O96" s="819">
        <f t="shared" si="9"/>
        <v>0</v>
      </c>
      <c r="P96" s="860"/>
    </row>
    <row r="97" spans="1:16" ht="13.5" thickBot="1">
      <c r="A97" s="1145"/>
      <c r="B97" s="441"/>
      <c r="C97" s="824" t="s">
        <v>450</v>
      </c>
      <c r="D97" s="825" t="s">
        <v>3570</v>
      </c>
      <c r="E97" s="823">
        <v>604.12371134020623</v>
      </c>
      <c r="F97" s="822">
        <f t="shared" si="0"/>
        <v>362.4742268041237</v>
      </c>
      <c r="G97" s="821">
        <f t="shared" si="1"/>
        <v>0</v>
      </c>
      <c r="H97" s="60">
        <f t="shared" si="2"/>
        <v>30.157855670103089</v>
      </c>
      <c r="I97" s="819">
        <f t="shared" si="3"/>
        <v>0</v>
      </c>
      <c r="J97" s="820">
        <f t="shared" si="4"/>
        <v>11.345443298969073</v>
      </c>
      <c r="K97" s="819">
        <f t="shared" si="5"/>
        <v>0</v>
      </c>
      <c r="L97" s="60">
        <f t="shared" si="6"/>
        <v>9.2793402061855677</v>
      </c>
      <c r="M97" s="819">
        <f t="shared" si="7"/>
        <v>0</v>
      </c>
      <c r="N97" s="820">
        <f t="shared" si="8"/>
        <v>7.7207010309278346</v>
      </c>
      <c r="O97" s="819">
        <f t="shared" si="9"/>
        <v>0</v>
      </c>
      <c r="P97" s="860"/>
    </row>
    <row r="98" spans="1:16" s="729" customFormat="1" ht="13.5" thickBot="1">
      <c r="A98" s="1145"/>
      <c r="B98" s="441"/>
      <c r="C98" s="419" t="s">
        <v>3499</v>
      </c>
      <c r="D98" s="420" t="s">
        <v>3522</v>
      </c>
      <c r="E98" s="826">
        <v>604.12371134020623</v>
      </c>
      <c r="F98" s="59">
        <f t="shared" si="0"/>
        <v>362.4742268041237</v>
      </c>
      <c r="G98" s="527">
        <f t="shared" si="1"/>
        <v>0</v>
      </c>
      <c r="H98" s="528">
        <f t="shared" si="2"/>
        <v>30.157855670103089</v>
      </c>
      <c r="I98" s="528">
        <f t="shared" si="3"/>
        <v>0</v>
      </c>
      <c r="J98" s="528">
        <f t="shared" si="4"/>
        <v>11.345443298969073</v>
      </c>
      <c r="K98" s="528">
        <f t="shared" si="5"/>
        <v>0</v>
      </c>
      <c r="L98" s="528">
        <f t="shared" si="6"/>
        <v>9.2793402061855677</v>
      </c>
      <c r="M98" s="528">
        <f t="shared" si="7"/>
        <v>0</v>
      </c>
      <c r="N98" s="528">
        <f t="shared" si="8"/>
        <v>7.7207010309278346</v>
      </c>
      <c r="O98" s="528">
        <f t="shared" si="9"/>
        <v>0</v>
      </c>
      <c r="P98" s="860"/>
    </row>
    <row r="99" spans="1:16" ht="13.5" thickBot="1">
      <c r="A99" s="1145"/>
      <c r="B99" s="440"/>
      <c r="C99" s="824" t="s">
        <v>698</v>
      </c>
      <c r="D99" s="420" t="s">
        <v>3565</v>
      </c>
      <c r="E99" s="823">
        <v>1262.8865979381444</v>
      </c>
      <c r="F99" s="822">
        <f t="shared" si="0"/>
        <v>757.73195876288662</v>
      </c>
      <c r="G99" s="821">
        <f t="shared" si="1"/>
        <v>0</v>
      </c>
      <c r="H99" s="60">
        <f t="shared" si="2"/>
        <v>63.043298969072161</v>
      </c>
      <c r="I99" s="819">
        <f t="shared" si="3"/>
        <v>0</v>
      </c>
      <c r="J99" s="820">
        <f t="shared" si="4"/>
        <v>23.717010309278351</v>
      </c>
      <c r="K99" s="819">
        <f t="shared" si="5"/>
        <v>0</v>
      </c>
      <c r="L99" s="60">
        <f t="shared" si="6"/>
        <v>19.397938144329899</v>
      </c>
      <c r="M99" s="819">
        <f t="shared" si="7"/>
        <v>0</v>
      </c>
      <c r="N99" s="820">
        <f t="shared" si="8"/>
        <v>16.139690721649483</v>
      </c>
      <c r="O99" s="819">
        <f t="shared" si="9"/>
        <v>0</v>
      </c>
      <c r="P99" s="860"/>
    </row>
    <row r="100" spans="1:16" ht="13.5" thickBot="1">
      <c r="A100" s="1145"/>
      <c r="B100" s="441"/>
      <c r="C100" s="824" t="s">
        <v>478</v>
      </c>
      <c r="D100" s="420" t="s">
        <v>3560</v>
      </c>
      <c r="E100" s="823">
        <v>27.319587628865982</v>
      </c>
      <c r="F100" s="822">
        <f t="shared" si="0"/>
        <v>16.39175257731959</v>
      </c>
      <c r="G100" s="821">
        <f t="shared" si="1"/>
        <v>0</v>
      </c>
      <c r="H100" s="60">
        <f t="shared" si="2"/>
        <v>1.3637938144329897</v>
      </c>
      <c r="I100" s="819">
        <f t="shared" si="3"/>
        <v>0</v>
      </c>
      <c r="J100" s="820">
        <f t="shared" si="4"/>
        <v>0.51306185567010321</v>
      </c>
      <c r="K100" s="819">
        <f t="shared" si="5"/>
        <v>0</v>
      </c>
      <c r="L100" s="60">
        <f t="shared" si="6"/>
        <v>0.41962886597938154</v>
      </c>
      <c r="M100" s="819">
        <f t="shared" si="7"/>
        <v>0</v>
      </c>
      <c r="N100" s="820">
        <f t="shared" si="8"/>
        <v>0.34914432989690725</v>
      </c>
      <c r="O100" s="819">
        <f t="shared" si="9"/>
        <v>0</v>
      </c>
      <c r="P100" s="860"/>
    </row>
    <row r="101" spans="1:16" ht="13.5" thickBot="1">
      <c r="A101" s="1145"/>
      <c r="B101" s="440"/>
      <c r="C101" s="824" t="s">
        <v>33</v>
      </c>
      <c r="D101" s="420" t="s">
        <v>3563</v>
      </c>
      <c r="E101" s="823">
        <v>30.927835051546392</v>
      </c>
      <c r="F101" s="822">
        <f t="shared" si="0"/>
        <v>18.556701030927833</v>
      </c>
      <c r="G101" s="821">
        <f t="shared" si="1"/>
        <v>0</v>
      </c>
      <c r="H101" s="60">
        <f t="shared" si="2"/>
        <v>1.5439175257731956</v>
      </c>
      <c r="I101" s="819">
        <f t="shared" si="3"/>
        <v>0</v>
      </c>
      <c r="J101" s="820">
        <f t="shared" si="4"/>
        <v>0.58082474226804115</v>
      </c>
      <c r="K101" s="819">
        <f t="shared" si="5"/>
        <v>0</v>
      </c>
      <c r="L101" s="60">
        <f t="shared" si="6"/>
        <v>0.47505154639175257</v>
      </c>
      <c r="M101" s="819">
        <f t="shared" si="7"/>
        <v>0</v>
      </c>
      <c r="N101" s="820">
        <f t="shared" si="8"/>
        <v>0.39525773195876285</v>
      </c>
      <c r="O101" s="819">
        <f t="shared" si="9"/>
        <v>0</v>
      </c>
      <c r="P101" s="860"/>
    </row>
    <row r="102" spans="1:16" ht="13.5" thickBot="1">
      <c r="A102" s="1145"/>
      <c r="B102" s="440"/>
      <c r="C102" s="824" t="s">
        <v>699</v>
      </c>
      <c r="D102" s="825" t="s">
        <v>3616</v>
      </c>
      <c r="E102" s="823">
        <v>586.59793814432987</v>
      </c>
      <c r="F102" s="822">
        <f t="shared" si="0"/>
        <v>351.95876288659792</v>
      </c>
      <c r="G102" s="821">
        <f t="shared" si="1"/>
        <v>0</v>
      </c>
      <c r="H102" s="60">
        <f t="shared" si="2"/>
        <v>29.282969072164946</v>
      </c>
      <c r="I102" s="819">
        <f t="shared" si="3"/>
        <v>0</v>
      </c>
      <c r="J102" s="820">
        <f t="shared" si="4"/>
        <v>11.016309278350516</v>
      </c>
      <c r="K102" s="819">
        <f t="shared" si="5"/>
        <v>0</v>
      </c>
      <c r="L102" s="60">
        <f t="shared" si="6"/>
        <v>9.0101443298969066</v>
      </c>
      <c r="M102" s="819">
        <f t="shared" si="7"/>
        <v>0</v>
      </c>
      <c r="N102" s="820">
        <f t="shared" si="8"/>
        <v>7.4967216494845355</v>
      </c>
      <c r="O102" s="819">
        <f t="shared" si="9"/>
        <v>0</v>
      </c>
      <c r="P102" s="860"/>
    </row>
    <row r="103" spans="1:16" ht="13.5" thickBot="1">
      <c r="A103" s="1145"/>
      <c r="B103" s="440"/>
      <c r="C103" s="824" t="s">
        <v>700</v>
      </c>
      <c r="D103" s="825" t="s">
        <v>3566</v>
      </c>
      <c r="E103" s="823">
        <v>268.04123711340208</v>
      </c>
      <c r="F103" s="822">
        <f t="shared" si="0"/>
        <v>160.82474226804123</v>
      </c>
      <c r="G103" s="821">
        <f t="shared" si="1"/>
        <v>0</v>
      </c>
      <c r="H103" s="60">
        <f t="shared" si="2"/>
        <v>13.38061855670103</v>
      </c>
      <c r="I103" s="819">
        <f t="shared" si="3"/>
        <v>0</v>
      </c>
      <c r="J103" s="820">
        <f t="shared" si="4"/>
        <v>5.0338144329896908</v>
      </c>
      <c r="K103" s="819">
        <f t="shared" si="5"/>
        <v>0</v>
      </c>
      <c r="L103" s="60">
        <f t="shared" si="6"/>
        <v>4.1171134020618556</v>
      </c>
      <c r="M103" s="819">
        <f t="shared" si="7"/>
        <v>0</v>
      </c>
      <c r="N103" s="820">
        <f t="shared" si="8"/>
        <v>3.4255670103092783</v>
      </c>
      <c r="O103" s="819">
        <f t="shared" si="9"/>
        <v>0</v>
      </c>
      <c r="P103" s="860"/>
    </row>
    <row r="104" spans="1:16" ht="13.5" thickBot="1">
      <c r="A104" s="1145"/>
      <c r="B104" s="440"/>
      <c r="C104" s="824" t="s">
        <v>701</v>
      </c>
      <c r="D104" s="420" t="s">
        <v>3617</v>
      </c>
      <c r="E104" s="823">
        <v>305.15463917525773</v>
      </c>
      <c r="F104" s="822">
        <f t="shared" si="0"/>
        <v>183.09278350515464</v>
      </c>
      <c r="G104" s="821">
        <f t="shared" si="1"/>
        <v>0</v>
      </c>
      <c r="H104" s="60">
        <f t="shared" si="2"/>
        <v>15.233319587628866</v>
      </c>
      <c r="I104" s="819">
        <f t="shared" si="3"/>
        <v>0</v>
      </c>
      <c r="J104" s="820">
        <f t="shared" si="4"/>
        <v>5.7308041237113407</v>
      </c>
      <c r="K104" s="819">
        <f t="shared" si="5"/>
        <v>0</v>
      </c>
      <c r="L104" s="60">
        <f t="shared" si="6"/>
        <v>4.6871752577319592</v>
      </c>
      <c r="M104" s="819">
        <f t="shared" si="7"/>
        <v>0</v>
      </c>
      <c r="N104" s="820">
        <f t="shared" si="8"/>
        <v>3.8998762886597937</v>
      </c>
      <c r="O104" s="819">
        <f t="shared" si="9"/>
        <v>0</v>
      </c>
      <c r="P104" s="860"/>
    </row>
    <row r="105" spans="1:16" ht="13.5" thickBot="1">
      <c r="A105" s="1146"/>
      <c r="B105" s="441"/>
      <c r="C105" s="419" t="s">
        <v>453</v>
      </c>
      <c r="D105" s="420" t="s">
        <v>3562</v>
      </c>
      <c r="E105" s="823">
        <v>115.4639175257732</v>
      </c>
      <c r="F105" s="822">
        <f t="shared" si="0"/>
        <v>69.278350515463913</v>
      </c>
      <c r="G105" s="821">
        <f t="shared" si="1"/>
        <v>0</v>
      </c>
      <c r="H105" s="60">
        <f t="shared" si="2"/>
        <v>5.7639587628865971</v>
      </c>
      <c r="I105" s="819">
        <f t="shared" si="3"/>
        <v>0</v>
      </c>
      <c r="J105" s="820">
        <f t="shared" si="4"/>
        <v>2.1684123711340204</v>
      </c>
      <c r="K105" s="819">
        <f t="shared" si="5"/>
        <v>0</v>
      </c>
      <c r="L105" s="60">
        <f t="shared" si="6"/>
        <v>1.7735257731958762</v>
      </c>
      <c r="M105" s="819">
        <f t="shared" si="7"/>
        <v>0</v>
      </c>
      <c r="N105" s="820">
        <f t="shared" si="8"/>
        <v>1.4756288659793813</v>
      </c>
      <c r="O105" s="819">
        <f t="shared" si="9"/>
        <v>0</v>
      </c>
      <c r="P105" s="860"/>
    </row>
    <row r="106" spans="1:16">
      <c r="D106" s="1147" t="s">
        <v>183</v>
      </c>
      <c r="E106" s="1124"/>
      <c r="F106" s="1124"/>
      <c r="G106" s="817">
        <f t="array" ref="G106">SUM(G50:G105)+G38:G50:G105+G42:G50:G105+G46</f>
        <v>0</v>
      </c>
      <c r="H106" s="777" t="s">
        <v>184</v>
      </c>
      <c r="I106" s="817">
        <f t="array" ref="I106">SUM(I50:I105)+I38:I50:I105+I42:I50:I105+I46</f>
        <v>0</v>
      </c>
      <c r="J106" s="777" t="s">
        <v>185</v>
      </c>
      <c r="K106" s="817">
        <f t="array" ref="K106">SUM(K50:K105)+K38:K50:K105+K42:K50:K105+K46</f>
        <v>0</v>
      </c>
      <c r="L106" s="777" t="s">
        <v>186</v>
      </c>
      <c r="M106" s="817">
        <f t="array" ref="M106">SUM(M50:M105)+M38:M50:M105+M42:M50:M105+M46</f>
        <v>0</v>
      </c>
      <c r="N106" s="777" t="s">
        <v>187</v>
      </c>
      <c r="O106" s="817">
        <f t="array" ref="O106">SUM(O50:O105)+O38:O50:O105+O42:O50:O105+O46</f>
        <v>0</v>
      </c>
    </row>
  </sheetData>
  <mergeCells count="60">
    <mergeCell ref="A49:O49"/>
    <mergeCell ref="A50:A105"/>
    <mergeCell ref="D106:F106"/>
    <mergeCell ref="O42:O44"/>
    <mergeCell ref="A46:A48"/>
    <mergeCell ref="B46:B48"/>
    <mergeCell ref="G46:G48"/>
    <mergeCell ref="I46:I48"/>
    <mergeCell ref="K46:K48"/>
    <mergeCell ref="M46:M48"/>
    <mergeCell ref="O46:O48"/>
    <mergeCell ref="A42:A44"/>
    <mergeCell ref="B42:B44"/>
    <mergeCell ref="G42:G44"/>
    <mergeCell ref="I42:I44"/>
    <mergeCell ref="K42:K44"/>
    <mergeCell ref="F33:J33"/>
    <mergeCell ref="A38:A40"/>
    <mergeCell ref="B38:B40"/>
    <mergeCell ref="G38:G40"/>
    <mergeCell ref="I38:I40"/>
    <mergeCell ref="M42:M44"/>
    <mergeCell ref="F34:J34"/>
    <mergeCell ref="F36:G36"/>
    <mergeCell ref="H36:O36"/>
    <mergeCell ref="M38:M40"/>
    <mergeCell ref="O38:O40"/>
    <mergeCell ref="K38:K40"/>
    <mergeCell ref="A31:C31"/>
    <mergeCell ref="E31:H31"/>
    <mergeCell ref="I31:K31"/>
    <mergeCell ref="L31:M31"/>
    <mergeCell ref="N31:O31"/>
    <mergeCell ref="N29:O29"/>
    <mergeCell ref="A30:C30"/>
    <mergeCell ref="E30:H30"/>
    <mergeCell ref="I30:K30"/>
    <mergeCell ref="L30:M30"/>
    <mergeCell ref="N30:O30"/>
    <mergeCell ref="A29:C29"/>
    <mergeCell ref="E29:H29"/>
    <mergeCell ref="I29:K29"/>
    <mergeCell ref="L29:M29"/>
    <mergeCell ref="A27:C27"/>
    <mergeCell ref="E27:H27"/>
    <mergeCell ref="I27:K27"/>
    <mergeCell ref="L27:M27"/>
    <mergeCell ref="N27:O27"/>
    <mergeCell ref="A28:C28"/>
    <mergeCell ref="E28:H28"/>
    <mergeCell ref="I28:K28"/>
    <mergeCell ref="L28:M28"/>
    <mergeCell ref="N28:O28"/>
    <mergeCell ref="A4:O4"/>
    <mergeCell ref="A5:O5"/>
    <mergeCell ref="F10:I10"/>
    <mergeCell ref="A25:O25"/>
    <mergeCell ref="A26:D26"/>
    <mergeCell ref="E26:K26"/>
    <mergeCell ref="L26:O26"/>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4">
    <tabColor theme="7" tint="-0.499984740745262"/>
  </sheetPr>
  <dimension ref="A1:L39"/>
  <sheetViews>
    <sheetView zoomScaleNormal="100" workbookViewId="0">
      <selection activeCell="G60" sqref="G60"/>
    </sheetView>
  </sheetViews>
  <sheetFormatPr defaultRowHeight="12.75"/>
  <cols>
    <col min="1" max="1" width="46" bestFit="1" customWidth="1"/>
    <col min="2" max="2" width="72.140625" bestFit="1" customWidth="1"/>
    <col min="3" max="3" width="12.28515625" bestFit="1" customWidth="1"/>
    <col min="4" max="4" width="16" bestFit="1" customWidth="1"/>
  </cols>
  <sheetData>
    <row r="1" spans="1:4" s="612" customFormat="1" ht="27">
      <c r="A1" s="1404" t="s">
        <v>2773</v>
      </c>
      <c r="B1" s="1405"/>
      <c r="C1" s="1405"/>
      <c r="D1" s="1405"/>
    </row>
    <row r="2" spans="1:4">
      <c r="A2" s="608" t="s">
        <v>2254</v>
      </c>
      <c r="B2" s="608" t="s">
        <v>171</v>
      </c>
      <c r="C2" s="608" t="s">
        <v>2255</v>
      </c>
      <c r="D2" s="608" t="s">
        <v>2256</v>
      </c>
    </row>
    <row r="3" spans="1:4">
      <c r="A3" t="s">
        <v>1658</v>
      </c>
    </row>
    <row r="4" spans="1:4">
      <c r="A4" s="1390" t="s">
        <v>1248</v>
      </c>
      <c r="B4" s="1391"/>
      <c r="C4" s="1391"/>
      <c r="D4" s="1391"/>
    </row>
    <row r="5" spans="1:4">
      <c r="A5" s="609" t="s">
        <v>2774</v>
      </c>
      <c r="B5" s="609" t="s">
        <v>2775</v>
      </c>
      <c r="C5" s="609" t="s">
        <v>2776</v>
      </c>
      <c r="D5" s="610">
        <v>1100</v>
      </c>
    </row>
    <row r="6" spans="1:4">
      <c r="A6" s="609" t="s">
        <v>2777</v>
      </c>
      <c r="B6" s="609" t="s">
        <v>2778</v>
      </c>
      <c r="C6" s="609" t="s">
        <v>2779</v>
      </c>
      <c r="D6" s="610">
        <v>6000</v>
      </c>
    </row>
    <row r="7" spans="1:4">
      <c r="A7" t="s">
        <v>1658</v>
      </c>
    </row>
    <row r="8" spans="1:4">
      <c r="A8" s="1390" t="s">
        <v>1764</v>
      </c>
      <c r="B8" s="1391"/>
      <c r="C8" s="1391"/>
      <c r="D8" s="1391"/>
    </row>
    <row r="9" spans="1:4">
      <c r="A9" s="609" t="s">
        <v>2780</v>
      </c>
      <c r="B9" s="609" t="s">
        <v>2781</v>
      </c>
      <c r="C9" s="609" t="s">
        <v>2782</v>
      </c>
      <c r="D9" s="610">
        <v>220</v>
      </c>
    </row>
    <row r="10" spans="1:4">
      <c r="A10" s="609" t="s">
        <v>2783</v>
      </c>
      <c r="B10" s="609" t="s">
        <v>2784</v>
      </c>
      <c r="C10" s="609" t="s">
        <v>2785</v>
      </c>
      <c r="D10" s="610">
        <v>1200</v>
      </c>
    </row>
    <row r="11" spans="1:4">
      <c r="A11" t="s">
        <v>1658</v>
      </c>
    </row>
    <row r="12" spans="1:4">
      <c r="A12" s="1390" t="s">
        <v>2786</v>
      </c>
      <c r="B12" s="1391"/>
      <c r="C12" s="1391"/>
      <c r="D12" s="1391"/>
    </row>
    <row r="13" spans="1:4">
      <c r="A13" s="609" t="s">
        <v>2787</v>
      </c>
      <c r="B13" s="609" t="s">
        <v>2788</v>
      </c>
      <c r="C13" s="609" t="s">
        <v>2789</v>
      </c>
      <c r="D13" s="610">
        <v>220</v>
      </c>
    </row>
    <row r="14" spans="1:4">
      <c r="A14" s="609" t="s">
        <v>2790</v>
      </c>
      <c r="B14" s="609" t="s">
        <v>2791</v>
      </c>
      <c r="C14" s="609" t="s">
        <v>2792</v>
      </c>
      <c r="D14" s="610">
        <v>1200</v>
      </c>
    </row>
    <row r="15" spans="1:4">
      <c r="A15" t="s">
        <v>1658</v>
      </c>
    </row>
    <row r="16" spans="1:4">
      <c r="A16" s="1390" t="s">
        <v>2793</v>
      </c>
      <c r="B16" s="1391"/>
      <c r="C16" s="1391"/>
      <c r="D16" s="1391"/>
    </row>
    <row r="17" spans="1:4">
      <c r="A17" s="609" t="s">
        <v>2794</v>
      </c>
      <c r="B17" s="609" t="s">
        <v>2795</v>
      </c>
      <c r="C17" s="609" t="s">
        <v>2796</v>
      </c>
      <c r="D17" s="610">
        <v>440</v>
      </c>
    </row>
    <row r="18" spans="1:4">
      <c r="A18" s="609" t="s">
        <v>2797</v>
      </c>
      <c r="B18" s="609" t="s">
        <v>2798</v>
      </c>
      <c r="C18" s="609" t="s">
        <v>2799</v>
      </c>
      <c r="D18" s="610">
        <v>2400</v>
      </c>
    </row>
    <row r="19" spans="1:4">
      <c r="A19" t="s">
        <v>1658</v>
      </c>
    </row>
    <row r="20" spans="1:4">
      <c r="A20" s="1390" t="s">
        <v>2800</v>
      </c>
      <c r="B20" s="1391"/>
      <c r="C20" s="1391"/>
      <c r="D20" s="1391"/>
    </row>
    <row r="21" spans="1:4">
      <c r="A21" s="609" t="s">
        <v>2801</v>
      </c>
      <c r="B21" s="609" t="s">
        <v>2802</v>
      </c>
      <c r="C21" s="609" t="s">
        <v>2803</v>
      </c>
      <c r="D21" s="610">
        <v>5400</v>
      </c>
    </row>
    <row r="22" spans="1:4">
      <c r="A22" s="609" t="s">
        <v>2804</v>
      </c>
      <c r="B22" s="609" t="s">
        <v>2805</v>
      </c>
      <c r="C22" s="609" t="s">
        <v>2806</v>
      </c>
      <c r="D22" s="610">
        <v>1080</v>
      </c>
    </row>
    <row r="23" spans="1:4">
      <c r="A23" s="609" t="s">
        <v>2807</v>
      </c>
      <c r="B23" s="609" t="s">
        <v>2808</v>
      </c>
      <c r="C23" s="609" t="s">
        <v>2809</v>
      </c>
      <c r="D23" s="610">
        <v>3000</v>
      </c>
    </row>
    <row r="24" spans="1:4">
      <c r="A24" t="s">
        <v>1658</v>
      </c>
    </row>
    <row r="25" spans="1:4">
      <c r="A25" s="1396" t="s">
        <v>2810</v>
      </c>
      <c r="B25" s="1391"/>
      <c r="C25" s="1391"/>
      <c r="D25" s="1391"/>
    </row>
    <row r="39" spans="12:12">
      <c r="L39">
        <f>F39*0.0256</f>
        <v>0</v>
      </c>
    </row>
  </sheetData>
  <mergeCells count="7">
    <mergeCell ref="A25:D25"/>
    <mergeCell ref="A1:D1"/>
    <mergeCell ref="A4:D4"/>
    <mergeCell ref="A8:D8"/>
    <mergeCell ref="A12:D12"/>
    <mergeCell ref="A16:D16"/>
    <mergeCell ref="A20:D20"/>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5">
    <tabColor rgb="FFCC00FF"/>
  </sheetPr>
  <dimension ref="A1:L200"/>
  <sheetViews>
    <sheetView zoomScaleNormal="100" workbookViewId="0">
      <selection activeCell="G60" sqref="G60"/>
    </sheetView>
  </sheetViews>
  <sheetFormatPr defaultRowHeight="12.75"/>
  <cols>
    <col min="1" max="1" width="46.42578125" bestFit="1" customWidth="1"/>
    <col min="2" max="2" width="92.42578125" bestFit="1" customWidth="1"/>
    <col min="3" max="3" width="12.28515625" bestFit="1" customWidth="1"/>
    <col min="4" max="4" width="16" bestFit="1" customWidth="1"/>
  </cols>
  <sheetData>
    <row r="1" spans="1:4" ht="34.5">
      <c r="A1" s="1406" t="s">
        <v>2811</v>
      </c>
      <c r="B1" s="1407"/>
      <c r="C1" s="1407"/>
      <c r="D1" s="1407"/>
    </row>
    <row r="3" spans="1:4">
      <c r="A3" s="615" t="s">
        <v>2254</v>
      </c>
      <c r="B3" s="615" t="s">
        <v>171</v>
      </c>
      <c r="C3" s="615" t="s">
        <v>2255</v>
      </c>
      <c r="D3" s="615" t="s">
        <v>2256</v>
      </c>
    </row>
    <row r="4" spans="1:4">
      <c r="A4" t="s">
        <v>1658</v>
      </c>
    </row>
    <row r="5" spans="1:4">
      <c r="A5" s="1402" t="s">
        <v>2812</v>
      </c>
      <c r="B5" s="1391"/>
      <c r="C5" s="1391"/>
      <c r="D5" s="1391"/>
    </row>
    <row r="6" spans="1:4">
      <c r="A6" s="609" t="s">
        <v>2813</v>
      </c>
      <c r="B6" s="609" t="s">
        <v>2814</v>
      </c>
      <c r="C6" s="609" t="s">
        <v>2815</v>
      </c>
      <c r="D6" s="610">
        <v>4200</v>
      </c>
    </row>
    <row r="7" spans="1:4">
      <c r="A7" s="609" t="s">
        <v>2816</v>
      </c>
      <c r="B7" s="609" t="s">
        <v>2817</v>
      </c>
      <c r="C7" s="609" t="s">
        <v>2818</v>
      </c>
      <c r="D7" s="610">
        <v>3200</v>
      </c>
    </row>
    <row r="8" spans="1:4">
      <c r="A8" s="609" t="s">
        <v>2819</v>
      </c>
      <c r="B8" s="609" t="s">
        <v>2820</v>
      </c>
      <c r="C8" s="609" t="s">
        <v>2821</v>
      </c>
      <c r="D8" s="610">
        <v>9100</v>
      </c>
    </row>
    <row r="9" spans="1:4">
      <c r="A9" s="609" t="s">
        <v>2822</v>
      </c>
      <c r="B9" s="609" t="s">
        <v>2823</v>
      </c>
      <c r="C9" s="609" t="s">
        <v>2824</v>
      </c>
      <c r="D9" s="610">
        <v>6800</v>
      </c>
    </row>
    <row r="10" spans="1:4">
      <c r="A10" s="609" t="s">
        <v>2825</v>
      </c>
      <c r="B10" s="609" t="s">
        <v>2826</v>
      </c>
      <c r="C10" s="609" t="s">
        <v>2827</v>
      </c>
      <c r="D10" s="610">
        <v>15100</v>
      </c>
    </row>
    <row r="11" spans="1:4">
      <c r="A11" s="609" t="s">
        <v>2828</v>
      </c>
      <c r="B11" s="609" t="s">
        <v>2829</v>
      </c>
      <c r="C11" s="609" t="s">
        <v>2830</v>
      </c>
      <c r="D11" s="610">
        <v>11300</v>
      </c>
    </row>
    <row r="12" spans="1:4">
      <c r="A12" s="609" t="s">
        <v>2831</v>
      </c>
      <c r="B12" s="609" t="s">
        <v>2832</v>
      </c>
      <c r="C12" s="609" t="s">
        <v>2833</v>
      </c>
      <c r="D12" s="610">
        <v>4800</v>
      </c>
    </row>
    <row r="13" spans="1:4">
      <c r="A13" s="609" t="s">
        <v>2834</v>
      </c>
      <c r="B13" s="609" t="s">
        <v>2835</v>
      </c>
      <c r="C13" s="609" t="s">
        <v>2836</v>
      </c>
      <c r="D13" s="610">
        <v>3600</v>
      </c>
    </row>
    <row r="14" spans="1:4" ht="14.25">
      <c r="A14" s="609" t="s">
        <v>2837</v>
      </c>
      <c r="B14" s="609" t="s">
        <v>2838</v>
      </c>
      <c r="C14" s="609" t="s">
        <v>2839</v>
      </c>
      <c r="D14" s="610">
        <v>1750</v>
      </c>
    </row>
    <row r="15" spans="1:4" ht="14.25">
      <c r="A15" s="609" t="s">
        <v>2840</v>
      </c>
      <c r="B15" s="609" t="s">
        <v>2841</v>
      </c>
      <c r="C15" s="609" t="s">
        <v>2842</v>
      </c>
      <c r="D15" s="610">
        <v>3750</v>
      </c>
    </row>
    <row r="16" spans="1:4" ht="14.25">
      <c r="A16" s="609" t="s">
        <v>2843</v>
      </c>
      <c r="B16" s="609" t="s">
        <v>2844</v>
      </c>
      <c r="C16" s="609" t="s">
        <v>2845</v>
      </c>
      <c r="D16" s="610">
        <v>6250</v>
      </c>
    </row>
    <row r="17" spans="1:4" ht="14.25">
      <c r="A17" s="609" t="s">
        <v>2846</v>
      </c>
      <c r="B17" s="609" t="s">
        <v>2847</v>
      </c>
      <c r="C17" s="609" t="s">
        <v>2848</v>
      </c>
      <c r="D17" s="610">
        <v>2000</v>
      </c>
    </row>
    <row r="18" spans="1:4">
      <c r="A18" t="s">
        <v>1658</v>
      </c>
    </row>
    <row r="19" spans="1:4">
      <c r="A19" s="1390" t="s">
        <v>2849</v>
      </c>
      <c r="B19" s="1391"/>
      <c r="C19" s="1391"/>
      <c r="D19" s="1391"/>
    </row>
    <row r="20" spans="1:4">
      <c r="A20" s="609" t="s">
        <v>2850</v>
      </c>
      <c r="B20" s="609" t="s">
        <v>2851</v>
      </c>
      <c r="C20" s="609" t="s">
        <v>2852</v>
      </c>
      <c r="D20" s="610">
        <v>770</v>
      </c>
    </row>
    <row r="21" spans="1:4">
      <c r="A21" s="609" t="s">
        <v>2853</v>
      </c>
      <c r="B21" s="609" t="s">
        <v>2854</v>
      </c>
      <c r="C21" s="609" t="s">
        <v>2855</v>
      </c>
      <c r="D21" s="610">
        <v>578</v>
      </c>
    </row>
    <row r="22" spans="1:4">
      <c r="A22" s="609" t="s">
        <v>2856</v>
      </c>
      <c r="B22" s="609" t="s">
        <v>2857</v>
      </c>
      <c r="C22" s="609" t="s">
        <v>2858</v>
      </c>
      <c r="D22" s="610">
        <v>1820</v>
      </c>
    </row>
    <row r="23" spans="1:4">
      <c r="A23" s="609" t="s">
        <v>2859</v>
      </c>
      <c r="B23" s="609" t="s">
        <v>2860</v>
      </c>
      <c r="C23" s="609" t="s">
        <v>2861</v>
      </c>
      <c r="D23" s="610">
        <v>1360</v>
      </c>
    </row>
    <row r="24" spans="1:4">
      <c r="A24" s="609" t="s">
        <v>2862</v>
      </c>
      <c r="B24" s="609" t="s">
        <v>2863</v>
      </c>
      <c r="C24" s="609" t="s">
        <v>2864</v>
      </c>
      <c r="D24" s="610">
        <v>3020</v>
      </c>
    </row>
    <row r="25" spans="1:4">
      <c r="A25" s="609" t="s">
        <v>2865</v>
      </c>
      <c r="B25" s="609" t="s">
        <v>2866</v>
      </c>
      <c r="C25" s="609" t="s">
        <v>2867</v>
      </c>
      <c r="D25" s="610">
        <v>2260</v>
      </c>
    </row>
    <row r="26" spans="1:4">
      <c r="A26" s="609" t="s">
        <v>2868</v>
      </c>
      <c r="B26" s="609" t="s">
        <v>2869</v>
      </c>
      <c r="C26" s="609" t="s">
        <v>2870</v>
      </c>
      <c r="D26" s="610">
        <v>960</v>
      </c>
    </row>
    <row r="27" spans="1:4">
      <c r="A27" s="609" t="s">
        <v>2871</v>
      </c>
      <c r="B27" s="609" t="s">
        <v>2872</v>
      </c>
      <c r="C27" s="609" t="s">
        <v>2873</v>
      </c>
      <c r="D27" s="610">
        <v>720</v>
      </c>
    </row>
    <row r="28" spans="1:4">
      <c r="A28" t="s">
        <v>1658</v>
      </c>
    </row>
    <row r="29" spans="1:4">
      <c r="A29" s="1390" t="s">
        <v>2874</v>
      </c>
      <c r="B29" s="1391"/>
      <c r="C29" s="1391"/>
      <c r="D29" s="1391"/>
    </row>
    <row r="30" spans="1:4">
      <c r="A30" s="609" t="s">
        <v>2875</v>
      </c>
      <c r="B30" s="609" t="s">
        <v>2876</v>
      </c>
      <c r="C30" s="609" t="s">
        <v>2877</v>
      </c>
      <c r="D30" s="610">
        <v>770</v>
      </c>
    </row>
    <row r="31" spans="1:4">
      <c r="A31" s="609" t="s">
        <v>2878</v>
      </c>
      <c r="B31" s="609" t="s">
        <v>2879</v>
      </c>
      <c r="C31" s="609" t="s">
        <v>2880</v>
      </c>
      <c r="D31" s="610">
        <v>578</v>
      </c>
    </row>
    <row r="32" spans="1:4">
      <c r="A32" s="609" t="s">
        <v>2881</v>
      </c>
      <c r="B32" s="609" t="s">
        <v>2882</v>
      </c>
      <c r="C32" s="609" t="s">
        <v>2883</v>
      </c>
      <c r="D32" s="610">
        <v>1820</v>
      </c>
    </row>
    <row r="33" spans="1:12">
      <c r="A33" s="609" t="s">
        <v>2884</v>
      </c>
      <c r="B33" s="609" t="s">
        <v>2885</v>
      </c>
      <c r="C33" s="609" t="s">
        <v>2886</v>
      </c>
      <c r="D33" s="610">
        <v>1360</v>
      </c>
    </row>
    <row r="34" spans="1:12">
      <c r="A34" s="609" t="s">
        <v>2887</v>
      </c>
      <c r="B34" s="609" t="s">
        <v>2888</v>
      </c>
      <c r="C34" s="609" t="s">
        <v>2889</v>
      </c>
      <c r="D34" s="610">
        <v>3020</v>
      </c>
    </row>
    <row r="35" spans="1:12">
      <c r="A35" s="609" t="s">
        <v>2890</v>
      </c>
      <c r="B35" s="609" t="s">
        <v>2891</v>
      </c>
      <c r="C35" s="609" t="s">
        <v>2892</v>
      </c>
      <c r="D35" s="610">
        <v>2260</v>
      </c>
    </row>
    <row r="36" spans="1:12">
      <c r="A36" s="609" t="s">
        <v>2893</v>
      </c>
      <c r="B36" s="609" t="s">
        <v>2894</v>
      </c>
      <c r="C36" s="609" t="s">
        <v>2895</v>
      </c>
      <c r="D36" s="610">
        <v>960</v>
      </c>
    </row>
    <row r="37" spans="1:12">
      <c r="A37" s="609" t="s">
        <v>2896</v>
      </c>
      <c r="B37" s="609" t="s">
        <v>2897</v>
      </c>
      <c r="C37" s="609" t="s">
        <v>2898</v>
      </c>
      <c r="D37" s="610">
        <v>720</v>
      </c>
    </row>
    <row r="38" spans="1:12">
      <c r="A38" t="s">
        <v>1658</v>
      </c>
    </row>
    <row r="39" spans="1:12">
      <c r="A39" s="1390" t="s">
        <v>2899</v>
      </c>
      <c r="B39" s="1391"/>
      <c r="C39" s="1391"/>
      <c r="D39" s="1391"/>
      <c r="L39">
        <f>F39*0.0256</f>
        <v>0</v>
      </c>
    </row>
    <row r="40" spans="1:12">
      <c r="A40" s="609" t="s">
        <v>2900</v>
      </c>
      <c r="B40" s="609" t="s">
        <v>2901</v>
      </c>
      <c r="C40" s="609" t="s">
        <v>2902</v>
      </c>
      <c r="D40" s="610">
        <v>1540</v>
      </c>
    </row>
    <row r="41" spans="1:12">
      <c r="A41" s="609" t="s">
        <v>2903</v>
      </c>
      <c r="B41" s="609" t="s">
        <v>2904</v>
      </c>
      <c r="C41" s="609" t="s">
        <v>2905</v>
      </c>
      <c r="D41" s="610">
        <v>1156</v>
      </c>
    </row>
    <row r="42" spans="1:12">
      <c r="A42" s="609" t="s">
        <v>2906</v>
      </c>
      <c r="B42" s="609" t="s">
        <v>2907</v>
      </c>
      <c r="C42" s="609" t="s">
        <v>2908</v>
      </c>
      <c r="D42" s="610">
        <v>3640</v>
      </c>
    </row>
    <row r="43" spans="1:12">
      <c r="A43" s="609" t="s">
        <v>2909</v>
      </c>
      <c r="B43" s="609" t="s">
        <v>2910</v>
      </c>
      <c r="C43" s="609" t="s">
        <v>2911</v>
      </c>
      <c r="D43" s="610">
        <v>2720</v>
      </c>
    </row>
    <row r="44" spans="1:12">
      <c r="A44" s="609" t="s">
        <v>2912</v>
      </c>
      <c r="B44" s="609" t="s">
        <v>2913</v>
      </c>
      <c r="C44" s="609" t="s">
        <v>2914</v>
      </c>
      <c r="D44" s="610">
        <v>6040</v>
      </c>
    </row>
    <row r="45" spans="1:12">
      <c r="A45" s="609" t="s">
        <v>2915</v>
      </c>
      <c r="B45" s="609" t="s">
        <v>2916</v>
      </c>
      <c r="C45" s="609" t="s">
        <v>2917</v>
      </c>
      <c r="D45" s="610">
        <v>4520</v>
      </c>
    </row>
    <row r="46" spans="1:12">
      <c r="A46" s="609" t="s">
        <v>2918</v>
      </c>
      <c r="B46" s="609" t="s">
        <v>2919</v>
      </c>
      <c r="C46" s="609" t="s">
        <v>2920</v>
      </c>
      <c r="D46" s="610">
        <v>1920</v>
      </c>
    </row>
    <row r="47" spans="1:12">
      <c r="A47" s="609" t="s">
        <v>2921</v>
      </c>
      <c r="B47" s="609" t="s">
        <v>2922</v>
      </c>
      <c r="C47" s="609" t="s">
        <v>2923</v>
      </c>
      <c r="D47" s="610">
        <v>1440</v>
      </c>
    </row>
    <row r="48" spans="1:12">
      <c r="A48" t="s">
        <v>1658</v>
      </c>
    </row>
    <row r="49" spans="1:4">
      <c r="A49" s="1390" t="s">
        <v>2924</v>
      </c>
      <c r="B49" s="1391"/>
      <c r="C49" s="1391"/>
      <c r="D49" s="1391"/>
    </row>
    <row r="50" spans="1:4">
      <c r="A50" s="609" t="s">
        <v>2925</v>
      </c>
      <c r="B50" s="609" t="s">
        <v>2926</v>
      </c>
      <c r="C50" s="609" t="s">
        <v>2927</v>
      </c>
      <c r="D50" s="610">
        <v>1925</v>
      </c>
    </row>
    <row r="51" spans="1:4">
      <c r="A51" s="609" t="s">
        <v>2928</v>
      </c>
      <c r="B51" s="609" t="s">
        <v>2929</v>
      </c>
      <c r="C51" s="609" t="s">
        <v>2930</v>
      </c>
      <c r="D51" s="610">
        <v>1900</v>
      </c>
    </row>
    <row r="52" spans="1:4">
      <c r="A52" s="609" t="s">
        <v>2931</v>
      </c>
      <c r="B52" s="609" t="s">
        <v>2932</v>
      </c>
      <c r="C52" s="609" t="s">
        <v>2933</v>
      </c>
      <c r="D52" s="610">
        <v>1100</v>
      </c>
    </row>
    <row r="53" spans="1:4">
      <c r="A53" s="609" t="s">
        <v>2934</v>
      </c>
      <c r="B53" s="609" t="s">
        <v>2935</v>
      </c>
      <c r="C53" s="609" t="s">
        <v>2936</v>
      </c>
      <c r="D53" s="610">
        <v>800</v>
      </c>
    </row>
    <row r="54" spans="1:4">
      <c r="A54" s="609" t="s">
        <v>2937</v>
      </c>
      <c r="B54" s="609" t="s">
        <v>2938</v>
      </c>
      <c r="C54" s="609" t="s">
        <v>2939</v>
      </c>
      <c r="D54" s="610">
        <v>600</v>
      </c>
    </row>
    <row r="55" spans="1:4">
      <c r="A55" s="609" t="s">
        <v>2940</v>
      </c>
      <c r="B55" s="609" t="s">
        <v>2941</v>
      </c>
      <c r="C55" s="609" t="s">
        <v>2942</v>
      </c>
      <c r="D55" s="610">
        <v>4200</v>
      </c>
    </row>
    <row r="56" spans="1:4">
      <c r="A56" s="609" t="s">
        <v>2943</v>
      </c>
      <c r="B56" s="609" t="s">
        <v>2944</v>
      </c>
      <c r="C56" s="609" t="s">
        <v>2945</v>
      </c>
      <c r="D56" s="610">
        <v>2900</v>
      </c>
    </row>
    <row r="57" spans="1:4">
      <c r="A57" s="609" t="s">
        <v>2946</v>
      </c>
      <c r="B57" s="609" t="s">
        <v>2947</v>
      </c>
      <c r="C57" s="609" t="s">
        <v>2948</v>
      </c>
      <c r="D57" s="610">
        <v>2300</v>
      </c>
    </row>
    <row r="58" spans="1:4">
      <c r="A58" s="609" t="s">
        <v>2949</v>
      </c>
      <c r="B58" s="609" t="s">
        <v>2950</v>
      </c>
      <c r="C58" s="609" t="s">
        <v>2951</v>
      </c>
      <c r="D58" s="610">
        <v>1900</v>
      </c>
    </row>
    <row r="59" spans="1:4">
      <c r="A59" s="609" t="s">
        <v>2952</v>
      </c>
      <c r="B59" s="609" t="s">
        <v>2953</v>
      </c>
      <c r="C59" s="609" t="s">
        <v>2954</v>
      </c>
      <c r="D59" s="610">
        <v>5700</v>
      </c>
    </row>
    <row r="60" spans="1:4">
      <c r="A60" s="609" t="s">
        <v>2955</v>
      </c>
      <c r="B60" s="609" t="s">
        <v>2956</v>
      </c>
      <c r="C60" s="609" t="s">
        <v>2957</v>
      </c>
      <c r="D60" s="610">
        <v>4500</v>
      </c>
    </row>
    <row r="61" spans="1:4">
      <c r="A61" s="609" t="s">
        <v>2958</v>
      </c>
      <c r="B61" s="609" t="s">
        <v>2959</v>
      </c>
      <c r="C61" s="609" t="s">
        <v>2960</v>
      </c>
      <c r="D61" s="610">
        <v>3600</v>
      </c>
    </row>
    <row r="62" spans="1:4">
      <c r="A62" s="609" t="s">
        <v>2961</v>
      </c>
      <c r="B62" s="609" t="s">
        <v>2962</v>
      </c>
      <c r="C62" s="609" t="s">
        <v>2963</v>
      </c>
      <c r="D62" s="610">
        <v>9000</v>
      </c>
    </row>
    <row r="63" spans="1:4">
      <c r="A63" s="609" t="s">
        <v>2964</v>
      </c>
      <c r="B63" s="609" t="s">
        <v>2965</v>
      </c>
      <c r="C63" s="609" t="s">
        <v>2966</v>
      </c>
      <c r="D63" s="610">
        <v>7200</v>
      </c>
    </row>
    <row r="64" spans="1:4">
      <c r="A64" s="609" t="s">
        <v>2967</v>
      </c>
      <c r="B64" s="609" t="s">
        <v>2968</v>
      </c>
      <c r="C64" s="609" t="s">
        <v>2969</v>
      </c>
      <c r="D64" s="610">
        <v>18200</v>
      </c>
    </row>
    <row r="65" spans="1:4">
      <c r="A65" s="609" t="s">
        <v>2970</v>
      </c>
      <c r="B65" s="609" t="s">
        <v>2971</v>
      </c>
      <c r="C65" s="609" t="s">
        <v>2972</v>
      </c>
      <c r="D65" s="610">
        <v>14500</v>
      </c>
    </row>
    <row r="66" spans="1:4">
      <c r="A66" s="609" t="s">
        <v>2973</v>
      </c>
      <c r="B66" s="609" t="s">
        <v>2974</v>
      </c>
      <c r="C66" s="609" t="s">
        <v>2975</v>
      </c>
      <c r="D66" s="610">
        <v>3135</v>
      </c>
    </row>
    <row r="67" spans="1:4">
      <c r="A67" s="609" t="s">
        <v>2976</v>
      </c>
      <c r="B67" s="609" t="s">
        <v>2977</v>
      </c>
      <c r="C67" s="609" t="s">
        <v>2978</v>
      </c>
      <c r="D67" s="610">
        <v>10325</v>
      </c>
    </row>
    <row r="68" spans="1:4">
      <c r="A68" s="609" t="s">
        <v>2979</v>
      </c>
      <c r="B68" s="609" t="s">
        <v>2980</v>
      </c>
      <c r="C68" s="609" t="s">
        <v>2981</v>
      </c>
      <c r="D68" s="610">
        <v>7575</v>
      </c>
    </row>
    <row r="69" spans="1:4">
      <c r="A69" s="609" t="s">
        <v>2982</v>
      </c>
      <c r="B69" s="609" t="s">
        <v>2983</v>
      </c>
      <c r="C69" s="609" t="s">
        <v>2984</v>
      </c>
      <c r="D69" s="610">
        <v>6050</v>
      </c>
    </row>
    <row r="70" spans="1:4">
      <c r="A70" s="609" t="s">
        <v>2985</v>
      </c>
      <c r="B70" s="609" t="s">
        <v>2986</v>
      </c>
      <c r="C70" s="609" t="s">
        <v>2987</v>
      </c>
      <c r="D70" s="610">
        <v>3960</v>
      </c>
    </row>
    <row r="71" spans="1:4">
      <c r="A71" s="609" t="s">
        <v>2988</v>
      </c>
      <c r="B71" s="609" t="s">
        <v>2989</v>
      </c>
      <c r="C71" s="609" t="s">
        <v>2990</v>
      </c>
      <c r="D71" s="610">
        <v>2750</v>
      </c>
    </row>
    <row r="72" spans="1:4">
      <c r="A72" s="609" t="s">
        <v>2991</v>
      </c>
      <c r="B72" s="609" t="s">
        <v>2992</v>
      </c>
      <c r="C72" s="609" t="s">
        <v>2993</v>
      </c>
      <c r="D72" s="610">
        <v>2200</v>
      </c>
    </row>
    <row r="73" spans="1:4">
      <c r="A73" s="609" t="s">
        <v>2994</v>
      </c>
      <c r="B73" s="609" t="s">
        <v>2995</v>
      </c>
      <c r="C73" s="609" t="s">
        <v>2996</v>
      </c>
      <c r="D73" s="610">
        <v>1210</v>
      </c>
    </row>
    <row r="74" spans="1:4">
      <c r="A74" s="609" t="s">
        <v>2997</v>
      </c>
      <c r="B74" s="609" t="s">
        <v>2998</v>
      </c>
      <c r="C74" s="609" t="s">
        <v>2999</v>
      </c>
      <c r="D74" s="610">
        <v>1495</v>
      </c>
    </row>
    <row r="75" spans="1:4">
      <c r="A75" s="609" t="s">
        <v>3000</v>
      </c>
      <c r="B75" s="609" t="s">
        <v>3001</v>
      </c>
      <c r="C75" s="609" t="s">
        <v>3002</v>
      </c>
      <c r="D75" s="610">
        <v>2825</v>
      </c>
    </row>
    <row r="76" spans="1:4">
      <c r="A76" s="609" t="s">
        <v>3003</v>
      </c>
      <c r="B76" s="609" t="s">
        <v>3004</v>
      </c>
      <c r="C76" s="609" t="s">
        <v>3005</v>
      </c>
      <c r="D76" s="610">
        <v>5885</v>
      </c>
    </row>
    <row r="77" spans="1:4">
      <c r="A77" s="609" t="s">
        <v>3006</v>
      </c>
      <c r="B77" s="609" t="s">
        <v>3007</v>
      </c>
      <c r="C77" s="609" t="s">
        <v>3008</v>
      </c>
      <c r="D77" s="610">
        <v>5025</v>
      </c>
    </row>
    <row r="78" spans="1:4">
      <c r="A78" s="609" t="s">
        <v>3009</v>
      </c>
      <c r="B78" s="609" t="s">
        <v>3010</v>
      </c>
      <c r="C78" s="609" t="s">
        <v>3011</v>
      </c>
      <c r="D78" s="610">
        <v>1330</v>
      </c>
    </row>
    <row r="79" spans="1:4">
      <c r="A79" s="609" t="s">
        <v>3012</v>
      </c>
      <c r="B79" s="609" t="s">
        <v>3013</v>
      </c>
      <c r="C79" s="609" t="s">
        <v>3014</v>
      </c>
      <c r="D79" s="610">
        <v>3530</v>
      </c>
    </row>
    <row r="80" spans="1:4">
      <c r="A80" t="s">
        <v>1658</v>
      </c>
    </row>
    <row r="81" spans="1:4">
      <c r="A81" s="1390" t="s">
        <v>3015</v>
      </c>
      <c r="B81" s="1391"/>
      <c r="C81" s="1391"/>
      <c r="D81" s="1391"/>
    </row>
    <row r="82" spans="1:4">
      <c r="A82" s="609" t="s">
        <v>3016</v>
      </c>
      <c r="B82" s="609" t="s">
        <v>3017</v>
      </c>
      <c r="C82" s="609" t="s">
        <v>3018</v>
      </c>
      <c r="D82" s="610">
        <v>339</v>
      </c>
    </row>
    <row r="83" spans="1:4">
      <c r="A83" s="609" t="s">
        <v>3019</v>
      </c>
      <c r="B83" s="609" t="s">
        <v>3020</v>
      </c>
      <c r="C83" s="609" t="s">
        <v>3021</v>
      </c>
      <c r="D83" s="610">
        <v>203.6</v>
      </c>
    </row>
    <row r="84" spans="1:4">
      <c r="A84" s="609" t="s">
        <v>3022</v>
      </c>
      <c r="B84" s="609" t="s">
        <v>3023</v>
      </c>
      <c r="C84" s="609" t="s">
        <v>3024</v>
      </c>
      <c r="D84" s="610">
        <v>143</v>
      </c>
    </row>
    <row r="85" spans="1:4">
      <c r="A85" s="609" t="s">
        <v>3025</v>
      </c>
      <c r="B85" s="609" t="s">
        <v>3026</v>
      </c>
      <c r="C85" s="609" t="s">
        <v>3027</v>
      </c>
      <c r="D85" s="610">
        <v>110</v>
      </c>
    </row>
    <row r="86" spans="1:4">
      <c r="A86" s="609" t="s">
        <v>3028</v>
      </c>
      <c r="B86" s="609" t="s">
        <v>3029</v>
      </c>
      <c r="C86" s="609" t="s">
        <v>3030</v>
      </c>
      <c r="D86" s="610">
        <v>762</v>
      </c>
    </row>
    <row r="87" spans="1:4">
      <c r="A87" s="609" t="s">
        <v>3031</v>
      </c>
      <c r="B87" s="609" t="s">
        <v>3032</v>
      </c>
      <c r="C87" s="609" t="s">
        <v>3033</v>
      </c>
      <c r="D87" s="610">
        <v>532</v>
      </c>
    </row>
    <row r="88" spans="1:4">
      <c r="A88" s="609" t="s">
        <v>3034</v>
      </c>
      <c r="B88" s="609" t="s">
        <v>3035</v>
      </c>
      <c r="C88" s="609" t="s">
        <v>3036</v>
      </c>
      <c r="D88" s="610">
        <v>424</v>
      </c>
    </row>
    <row r="89" spans="1:4">
      <c r="A89" s="609" t="s">
        <v>3037</v>
      </c>
      <c r="B89" s="609" t="s">
        <v>3038</v>
      </c>
      <c r="C89" s="609" t="s">
        <v>3039</v>
      </c>
      <c r="D89" s="610">
        <v>338</v>
      </c>
    </row>
    <row r="90" spans="1:4">
      <c r="A90" s="609" t="s">
        <v>3040</v>
      </c>
      <c r="B90" s="609" t="s">
        <v>3041</v>
      </c>
      <c r="C90" s="609" t="s">
        <v>3042</v>
      </c>
      <c r="D90" s="610">
        <v>1028</v>
      </c>
    </row>
    <row r="91" spans="1:4">
      <c r="A91" s="609" t="s">
        <v>3043</v>
      </c>
      <c r="B91" s="609" t="s">
        <v>3044</v>
      </c>
      <c r="C91" s="609" t="s">
        <v>3045</v>
      </c>
      <c r="D91" s="610">
        <v>825</v>
      </c>
    </row>
    <row r="92" spans="1:4">
      <c r="A92" s="609" t="s">
        <v>3046</v>
      </c>
      <c r="B92" s="609" t="s">
        <v>3047</v>
      </c>
      <c r="C92" s="609" t="s">
        <v>3048</v>
      </c>
      <c r="D92" s="610">
        <v>660</v>
      </c>
    </row>
    <row r="93" spans="1:4">
      <c r="A93" s="609" t="s">
        <v>3049</v>
      </c>
      <c r="B93" s="609" t="s">
        <v>3050</v>
      </c>
      <c r="C93" s="609" t="s">
        <v>3051</v>
      </c>
      <c r="D93" s="610">
        <v>1634</v>
      </c>
    </row>
    <row r="94" spans="1:4">
      <c r="A94" s="609" t="s">
        <v>3052</v>
      </c>
      <c r="B94" s="609" t="s">
        <v>3053</v>
      </c>
      <c r="C94" s="609" t="s">
        <v>3054</v>
      </c>
      <c r="D94" s="610">
        <v>1309</v>
      </c>
    </row>
    <row r="95" spans="1:4">
      <c r="A95" s="609" t="s">
        <v>3055</v>
      </c>
      <c r="B95" s="609" t="s">
        <v>3056</v>
      </c>
      <c r="C95" s="609" t="s">
        <v>3057</v>
      </c>
      <c r="D95" s="610">
        <v>3300</v>
      </c>
    </row>
    <row r="96" spans="1:4">
      <c r="A96" s="609" t="s">
        <v>3058</v>
      </c>
      <c r="B96" s="609" t="s">
        <v>3059</v>
      </c>
      <c r="C96" s="609" t="s">
        <v>3060</v>
      </c>
      <c r="D96" s="610">
        <v>2640</v>
      </c>
    </row>
    <row r="97" spans="1:4">
      <c r="A97" t="s">
        <v>1658</v>
      </c>
    </row>
    <row r="98" spans="1:4">
      <c r="A98" s="1390" t="s">
        <v>3061</v>
      </c>
      <c r="B98" s="1391"/>
      <c r="C98" s="1391"/>
      <c r="D98" s="1391"/>
    </row>
    <row r="99" spans="1:4">
      <c r="A99" s="609" t="s">
        <v>3062</v>
      </c>
      <c r="B99" s="609" t="s">
        <v>3063</v>
      </c>
      <c r="C99" s="609" t="s">
        <v>3064</v>
      </c>
      <c r="D99" s="610">
        <v>380</v>
      </c>
    </row>
    <row r="100" spans="1:4">
      <c r="A100" s="609" t="s">
        <v>3065</v>
      </c>
      <c r="B100" s="609" t="s">
        <v>3066</v>
      </c>
      <c r="C100" s="609" t="s">
        <v>3067</v>
      </c>
      <c r="D100" s="610">
        <v>220</v>
      </c>
    </row>
    <row r="101" spans="1:4">
      <c r="A101" s="609" t="s">
        <v>3068</v>
      </c>
      <c r="B101" s="609" t="s">
        <v>3069</v>
      </c>
      <c r="C101" s="609" t="s">
        <v>3070</v>
      </c>
      <c r="D101" s="610">
        <v>160</v>
      </c>
    </row>
    <row r="102" spans="1:4">
      <c r="A102" s="609" t="s">
        <v>3071</v>
      </c>
      <c r="B102" s="609" t="s">
        <v>3072</v>
      </c>
      <c r="C102" s="609" t="s">
        <v>3073</v>
      </c>
      <c r="D102" s="610">
        <v>120</v>
      </c>
    </row>
    <row r="103" spans="1:4">
      <c r="A103" s="609" t="s">
        <v>3074</v>
      </c>
      <c r="B103" s="609" t="s">
        <v>3075</v>
      </c>
      <c r="C103" s="609" t="s">
        <v>3076</v>
      </c>
      <c r="D103" s="610">
        <v>840</v>
      </c>
    </row>
    <row r="104" spans="1:4">
      <c r="A104" s="609" t="s">
        <v>3077</v>
      </c>
      <c r="B104" s="609" t="s">
        <v>3078</v>
      </c>
      <c r="C104" s="609" t="s">
        <v>3079</v>
      </c>
      <c r="D104" s="610">
        <v>580</v>
      </c>
    </row>
    <row r="105" spans="1:4">
      <c r="A105" s="609" t="s">
        <v>3080</v>
      </c>
      <c r="B105" s="609" t="s">
        <v>3081</v>
      </c>
      <c r="C105" s="609" t="s">
        <v>3082</v>
      </c>
      <c r="D105" s="610">
        <v>460</v>
      </c>
    </row>
    <row r="106" spans="1:4">
      <c r="A106" s="609" t="s">
        <v>3083</v>
      </c>
      <c r="B106" s="609" t="s">
        <v>3084</v>
      </c>
      <c r="C106" s="609" t="s">
        <v>3085</v>
      </c>
      <c r="D106" s="610">
        <v>380</v>
      </c>
    </row>
    <row r="107" spans="1:4">
      <c r="A107" s="609" t="s">
        <v>3083</v>
      </c>
      <c r="B107" s="609" t="s">
        <v>3086</v>
      </c>
      <c r="C107" s="609" t="s">
        <v>3087</v>
      </c>
      <c r="D107" s="610">
        <v>1140</v>
      </c>
    </row>
    <row r="108" spans="1:4">
      <c r="A108" s="609" t="s">
        <v>3088</v>
      </c>
      <c r="B108" s="609" t="s">
        <v>3084</v>
      </c>
      <c r="C108" s="609" t="s">
        <v>3089</v>
      </c>
      <c r="D108" s="610">
        <v>900</v>
      </c>
    </row>
    <row r="109" spans="1:4">
      <c r="A109" s="609" t="s">
        <v>3090</v>
      </c>
      <c r="B109" s="609" t="s">
        <v>3091</v>
      </c>
      <c r="C109" s="609" t="s">
        <v>3092</v>
      </c>
      <c r="D109" s="610">
        <v>720</v>
      </c>
    </row>
    <row r="110" spans="1:4">
      <c r="A110" s="609" t="s">
        <v>3093</v>
      </c>
      <c r="B110" s="609" t="s">
        <v>3094</v>
      </c>
      <c r="C110" s="609" t="s">
        <v>3095</v>
      </c>
      <c r="D110" s="610">
        <v>1800</v>
      </c>
    </row>
    <row r="111" spans="1:4">
      <c r="A111" s="609" t="s">
        <v>3096</v>
      </c>
      <c r="B111" s="609" t="s">
        <v>3097</v>
      </c>
      <c r="C111" s="609" t="s">
        <v>3098</v>
      </c>
      <c r="D111" s="610">
        <v>1440</v>
      </c>
    </row>
    <row r="112" spans="1:4">
      <c r="A112" s="609" t="s">
        <v>3099</v>
      </c>
      <c r="B112" s="609" t="s">
        <v>3100</v>
      </c>
      <c r="C112" s="609" t="s">
        <v>3101</v>
      </c>
      <c r="D112" s="610">
        <v>3640</v>
      </c>
    </row>
    <row r="113" spans="1:4">
      <c r="A113" s="609" t="s">
        <v>3102</v>
      </c>
      <c r="B113" s="609" t="s">
        <v>3103</v>
      </c>
      <c r="C113" s="609" t="s">
        <v>3104</v>
      </c>
      <c r="D113" s="610">
        <v>2900</v>
      </c>
    </row>
    <row r="114" spans="1:4">
      <c r="A114" t="s">
        <v>1658</v>
      </c>
    </row>
    <row r="115" spans="1:4">
      <c r="A115" s="1390" t="s">
        <v>3105</v>
      </c>
      <c r="B115" s="1391"/>
      <c r="C115" s="1391"/>
      <c r="D115" s="1391"/>
    </row>
    <row r="116" spans="1:4">
      <c r="A116" s="609" t="s">
        <v>3106</v>
      </c>
      <c r="B116" s="609" t="s">
        <v>3063</v>
      </c>
      <c r="C116" s="609" t="s">
        <v>3107</v>
      </c>
      <c r="D116" s="610">
        <v>760</v>
      </c>
    </row>
    <row r="117" spans="1:4">
      <c r="A117" s="609" t="s">
        <v>3108</v>
      </c>
      <c r="B117" s="609" t="s">
        <v>3109</v>
      </c>
      <c r="C117" s="609" t="s">
        <v>3110</v>
      </c>
      <c r="D117" s="610">
        <v>440</v>
      </c>
    </row>
    <row r="118" spans="1:4">
      <c r="A118" s="609" t="s">
        <v>3111</v>
      </c>
      <c r="B118" s="609" t="s">
        <v>3112</v>
      </c>
      <c r="C118" s="609" t="s">
        <v>3113</v>
      </c>
      <c r="D118" s="610">
        <v>320</v>
      </c>
    </row>
    <row r="119" spans="1:4">
      <c r="A119" s="609" t="s">
        <v>3114</v>
      </c>
      <c r="B119" s="609" t="s">
        <v>3115</v>
      </c>
      <c r="C119" s="609" t="s">
        <v>3116</v>
      </c>
      <c r="D119" s="610">
        <v>240</v>
      </c>
    </row>
    <row r="120" spans="1:4">
      <c r="A120" s="609" t="s">
        <v>3117</v>
      </c>
      <c r="B120" s="609" t="s">
        <v>3118</v>
      </c>
      <c r="C120" s="609" t="s">
        <v>3119</v>
      </c>
      <c r="D120" s="610">
        <v>1680</v>
      </c>
    </row>
    <row r="121" spans="1:4">
      <c r="A121" s="609" t="s">
        <v>3120</v>
      </c>
      <c r="B121" s="609" t="s">
        <v>3121</v>
      </c>
      <c r="C121" s="609" t="s">
        <v>3122</v>
      </c>
      <c r="D121" s="610">
        <v>1160</v>
      </c>
    </row>
    <row r="122" spans="1:4">
      <c r="A122" s="609" t="s">
        <v>3123</v>
      </c>
      <c r="B122" s="609" t="s">
        <v>3124</v>
      </c>
      <c r="C122" s="609" t="s">
        <v>3125</v>
      </c>
      <c r="D122" s="610">
        <v>920</v>
      </c>
    </row>
    <row r="123" spans="1:4">
      <c r="A123" s="609" t="s">
        <v>3126</v>
      </c>
      <c r="B123" s="609" t="s">
        <v>3127</v>
      </c>
      <c r="C123" s="609" t="s">
        <v>3128</v>
      </c>
      <c r="D123" s="610">
        <v>760</v>
      </c>
    </row>
    <row r="124" spans="1:4">
      <c r="A124" s="609" t="s">
        <v>3129</v>
      </c>
      <c r="B124" s="609" t="s">
        <v>3130</v>
      </c>
      <c r="C124" s="609" t="s">
        <v>3131</v>
      </c>
      <c r="D124" s="610">
        <v>2280</v>
      </c>
    </row>
    <row r="125" spans="1:4">
      <c r="A125" s="609" t="s">
        <v>3132</v>
      </c>
      <c r="B125" s="609" t="s">
        <v>3133</v>
      </c>
      <c r="C125" s="609" t="s">
        <v>3134</v>
      </c>
      <c r="D125" s="610">
        <v>1800</v>
      </c>
    </row>
    <row r="126" spans="1:4">
      <c r="A126" s="609" t="s">
        <v>3135</v>
      </c>
      <c r="B126" s="609" t="s">
        <v>3136</v>
      </c>
      <c r="C126" s="609" t="s">
        <v>3137</v>
      </c>
      <c r="D126" s="610">
        <v>1440</v>
      </c>
    </row>
    <row r="127" spans="1:4">
      <c r="A127" s="609" t="s">
        <v>3138</v>
      </c>
      <c r="B127" s="609" t="s">
        <v>3139</v>
      </c>
      <c r="C127" s="609" t="s">
        <v>3140</v>
      </c>
      <c r="D127" s="610">
        <v>3600</v>
      </c>
    </row>
    <row r="128" spans="1:4">
      <c r="A128" s="609" t="s">
        <v>3141</v>
      </c>
      <c r="B128" s="609" t="s">
        <v>3142</v>
      </c>
      <c r="C128" s="609" t="s">
        <v>3143</v>
      </c>
      <c r="D128" s="610">
        <v>2880</v>
      </c>
    </row>
    <row r="129" spans="1:4">
      <c r="A129" s="609" t="s">
        <v>3144</v>
      </c>
      <c r="B129" s="609" t="s">
        <v>3145</v>
      </c>
      <c r="C129" s="609" t="s">
        <v>3146</v>
      </c>
      <c r="D129" s="610">
        <v>7280</v>
      </c>
    </row>
    <row r="130" spans="1:4">
      <c r="A130" s="609" t="s">
        <v>3147</v>
      </c>
      <c r="B130" s="609" t="s">
        <v>3148</v>
      </c>
      <c r="C130" s="609" t="s">
        <v>3149</v>
      </c>
      <c r="D130" s="610">
        <v>5800</v>
      </c>
    </row>
    <row r="131" spans="1:4">
      <c r="A131" t="s">
        <v>1658</v>
      </c>
    </row>
    <row r="132" spans="1:4">
      <c r="A132" s="1390" t="s">
        <v>3150</v>
      </c>
      <c r="B132" s="1391"/>
      <c r="C132" s="1391"/>
      <c r="D132" s="1391"/>
    </row>
    <row r="133" spans="1:4">
      <c r="A133" s="609" t="s">
        <v>3151</v>
      </c>
      <c r="B133" s="609" t="s">
        <v>3152</v>
      </c>
      <c r="C133" s="609" t="s">
        <v>3153</v>
      </c>
      <c r="D133" s="610">
        <v>6300</v>
      </c>
    </row>
    <row r="134" spans="1:4">
      <c r="A134" s="609" t="s">
        <v>3154</v>
      </c>
      <c r="B134" s="609" t="s">
        <v>3155</v>
      </c>
      <c r="C134" s="609" t="s">
        <v>3156</v>
      </c>
      <c r="D134" s="610">
        <v>4700</v>
      </c>
    </row>
    <row r="135" spans="1:4">
      <c r="A135" s="609" t="s">
        <v>3157</v>
      </c>
      <c r="B135" s="609" t="s">
        <v>3158</v>
      </c>
      <c r="C135" s="609" t="s">
        <v>3159</v>
      </c>
      <c r="D135" s="610">
        <v>14200</v>
      </c>
    </row>
    <row r="136" spans="1:4">
      <c r="A136" s="609" t="s">
        <v>3160</v>
      </c>
      <c r="B136" s="609" t="s">
        <v>3161</v>
      </c>
      <c r="C136" s="609" t="s">
        <v>3162</v>
      </c>
      <c r="D136" s="610">
        <v>10600</v>
      </c>
    </row>
    <row r="137" spans="1:4">
      <c r="A137" s="609" t="s">
        <v>3163</v>
      </c>
      <c r="B137" s="609" t="s">
        <v>3164</v>
      </c>
      <c r="C137" s="609" t="s">
        <v>3165</v>
      </c>
      <c r="D137" s="610">
        <v>7900</v>
      </c>
    </row>
    <row r="138" spans="1:4">
      <c r="A138" s="609" t="s">
        <v>3166</v>
      </c>
      <c r="B138" s="609" t="s">
        <v>3167</v>
      </c>
      <c r="C138" s="609" t="s">
        <v>3168</v>
      </c>
      <c r="D138" s="610">
        <v>5900</v>
      </c>
    </row>
    <row r="139" spans="1:4">
      <c r="A139" t="s">
        <v>1658</v>
      </c>
    </row>
    <row r="140" spans="1:4">
      <c r="A140" s="1390" t="s">
        <v>3169</v>
      </c>
      <c r="B140" s="1391"/>
      <c r="C140" s="1391"/>
      <c r="D140" s="1391"/>
    </row>
    <row r="141" spans="1:4">
      <c r="A141" s="609" t="s">
        <v>3170</v>
      </c>
      <c r="B141" s="609" t="s">
        <v>3171</v>
      </c>
      <c r="C141" s="609" t="s">
        <v>3172</v>
      </c>
      <c r="D141" s="610">
        <v>1260</v>
      </c>
    </row>
    <row r="142" spans="1:4">
      <c r="A142" s="609" t="s">
        <v>3173</v>
      </c>
      <c r="B142" s="609" t="s">
        <v>3174</v>
      </c>
      <c r="C142" s="609" t="s">
        <v>3175</v>
      </c>
      <c r="D142" s="610">
        <v>940</v>
      </c>
    </row>
    <row r="143" spans="1:4">
      <c r="A143" s="609" t="s">
        <v>3176</v>
      </c>
      <c r="B143" s="609" t="s">
        <v>3177</v>
      </c>
      <c r="C143" s="609" t="s">
        <v>3178</v>
      </c>
      <c r="D143" s="610">
        <v>2840</v>
      </c>
    </row>
    <row r="144" spans="1:4">
      <c r="A144" s="609" t="s">
        <v>3179</v>
      </c>
      <c r="B144" s="609" t="s">
        <v>3180</v>
      </c>
      <c r="C144" s="609" t="s">
        <v>3181</v>
      </c>
      <c r="D144" s="610">
        <v>2120</v>
      </c>
    </row>
    <row r="145" spans="1:4">
      <c r="A145" s="609" t="s">
        <v>3182</v>
      </c>
      <c r="B145" s="609" t="s">
        <v>3183</v>
      </c>
      <c r="C145" s="609" t="s">
        <v>3184</v>
      </c>
      <c r="D145" s="610">
        <v>1580</v>
      </c>
    </row>
    <row r="146" spans="1:4">
      <c r="A146" s="609" t="s">
        <v>3185</v>
      </c>
      <c r="B146" s="609" t="s">
        <v>3186</v>
      </c>
      <c r="C146" s="609" t="s">
        <v>3187</v>
      </c>
      <c r="D146" s="610">
        <v>1180</v>
      </c>
    </row>
    <row r="147" spans="1:4">
      <c r="A147" t="s">
        <v>1658</v>
      </c>
    </row>
    <row r="148" spans="1:4">
      <c r="A148" s="1390" t="s">
        <v>3188</v>
      </c>
      <c r="B148" s="1391"/>
      <c r="C148" s="1391"/>
      <c r="D148" s="1391"/>
    </row>
    <row r="149" spans="1:4">
      <c r="A149" s="609" t="s">
        <v>3189</v>
      </c>
      <c r="B149" s="609" t="s">
        <v>3190</v>
      </c>
      <c r="C149" s="609" t="s">
        <v>3191</v>
      </c>
      <c r="D149" s="610">
        <v>884</v>
      </c>
    </row>
    <row r="150" spans="1:4">
      <c r="A150" s="609" t="s">
        <v>3192</v>
      </c>
      <c r="B150" s="609" t="s">
        <v>3193</v>
      </c>
      <c r="C150" s="609" t="s">
        <v>3194</v>
      </c>
      <c r="D150" s="610">
        <v>663</v>
      </c>
    </row>
    <row r="151" spans="1:4">
      <c r="A151" s="609" t="s">
        <v>3195</v>
      </c>
      <c r="B151" s="609" t="s">
        <v>3196</v>
      </c>
      <c r="C151" s="609" t="s">
        <v>3197</v>
      </c>
      <c r="D151" s="610">
        <v>1989</v>
      </c>
    </row>
    <row r="152" spans="1:4">
      <c r="A152" s="609" t="s">
        <v>3198</v>
      </c>
      <c r="B152" s="609" t="s">
        <v>3199</v>
      </c>
      <c r="C152" s="609" t="s">
        <v>3200</v>
      </c>
      <c r="D152" s="610">
        <v>1105</v>
      </c>
    </row>
    <row r="153" spans="1:4">
      <c r="A153" s="609" t="s">
        <v>3201</v>
      </c>
      <c r="B153" s="609" t="s">
        <v>3202</v>
      </c>
      <c r="C153" s="609" t="s">
        <v>3203</v>
      </c>
      <c r="D153" s="610">
        <v>828.75</v>
      </c>
    </row>
    <row r="154" spans="1:4">
      <c r="A154" t="s">
        <v>1658</v>
      </c>
    </row>
    <row r="155" spans="1:4">
      <c r="A155" s="1390" t="s">
        <v>3204</v>
      </c>
      <c r="B155" s="1391"/>
      <c r="C155" s="1391"/>
      <c r="D155" s="1391"/>
    </row>
    <row r="156" spans="1:4">
      <c r="A156" s="609" t="s">
        <v>3205</v>
      </c>
      <c r="B156" s="609" t="s">
        <v>3206</v>
      </c>
      <c r="C156" s="609" t="s">
        <v>3207</v>
      </c>
      <c r="D156" s="610">
        <v>1300</v>
      </c>
    </row>
    <row r="157" spans="1:4">
      <c r="A157" s="609" t="s">
        <v>3208</v>
      </c>
      <c r="B157" s="609" t="s">
        <v>3209</v>
      </c>
      <c r="C157" s="609" t="s">
        <v>3210</v>
      </c>
      <c r="D157" s="610">
        <v>975</v>
      </c>
    </row>
    <row r="158" spans="1:4">
      <c r="A158" s="609" t="s">
        <v>3211</v>
      </c>
      <c r="B158" s="609" t="s">
        <v>3212</v>
      </c>
      <c r="C158" s="609" t="s">
        <v>3213</v>
      </c>
      <c r="D158" s="610">
        <v>2925</v>
      </c>
    </row>
    <row r="159" spans="1:4">
      <c r="A159" s="609" t="s">
        <v>3214</v>
      </c>
      <c r="B159" s="609" t="s">
        <v>3215</v>
      </c>
      <c r="C159" s="609" t="s">
        <v>3216</v>
      </c>
      <c r="D159" s="610">
        <v>2193.75</v>
      </c>
    </row>
    <row r="160" spans="1:4">
      <c r="A160" s="609" t="s">
        <v>3217</v>
      </c>
      <c r="B160" s="609" t="s">
        <v>3218</v>
      </c>
      <c r="C160" s="609" t="s">
        <v>3219</v>
      </c>
      <c r="D160" s="610">
        <v>1625</v>
      </c>
    </row>
    <row r="161" spans="1:4">
      <c r="A161" s="609" t="s">
        <v>3220</v>
      </c>
      <c r="B161" s="609" t="s">
        <v>3221</v>
      </c>
      <c r="C161" s="609" t="s">
        <v>3222</v>
      </c>
      <c r="D161" s="610">
        <v>1218.75</v>
      </c>
    </row>
    <row r="162" spans="1:4">
      <c r="A162" t="s">
        <v>1658</v>
      </c>
    </row>
    <row r="163" spans="1:4">
      <c r="A163" s="1390" t="s">
        <v>3223</v>
      </c>
      <c r="B163" s="1391"/>
      <c r="C163" s="1391"/>
      <c r="D163" s="1391"/>
    </row>
    <row r="164" spans="1:4" ht="14.25">
      <c r="A164" s="609" t="s">
        <v>3224</v>
      </c>
      <c r="B164" s="609" t="s">
        <v>3225</v>
      </c>
      <c r="C164" s="609" t="s">
        <v>3226</v>
      </c>
      <c r="D164" s="610">
        <v>50</v>
      </c>
    </row>
    <row r="165" spans="1:4">
      <c r="A165" t="s">
        <v>1658</v>
      </c>
    </row>
    <row r="166" spans="1:4">
      <c r="A166" s="1390" t="s">
        <v>3227</v>
      </c>
      <c r="B166" s="1391"/>
      <c r="C166" s="1391"/>
      <c r="D166" s="1391"/>
    </row>
    <row r="167" spans="1:4" ht="14.25">
      <c r="A167" s="609" t="s">
        <v>3228</v>
      </c>
      <c r="B167" s="609" t="s">
        <v>3229</v>
      </c>
      <c r="C167" s="609" t="s">
        <v>3230</v>
      </c>
      <c r="D167" s="610">
        <v>995</v>
      </c>
    </row>
    <row r="168" spans="1:4">
      <c r="A168" s="609" t="s">
        <v>3231</v>
      </c>
      <c r="B168" s="609" t="s">
        <v>3232</v>
      </c>
      <c r="C168" s="609" t="s">
        <v>3233</v>
      </c>
      <c r="D168" s="610">
        <v>1750</v>
      </c>
    </row>
    <row r="169" spans="1:4">
      <c r="A169" s="609" t="s">
        <v>3234</v>
      </c>
      <c r="B169" s="609" t="s">
        <v>3235</v>
      </c>
      <c r="C169" s="609" t="s">
        <v>3236</v>
      </c>
      <c r="D169" s="610">
        <v>1750</v>
      </c>
    </row>
    <row r="170" spans="1:4">
      <c r="A170" s="609" t="s">
        <v>3237</v>
      </c>
      <c r="B170" s="609" t="s">
        <v>3238</v>
      </c>
      <c r="C170" s="609" t="s">
        <v>3239</v>
      </c>
      <c r="D170" s="610">
        <v>2750</v>
      </c>
    </row>
    <row r="171" spans="1:4">
      <c r="A171" s="609" t="s">
        <v>3240</v>
      </c>
      <c r="B171" s="609" t="s">
        <v>3241</v>
      </c>
      <c r="C171" s="609" t="s">
        <v>3242</v>
      </c>
      <c r="D171" s="610">
        <v>1450</v>
      </c>
    </row>
    <row r="172" spans="1:4">
      <c r="A172" s="609" t="s">
        <v>3243</v>
      </c>
      <c r="B172" s="609" t="s">
        <v>3244</v>
      </c>
      <c r="C172" s="609" t="s">
        <v>3245</v>
      </c>
      <c r="D172" s="610">
        <v>1250</v>
      </c>
    </row>
    <row r="173" spans="1:4" ht="14.25">
      <c r="A173" s="609" t="s">
        <v>3246</v>
      </c>
      <c r="B173" s="609" t="s">
        <v>3247</v>
      </c>
      <c r="C173" s="609" t="s">
        <v>3248</v>
      </c>
      <c r="D173" s="610">
        <v>4000</v>
      </c>
    </row>
    <row r="174" spans="1:4" ht="14.25">
      <c r="A174" s="609" t="s">
        <v>3249</v>
      </c>
      <c r="B174" s="609" t="s">
        <v>3250</v>
      </c>
      <c r="C174" s="609" t="s">
        <v>3251</v>
      </c>
      <c r="D174" s="610">
        <v>4000</v>
      </c>
    </row>
    <row r="175" spans="1:4" ht="14.25">
      <c r="A175" s="609" t="s">
        <v>3252</v>
      </c>
      <c r="B175" s="609" t="s">
        <v>3253</v>
      </c>
      <c r="C175" s="609" t="s">
        <v>3254</v>
      </c>
      <c r="D175" s="610">
        <v>8000</v>
      </c>
    </row>
    <row r="176" spans="1:4" ht="14.25">
      <c r="A176" s="609" t="s">
        <v>3255</v>
      </c>
      <c r="B176" s="609" t="s">
        <v>3256</v>
      </c>
      <c r="C176" s="609" t="s">
        <v>3257</v>
      </c>
      <c r="D176" s="610">
        <v>2200</v>
      </c>
    </row>
    <row r="177" spans="1:4" ht="14.25">
      <c r="A177" s="609" t="s">
        <v>3258</v>
      </c>
      <c r="B177" s="609" t="s">
        <v>3259</v>
      </c>
      <c r="C177" s="609" t="s">
        <v>3260</v>
      </c>
      <c r="D177" s="610">
        <v>2000</v>
      </c>
    </row>
    <row r="178" spans="1:4">
      <c r="A178" t="s">
        <v>1658</v>
      </c>
    </row>
    <row r="179" spans="1:4">
      <c r="A179" s="1390" t="s">
        <v>3261</v>
      </c>
      <c r="B179" s="1391"/>
      <c r="C179" s="1391"/>
      <c r="D179" s="1391"/>
    </row>
    <row r="180" spans="1:4">
      <c r="A180" s="609" t="s">
        <v>3262</v>
      </c>
      <c r="B180" s="609" t="s">
        <v>3263</v>
      </c>
      <c r="C180" s="609" t="s">
        <v>3264</v>
      </c>
      <c r="D180" s="610">
        <v>1</v>
      </c>
    </row>
    <row r="181" spans="1:4">
      <c r="A181" t="s">
        <v>1658</v>
      </c>
    </row>
    <row r="182" spans="1:4">
      <c r="A182" s="1390" t="s">
        <v>464</v>
      </c>
      <c r="B182" s="1391"/>
      <c r="C182" s="1391"/>
      <c r="D182" s="1391"/>
    </row>
    <row r="183" spans="1:4" ht="14.25">
      <c r="A183" s="609" t="s">
        <v>3265</v>
      </c>
      <c r="B183" s="609" t="s">
        <v>3266</v>
      </c>
      <c r="C183" s="609" t="s">
        <v>3267</v>
      </c>
      <c r="D183" s="610">
        <v>2000</v>
      </c>
    </row>
    <row r="184" spans="1:4">
      <c r="A184" s="609" t="s">
        <v>3268</v>
      </c>
      <c r="B184" s="609" t="s">
        <v>3269</v>
      </c>
      <c r="C184" s="609" t="s">
        <v>3270</v>
      </c>
      <c r="D184" s="610">
        <v>250</v>
      </c>
    </row>
    <row r="185" spans="1:4">
      <c r="A185" s="609" t="s">
        <v>3271</v>
      </c>
      <c r="B185" s="609" t="s">
        <v>3272</v>
      </c>
      <c r="C185" s="609" t="s">
        <v>3273</v>
      </c>
      <c r="D185" s="610">
        <v>400</v>
      </c>
    </row>
    <row r="186" spans="1:4">
      <c r="A186" s="609" t="s">
        <v>3274</v>
      </c>
      <c r="B186" s="609" t="s">
        <v>3275</v>
      </c>
      <c r="C186" s="609" t="s">
        <v>3276</v>
      </c>
      <c r="D186" s="610">
        <v>250</v>
      </c>
    </row>
    <row r="187" spans="1:4">
      <c r="A187" t="s">
        <v>1658</v>
      </c>
    </row>
    <row r="188" spans="1:4">
      <c r="A188" s="1396" t="s">
        <v>3277</v>
      </c>
      <c r="B188" s="1391"/>
      <c r="C188" s="1391"/>
      <c r="D188" s="1391"/>
    </row>
    <row r="189" spans="1:4">
      <c r="A189" s="1396" t="s">
        <v>3278</v>
      </c>
      <c r="B189" s="1391"/>
      <c r="C189" s="1391"/>
      <c r="D189" s="1391"/>
    </row>
    <row r="190" spans="1:4">
      <c r="A190" s="1396" t="s">
        <v>3279</v>
      </c>
      <c r="B190" s="1391"/>
      <c r="C190" s="1391"/>
      <c r="D190" s="1391"/>
    </row>
    <row r="191" spans="1:4">
      <c r="A191" s="1396" t="s">
        <v>3280</v>
      </c>
      <c r="B191" s="1391"/>
      <c r="C191" s="1391"/>
      <c r="D191" s="1391"/>
    </row>
    <row r="192" spans="1:4">
      <c r="A192" s="1396" t="s">
        <v>3281</v>
      </c>
      <c r="B192" s="1391"/>
      <c r="C192" s="1391"/>
      <c r="D192" s="1391"/>
    </row>
    <row r="193" spans="1:4">
      <c r="A193" s="1396" t="s">
        <v>3282</v>
      </c>
      <c r="B193" s="1391"/>
      <c r="C193" s="1391"/>
      <c r="D193" s="1391"/>
    </row>
    <row r="194" spans="1:4">
      <c r="A194" s="1396" t="s">
        <v>3283</v>
      </c>
      <c r="B194" s="1391"/>
      <c r="C194" s="1391"/>
      <c r="D194" s="1391"/>
    </row>
    <row r="195" spans="1:4">
      <c r="A195" s="1396" t="s">
        <v>3284</v>
      </c>
      <c r="B195" s="1391"/>
      <c r="C195" s="1391"/>
      <c r="D195" s="1391"/>
    </row>
    <row r="196" spans="1:4">
      <c r="A196" s="1396" t="s">
        <v>3285</v>
      </c>
      <c r="B196" s="1391"/>
      <c r="C196" s="1391"/>
      <c r="D196" s="1391"/>
    </row>
    <row r="197" spans="1:4">
      <c r="A197" s="1396" t="s">
        <v>3286</v>
      </c>
      <c r="B197" s="1391"/>
      <c r="C197" s="1391"/>
      <c r="D197" s="1391"/>
    </row>
    <row r="198" spans="1:4">
      <c r="A198" s="1396" t="s">
        <v>3287</v>
      </c>
      <c r="B198" s="1391"/>
      <c r="C198" s="1391"/>
      <c r="D198" s="1391"/>
    </row>
    <row r="199" spans="1:4">
      <c r="A199" s="1396" t="s">
        <v>3288</v>
      </c>
      <c r="B199" s="1391"/>
      <c r="C199" s="1391"/>
      <c r="D199" s="1391"/>
    </row>
    <row r="200" spans="1:4">
      <c r="A200" s="1396" t="s">
        <v>3289</v>
      </c>
      <c r="B200" s="1391"/>
      <c r="C200" s="1391"/>
      <c r="D200" s="1391"/>
    </row>
  </sheetData>
  <mergeCells count="30">
    <mergeCell ref="A200:D200"/>
    <mergeCell ref="A189:D189"/>
    <mergeCell ref="A190:D190"/>
    <mergeCell ref="A191:D191"/>
    <mergeCell ref="A192:D192"/>
    <mergeCell ref="A193:D193"/>
    <mergeCell ref="A194:D194"/>
    <mergeCell ref="A195:D195"/>
    <mergeCell ref="A196:D196"/>
    <mergeCell ref="A197:D197"/>
    <mergeCell ref="A198:D198"/>
    <mergeCell ref="A199:D199"/>
    <mergeCell ref="A188:D188"/>
    <mergeCell ref="A81:D81"/>
    <mergeCell ref="A98:D98"/>
    <mergeCell ref="A115:D115"/>
    <mergeCell ref="A132:D132"/>
    <mergeCell ref="A140:D140"/>
    <mergeCell ref="A148:D148"/>
    <mergeCell ref="A155:D155"/>
    <mergeCell ref="A163:D163"/>
    <mergeCell ref="A166:D166"/>
    <mergeCell ref="A179:D179"/>
    <mergeCell ref="A182:D182"/>
    <mergeCell ref="A49:D49"/>
    <mergeCell ref="A1:D1"/>
    <mergeCell ref="A5:D5"/>
    <mergeCell ref="A19:D19"/>
    <mergeCell ref="A29:D29"/>
    <mergeCell ref="A39:D39"/>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6">
    <tabColor rgb="FF339966"/>
  </sheetPr>
  <dimension ref="A1:L39"/>
  <sheetViews>
    <sheetView zoomScaleNormal="100" workbookViewId="0">
      <selection activeCell="G60" sqref="G60"/>
    </sheetView>
  </sheetViews>
  <sheetFormatPr defaultRowHeight="12.75"/>
  <cols>
    <col min="1" max="1" width="61.5703125" bestFit="1" customWidth="1"/>
    <col min="2" max="2" width="131" bestFit="1" customWidth="1"/>
    <col min="3" max="3" width="21.7109375" bestFit="1" customWidth="1"/>
    <col min="4" max="4" width="16" bestFit="1" customWidth="1"/>
  </cols>
  <sheetData>
    <row r="1" spans="1:4" ht="25.5">
      <c r="A1" s="1408" t="s">
        <v>3290</v>
      </c>
      <c r="B1" s="1409"/>
      <c r="C1" s="1409"/>
      <c r="D1" s="1409"/>
    </row>
    <row r="3" spans="1:4">
      <c r="A3" s="615" t="s">
        <v>2254</v>
      </c>
      <c r="B3" s="615" t="s">
        <v>171</v>
      </c>
      <c r="C3" s="615" t="s">
        <v>2255</v>
      </c>
      <c r="D3" s="615" t="s">
        <v>2256</v>
      </c>
    </row>
    <row r="4" spans="1:4">
      <c r="A4" t="s">
        <v>1658</v>
      </c>
    </row>
    <row r="5" spans="1:4">
      <c r="A5" s="1402" t="s">
        <v>1248</v>
      </c>
      <c r="B5" s="1391"/>
      <c r="C5" s="1391"/>
      <c r="D5" s="1391"/>
    </row>
    <row r="6" spans="1:4" ht="14.25">
      <c r="A6" s="609" t="s">
        <v>3291</v>
      </c>
      <c r="B6" s="609" t="s">
        <v>3292</v>
      </c>
      <c r="C6" s="609" t="s">
        <v>3293</v>
      </c>
      <c r="D6" s="610">
        <v>1</v>
      </c>
    </row>
    <row r="7" spans="1:4">
      <c r="A7" s="609" t="s">
        <v>3294</v>
      </c>
      <c r="B7" s="609" t="s">
        <v>3295</v>
      </c>
      <c r="C7" s="609" t="s">
        <v>3296</v>
      </c>
      <c r="D7" s="610">
        <v>1795</v>
      </c>
    </row>
    <row r="8" spans="1:4">
      <c r="A8" s="609" t="s">
        <v>3297</v>
      </c>
      <c r="B8" s="609" t="s">
        <v>3298</v>
      </c>
      <c r="C8" s="609" t="s">
        <v>3299</v>
      </c>
      <c r="D8" s="610">
        <v>995</v>
      </c>
    </row>
    <row r="9" spans="1:4">
      <c r="A9" t="s">
        <v>1658</v>
      </c>
    </row>
    <row r="10" spans="1:4">
      <c r="A10" s="1390" t="s">
        <v>464</v>
      </c>
      <c r="B10" s="1391"/>
      <c r="C10" s="1391"/>
      <c r="D10" s="1391"/>
    </row>
    <row r="11" spans="1:4" ht="14.25">
      <c r="A11" s="609" t="s">
        <v>2760</v>
      </c>
      <c r="B11" s="609" t="s">
        <v>3300</v>
      </c>
      <c r="C11" s="609" t="s">
        <v>3301</v>
      </c>
      <c r="D11" s="610">
        <v>200</v>
      </c>
    </row>
    <row r="12" spans="1:4">
      <c r="A12" t="s">
        <v>1658</v>
      </c>
    </row>
    <row r="13" spans="1:4">
      <c r="A13" s="1390" t="s">
        <v>3302</v>
      </c>
      <c r="B13" s="1391"/>
      <c r="C13" s="1391"/>
      <c r="D13" s="1391"/>
    </row>
    <row r="14" spans="1:4">
      <c r="A14" s="609" t="s">
        <v>3303</v>
      </c>
      <c r="B14" s="609" t="s">
        <v>3304</v>
      </c>
      <c r="C14" s="609" t="s">
        <v>3305</v>
      </c>
      <c r="D14" s="610">
        <v>1295</v>
      </c>
    </row>
    <row r="15" spans="1:4">
      <c r="A15" s="609" t="s">
        <v>3306</v>
      </c>
      <c r="B15" s="609" t="s">
        <v>3307</v>
      </c>
      <c r="C15" s="609" t="s">
        <v>3308</v>
      </c>
      <c r="D15" s="610">
        <v>295</v>
      </c>
    </row>
    <row r="16" spans="1:4">
      <c r="A16" s="609" t="s">
        <v>3309</v>
      </c>
      <c r="B16" s="609" t="s">
        <v>3310</v>
      </c>
      <c r="C16" s="609" t="s">
        <v>3311</v>
      </c>
      <c r="D16" s="610">
        <v>1295</v>
      </c>
    </row>
    <row r="17" spans="1:4">
      <c r="A17" t="s">
        <v>1658</v>
      </c>
    </row>
    <row r="18" spans="1:4">
      <c r="A18" s="1396" t="s">
        <v>3312</v>
      </c>
      <c r="B18" s="1391"/>
      <c r="C18" s="1391"/>
      <c r="D18" s="1391"/>
    </row>
    <row r="39" spans="12:12">
      <c r="L39">
        <f>F39*0.0256</f>
        <v>0</v>
      </c>
    </row>
  </sheetData>
  <mergeCells count="5">
    <mergeCell ref="A1:D1"/>
    <mergeCell ref="A5:D5"/>
    <mergeCell ref="A10:D10"/>
    <mergeCell ref="A13:D13"/>
    <mergeCell ref="A18:D18"/>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22">
    <tabColor indexed="12"/>
  </sheetPr>
  <dimension ref="A1:L39"/>
  <sheetViews>
    <sheetView zoomScale="84" zoomScaleNormal="84" workbookViewId="0">
      <selection activeCell="D8" sqref="D8:D9"/>
    </sheetView>
  </sheetViews>
  <sheetFormatPr defaultColWidth="8.85546875" defaultRowHeight="12.75"/>
  <cols>
    <col min="1" max="1" width="46" style="104" bestFit="1" customWidth="1"/>
    <col min="2" max="2" width="27.7109375" style="104" bestFit="1" customWidth="1"/>
    <col min="3" max="3" width="14.7109375" style="104" bestFit="1" customWidth="1"/>
    <col min="4" max="4" width="19.140625" style="104" bestFit="1" customWidth="1"/>
    <col min="5" max="16384" width="8.85546875" style="104"/>
  </cols>
  <sheetData>
    <row r="1" spans="1:4" ht="118.9" customHeight="1">
      <c r="A1" s="1393" t="s">
        <v>2759</v>
      </c>
      <c r="B1" s="1391"/>
      <c r="C1" s="1391"/>
      <c r="D1" s="1391"/>
    </row>
    <row r="2" spans="1:4" ht="9" customHeight="1">
      <c r="A2" s="608" t="s">
        <v>2254</v>
      </c>
      <c r="B2" s="608" t="s">
        <v>171</v>
      </c>
      <c r="C2" s="608" t="s">
        <v>2255</v>
      </c>
      <c r="D2" s="608" t="s">
        <v>2256</v>
      </c>
    </row>
    <row r="3" spans="1:4" ht="10.5" customHeight="1">
      <c r="A3" t="s">
        <v>1658</v>
      </c>
      <c r="B3"/>
      <c r="C3"/>
      <c r="D3"/>
    </row>
    <row r="4" spans="1:4">
      <c r="A4" s="609" t="s">
        <v>2760</v>
      </c>
      <c r="B4" s="609" t="s">
        <v>883</v>
      </c>
      <c r="C4" s="609" t="s">
        <v>878</v>
      </c>
      <c r="D4" s="610">
        <v>132</v>
      </c>
    </row>
    <row r="5" spans="1:4" s="114" customFormat="1" ht="44.25" customHeight="1">
      <c r="A5" s="609" t="s">
        <v>2760</v>
      </c>
      <c r="B5" s="609" t="s">
        <v>884</v>
      </c>
      <c r="C5" s="609" t="s">
        <v>879</v>
      </c>
      <c r="D5" s="610">
        <v>120</v>
      </c>
    </row>
    <row r="6" spans="1:4" ht="9" customHeight="1">
      <c r="A6" s="609" t="s">
        <v>2760</v>
      </c>
      <c r="B6" s="609" t="s">
        <v>885</v>
      </c>
      <c r="C6" s="609" t="s">
        <v>880</v>
      </c>
      <c r="D6" s="610">
        <v>100</v>
      </c>
    </row>
    <row r="7" spans="1:4">
      <c r="A7" s="609" t="s">
        <v>2761</v>
      </c>
      <c r="B7" s="609" t="s">
        <v>886</v>
      </c>
      <c r="C7" s="609" t="s">
        <v>881</v>
      </c>
      <c r="D7" s="610">
        <v>150</v>
      </c>
    </row>
    <row r="8" spans="1:4">
      <c r="A8" s="609" t="s">
        <v>2762</v>
      </c>
      <c r="B8" s="609" t="s">
        <v>886</v>
      </c>
      <c r="C8" s="609" t="s">
        <v>882</v>
      </c>
      <c r="D8" s="610">
        <v>245</v>
      </c>
    </row>
    <row r="9" spans="1:4" s="113" customFormat="1"/>
    <row r="10" spans="1:4" s="113" customFormat="1"/>
    <row r="11" spans="1:4" s="113" customFormat="1"/>
    <row r="12" spans="1:4" s="113" customFormat="1"/>
    <row r="13" spans="1:4" s="113" customFormat="1"/>
    <row r="14" spans="1:4" s="113" customFormat="1"/>
    <row r="15" spans="1:4" s="113" customFormat="1"/>
    <row r="16" spans="1:4" s="113" customFormat="1"/>
    <row r="17" s="113" customFormat="1"/>
    <row r="18" s="113" customFormat="1" ht="15.75" customHeight="1"/>
    <row r="19" s="113" customFormat="1" ht="12.75" customHeight="1"/>
    <row r="20" s="113" customFormat="1" ht="12.75" customHeight="1"/>
    <row r="21" s="113" customFormat="1" ht="12.75" customHeight="1"/>
    <row r="22" s="113" customFormat="1" ht="18" customHeight="1"/>
    <row r="23" s="113" customFormat="1" ht="15.75" customHeight="1"/>
    <row r="24" s="151" customFormat="1" ht="54" customHeight="1"/>
    <row r="25" s="155" customFormat="1" ht="27.75" customHeight="1"/>
    <row r="26" s="155" customFormat="1" ht="27.75" customHeight="1"/>
    <row r="27" s="155" customFormat="1" ht="29.25" customHeight="1"/>
    <row r="28" s="155" customFormat="1" ht="29.25" customHeight="1"/>
    <row r="29" s="155" customFormat="1" ht="29.25" customHeight="1"/>
    <row r="30" s="156" customFormat="1"/>
    <row r="39" spans="12:12">
      <c r="L39" s="104">
        <f>F39*0.0256</f>
        <v>0</v>
      </c>
    </row>
  </sheetData>
  <mergeCells count="1">
    <mergeCell ref="A1:D1"/>
  </mergeCells>
  <phoneticPr fontId="0" type="noConversion"/>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indexed="62"/>
  </sheetPr>
  <dimension ref="A1:O75"/>
  <sheetViews>
    <sheetView topLeftCell="B1" zoomScale="80" zoomScaleNormal="80" workbookViewId="0">
      <selection activeCell="D44" sqref="D44"/>
    </sheetView>
  </sheetViews>
  <sheetFormatPr defaultColWidth="8.85546875" defaultRowHeight="12.75"/>
  <cols>
    <col min="1" max="1" width="14.42578125" style="104" customWidth="1"/>
    <col min="2" max="2" width="8.85546875" style="104" customWidth="1"/>
    <col min="3" max="3" width="17.5703125" style="349" customWidth="1"/>
    <col min="4" max="4" width="49.28515625" style="104" customWidth="1"/>
    <col min="5" max="5" width="16.140625" style="104" customWidth="1"/>
    <col min="6" max="6" width="15.42578125" style="165" customWidth="1"/>
    <col min="7" max="7" width="20.5703125" style="165" customWidth="1"/>
    <col min="8" max="8" width="23.42578125" style="104" customWidth="1"/>
    <col min="9" max="9" width="20.5703125" style="104" customWidth="1"/>
    <col min="10" max="10" width="24.28515625" style="104" customWidth="1"/>
    <col min="11" max="11" width="21.140625" style="104" customWidth="1"/>
    <col min="12" max="12" width="23.85546875" style="104" customWidth="1"/>
    <col min="13" max="13" width="21.85546875" style="104" customWidth="1"/>
    <col min="14" max="14" width="23.42578125" style="104" customWidth="1"/>
    <col min="15" max="15" width="21.85546875" style="104" customWidth="1"/>
    <col min="16" max="16384" width="8.85546875" style="104"/>
  </cols>
  <sheetData>
    <row r="1" spans="1:15" s="162" customFormat="1" ht="13.5" thickBot="1">
      <c r="B1" s="318"/>
      <c r="C1" s="318"/>
      <c r="D1" s="106"/>
      <c r="E1" s="106"/>
      <c r="F1" s="107"/>
      <c r="G1" s="107"/>
      <c r="H1" s="107"/>
      <c r="I1" s="107"/>
      <c r="J1" s="107"/>
      <c r="K1" s="106"/>
      <c r="L1" s="107"/>
    </row>
    <row r="2" spans="1:15" s="162" customFormat="1">
      <c r="A2" s="469"/>
      <c r="B2" s="319"/>
      <c r="C2" s="319"/>
      <c r="D2" s="110"/>
      <c r="E2" s="110"/>
      <c r="F2" s="111"/>
      <c r="G2" s="111"/>
      <c r="H2" s="111"/>
      <c r="I2" s="112"/>
      <c r="J2" s="112"/>
      <c r="K2" s="112"/>
      <c r="L2" s="112"/>
      <c r="M2" s="469"/>
      <c r="N2" s="469"/>
      <c r="O2" s="469"/>
    </row>
    <row r="3" spans="1:15" s="162" customFormat="1">
      <c r="B3" s="318"/>
      <c r="C3" s="318"/>
      <c r="D3" s="106"/>
      <c r="E3" s="106"/>
      <c r="F3" s="107"/>
      <c r="G3" s="107"/>
      <c r="H3" s="107"/>
      <c r="I3" s="113"/>
      <c r="J3" s="113"/>
      <c r="K3" s="113"/>
      <c r="L3" s="113"/>
    </row>
    <row r="4" spans="1:15" s="162" customFormat="1" ht="27">
      <c r="A4" s="1175" t="s">
        <v>750</v>
      </c>
      <c r="B4" s="979"/>
      <c r="C4" s="979"/>
      <c r="D4" s="979"/>
      <c r="E4" s="979"/>
      <c r="F4" s="979"/>
      <c r="G4" s="979"/>
      <c r="H4" s="979"/>
      <c r="I4" s="979"/>
      <c r="J4" s="979"/>
      <c r="K4" s="979"/>
      <c r="L4" s="979"/>
      <c r="M4" s="979"/>
      <c r="N4" s="979"/>
      <c r="O4" s="979"/>
    </row>
    <row r="5" spans="1:15" ht="56.25" customHeight="1">
      <c r="A5" s="1176" t="s">
        <v>751</v>
      </c>
      <c r="B5" s="1177"/>
      <c r="C5" s="1177"/>
      <c r="D5" s="1177"/>
      <c r="E5" s="1177"/>
      <c r="F5" s="1177"/>
      <c r="G5" s="1177"/>
      <c r="H5" s="1177"/>
      <c r="I5" s="1177"/>
      <c r="J5" s="1177"/>
      <c r="K5" s="1177"/>
      <c r="L5" s="1177"/>
      <c r="M5" s="1177"/>
      <c r="N5" s="1177"/>
      <c r="O5" s="1177"/>
    </row>
    <row r="6" spans="1:15" ht="13.5" thickBot="1">
      <c r="A6" s="115"/>
      <c r="B6" s="115"/>
      <c r="C6" s="115"/>
      <c r="D6" s="115"/>
      <c r="E6" s="115"/>
      <c r="F6" s="115"/>
      <c r="G6" s="115"/>
      <c r="H6" s="115"/>
      <c r="I6" s="115"/>
      <c r="J6" s="115"/>
      <c r="K6" s="115"/>
      <c r="L6" s="115"/>
      <c r="M6" s="115"/>
      <c r="N6" s="115"/>
      <c r="O6" s="115"/>
    </row>
    <row r="7" spans="1:15">
      <c r="B7" s="349"/>
    </row>
    <row r="8" spans="1:15">
      <c r="B8" s="349"/>
    </row>
    <row r="9" spans="1:15" ht="14.25">
      <c r="B9" s="470"/>
      <c r="C9" s="470"/>
      <c r="D9" s="121"/>
      <c r="E9" s="121"/>
      <c r="F9" s="121"/>
      <c r="G9" s="121"/>
      <c r="H9" s="121"/>
      <c r="I9" s="121"/>
      <c r="J9" s="121"/>
      <c r="K9" s="113"/>
      <c r="L9" s="123"/>
      <c r="M9" s="113"/>
      <c r="N9" s="113"/>
    </row>
    <row r="10" spans="1:15" ht="14.25">
      <c r="B10" s="124"/>
      <c r="C10" s="124"/>
      <c r="D10" s="113"/>
      <c r="E10" s="113"/>
      <c r="F10" s="980" t="s">
        <v>3</v>
      </c>
      <c r="G10" s="980"/>
      <c r="H10" s="979"/>
      <c r="I10" s="979"/>
      <c r="K10" s="113"/>
      <c r="L10" s="123"/>
      <c r="M10" s="131"/>
      <c r="N10" s="113"/>
    </row>
    <row r="11" spans="1:15" ht="14.25">
      <c r="B11" s="124"/>
      <c r="C11" s="124"/>
      <c r="D11" s="113"/>
      <c r="E11" s="113"/>
      <c r="F11" s="113"/>
      <c r="G11" s="123" t="s">
        <v>210</v>
      </c>
      <c r="H11" s="539" t="s">
        <v>458</v>
      </c>
      <c r="I11" s="351"/>
      <c r="J11" s="351"/>
      <c r="K11" s="136"/>
      <c r="L11" s="123"/>
      <c r="M11" s="113"/>
      <c r="N11" s="113"/>
    </row>
    <row r="12" spans="1:15" ht="14.25">
      <c r="B12" s="124"/>
      <c r="C12" s="124"/>
      <c r="D12" s="113"/>
      <c r="E12" s="113"/>
      <c r="F12" s="113"/>
      <c r="G12" s="123" t="s">
        <v>212</v>
      </c>
      <c r="H12" s="539" t="s">
        <v>459</v>
      </c>
      <c r="I12" s="351"/>
      <c r="J12" s="351"/>
      <c r="K12" s="136"/>
      <c r="L12" s="123"/>
      <c r="M12" s="113"/>
      <c r="N12" s="113"/>
    </row>
    <row r="13" spans="1:15">
      <c r="B13" s="124"/>
      <c r="C13" s="124"/>
      <c r="D13" s="113"/>
      <c r="E13" s="113"/>
      <c r="F13" s="113"/>
      <c r="G13" s="123" t="s">
        <v>214</v>
      </c>
      <c r="H13" s="539" t="s">
        <v>761</v>
      </c>
    </row>
    <row r="14" spans="1:15" ht="14.25">
      <c r="B14" s="124"/>
      <c r="C14" s="124"/>
      <c r="D14" s="113"/>
      <c r="E14" s="113"/>
      <c r="F14" s="113"/>
      <c r="G14" s="123" t="s">
        <v>8</v>
      </c>
      <c r="H14" s="113" t="s">
        <v>752</v>
      </c>
      <c r="I14" s="351"/>
      <c r="J14" s="351"/>
      <c r="K14" s="351"/>
      <c r="L14" s="351"/>
    </row>
    <row r="15" spans="1:15" ht="14.25">
      <c r="B15" s="124"/>
      <c r="C15" s="124"/>
      <c r="D15" s="113"/>
      <c r="E15" s="113"/>
      <c r="F15" s="113"/>
      <c r="G15" s="123" t="s">
        <v>9</v>
      </c>
      <c r="H15" s="113" t="s">
        <v>753</v>
      </c>
      <c r="I15" s="351"/>
      <c r="J15" s="351"/>
      <c r="K15" s="351"/>
      <c r="L15" s="351"/>
    </row>
    <row r="16" spans="1:15" ht="14.25">
      <c r="B16" s="124"/>
      <c r="C16" s="124"/>
      <c r="D16" s="113"/>
      <c r="E16" s="113"/>
      <c r="F16" s="113"/>
      <c r="G16" s="123" t="s">
        <v>10</v>
      </c>
      <c r="H16" s="113" t="s">
        <v>215</v>
      </c>
      <c r="I16" s="351"/>
      <c r="J16" s="351"/>
      <c r="K16" s="351"/>
      <c r="L16" s="351"/>
    </row>
    <row r="17" spans="1:15" ht="14.25">
      <c r="B17" s="124"/>
      <c r="C17" s="124"/>
      <c r="D17" s="113"/>
      <c r="E17" s="113"/>
      <c r="F17" s="113"/>
      <c r="G17" s="123" t="s">
        <v>12</v>
      </c>
      <c r="H17" s="113" t="s">
        <v>754</v>
      </c>
      <c r="I17" s="351"/>
      <c r="J17" s="351"/>
      <c r="K17" s="351"/>
      <c r="L17" s="351"/>
    </row>
    <row r="18" spans="1:15" ht="14.25">
      <c r="B18" s="124"/>
      <c r="C18" s="124"/>
      <c r="D18" s="113"/>
      <c r="E18" s="113"/>
      <c r="F18" s="113"/>
      <c r="G18" s="123"/>
      <c r="H18" s="113" t="s">
        <v>755</v>
      </c>
      <c r="I18" s="351"/>
      <c r="J18" s="351"/>
      <c r="K18" s="351"/>
      <c r="L18" s="351"/>
    </row>
    <row r="19" spans="1:15" ht="14.25">
      <c r="B19" s="124"/>
      <c r="C19" s="124"/>
      <c r="D19" s="113"/>
      <c r="E19" s="113"/>
      <c r="F19" s="113"/>
      <c r="G19" s="123" t="s">
        <v>13</v>
      </c>
      <c r="H19" s="113" t="s">
        <v>60</v>
      </c>
      <c r="I19" s="122"/>
      <c r="J19" s="122"/>
      <c r="K19" s="122"/>
      <c r="L19" s="122"/>
    </row>
    <row r="20" spans="1:15" ht="14.25">
      <c r="B20" s="124"/>
      <c r="C20" s="124"/>
      <c r="D20" s="113"/>
      <c r="E20" s="113"/>
      <c r="F20" s="113"/>
      <c r="G20" s="123" t="s">
        <v>16</v>
      </c>
      <c r="H20" s="113" t="s">
        <v>758</v>
      </c>
      <c r="I20" s="122"/>
      <c r="J20" s="122"/>
      <c r="K20" s="122"/>
      <c r="L20" s="122"/>
    </row>
    <row r="21" spans="1:15" ht="14.25">
      <c r="B21" s="124"/>
      <c r="C21" s="124"/>
      <c r="D21" s="113"/>
      <c r="E21" s="113"/>
      <c r="F21" s="113"/>
      <c r="G21" s="123" t="s">
        <v>219</v>
      </c>
      <c r="H21" s="539" t="s">
        <v>759</v>
      </c>
      <c r="I21" s="122"/>
      <c r="J21" s="122"/>
      <c r="K21" s="122"/>
      <c r="L21" s="122"/>
    </row>
    <row r="22" spans="1:15" ht="14.25">
      <c r="B22" s="124"/>
      <c r="C22" s="124"/>
      <c r="D22" s="113"/>
      <c r="E22" s="113"/>
      <c r="F22" s="113"/>
      <c r="G22" s="123" t="s">
        <v>220</v>
      </c>
      <c r="H22" s="539" t="s">
        <v>760</v>
      </c>
      <c r="I22" s="122"/>
      <c r="J22" s="122"/>
      <c r="K22" s="122"/>
      <c r="L22" s="122"/>
    </row>
    <row r="23" spans="1:15" ht="14.25">
      <c r="B23" s="124"/>
      <c r="C23" s="124"/>
      <c r="D23" s="113"/>
      <c r="E23" s="113"/>
      <c r="F23" s="113"/>
      <c r="G23" s="123" t="s">
        <v>21</v>
      </c>
      <c r="H23" s="539" t="s">
        <v>756</v>
      </c>
      <c r="I23" s="122"/>
      <c r="J23" s="122"/>
      <c r="K23" s="122"/>
      <c r="L23" s="122"/>
    </row>
    <row r="24" spans="1:15" ht="13.5" customHeight="1">
      <c r="B24" s="124"/>
      <c r="C24" s="124"/>
      <c r="D24" s="113"/>
      <c r="E24" s="113"/>
      <c r="F24" s="113"/>
      <c r="G24" s="123" t="s">
        <v>22</v>
      </c>
      <c r="H24" s="202" t="s">
        <v>757</v>
      </c>
      <c r="I24" s="122"/>
      <c r="J24" s="122"/>
      <c r="K24" s="122"/>
      <c r="L24" s="122"/>
    </row>
    <row r="25" spans="1:15" s="113" customFormat="1" ht="15" thickBot="1">
      <c r="A25" s="1072" t="s">
        <v>23</v>
      </c>
      <c r="B25" s="1178"/>
      <c r="C25" s="1178"/>
      <c r="D25" s="1178"/>
      <c r="E25" s="1178"/>
      <c r="F25" s="1178"/>
      <c r="G25" s="1178"/>
      <c r="H25" s="1178"/>
      <c r="I25" s="1178"/>
      <c r="J25" s="1178"/>
      <c r="K25" s="1178"/>
      <c r="L25" s="1178"/>
      <c r="M25" s="1178"/>
      <c r="N25" s="1178"/>
      <c r="O25" s="1178"/>
    </row>
    <row r="26" spans="1:15" s="113" customFormat="1" ht="14.25">
      <c r="A26" s="1065" t="s">
        <v>221</v>
      </c>
      <c r="B26" s="1066"/>
      <c r="C26" s="1066"/>
      <c r="D26" s="1067"/>
      <c r="E26" s="1068" t="s">
        <v>222</v>
      </c>
      <c r="F26" s="1179"/>
      <c r="G26" s="1179"/>
      <c r="H26" s="1179"/>
      <c r="I26" s="1179"/>
      <c r="J26" s="1179"/>
      <c r="K26" s="1180"/>
      <c r="L26" s="1065" t="s">
        <v>223</v>
      </c>
      <c r="M26" s="1066"/>
      <c r="N26" s="1066"/>
      <c r="O26" s="1067"/>
    </row>
    <row r="27" spans="1:15" s="113" customFormat="1" ht="12.75" customHeight="1">
      <c r="A27" s="994" t="s">
        <v>160</v>
      </c>
      <c r="B27" s="1073"/>
      <c r="C27" s="1073"/>
      <c r="D27" s="322" t="s">
        <v>161</v>
      </c>
      <c r="E27" s="994" t="s">
        <v>160</v>
      </c>
      <c r="F27" s="1073"/>
      <c r="G27" s="1073"/>
      <c r="H27" s="1073"/>
      <c r="I27" s="1078" t="s">
        <v>162</v>
      </c>
      <c r="J27" s="1078"/>
      <c r="K27" s="1173"/>
      <c r="L27" s="994" t="s">
        <v>160</v>
      </c>
      <c r="M27" s="1073"/>
      <c r="N27" s="1079" t="s">
        <v>162</v>
      </c>
      <c r="O27" s="1080"/>
    </row>
    <row r="28" spans="1:15" s="113" customFormat="1" ht="12.75" customHeight="1">
      <c r="A28" s="994" t="s">
        <v>43</v>
      </c>
      <c r="B28" s="1073"/>
      <c r="C28" s="1073"/>
      <c r="D28" s="323">
        <v>0</v>
      </c>
      <c r="E28" s="994" t="s">
        <v>43</v>
      </c>
      <c r="F28" s="1073"/>
      <c r="G28" s="1073"/>
      <c r="H28" s="1073"/>
      <c r="I28" s="1074">
        <v>450</v>
      </c>
      <c r="J28" s="1074"/>
      <c r="K28" s="1174"/>
      <c r="L28" s="994" t="s">
        <v>43</v>
      </c>
      <c r="M28" s="1073"/>
      <c r="N28" s="1076">
        <v>675</v>
      </c>
      <c r="O28" s="1077"/>
    </row>
    <row r="29" spans="1:15" s="113" customFormat="1" ht="12.75" customHeight="1">
      <c r="A29" s="994" t="s">
        <v>164</v>
      </c>
      <c r="B29" s="1073"/>
      <c r="C29" s="1073"/>
      <c r="D29" s="322" t="s">
        <v>165</v>
      </c>
      <c r="E29" s="994" t="s">
        <v>164</v>
      </c>
      <c r="F29" s="1073"/>
      <c r="G29" s="1073"/>
      <c r="H29" s="1073"/>
      <c r="I29" s="1078" t="s">
        <v>44</v>
      </c>
      <c r="J29" s="1078"/>
      <c r="K29" s="1173"/>
      <c r="L29" s="994" t="s">
        <v>164</v>
      </c>
      <c r="M29" s="1073"/>
      <c r="N29" s="1079" t="s">
        <v>45</v>
      </c>
      <c r="O29" s="1080"/>
    </row>
    <row r="30" spans="1:15" s="113" customFormat="1" ht="12.75" customHeight="1">
      <c r="A30" s="994" t="s">
        <v>46</v>
      </c>
      <c r="B30" s="1073"/>
      <c r="C30" s="1073"/>
      <c r="D30" s="322" t="s">
        <v>78</v>
      </c>
      <c r="E30" s="994" t="s">
        <v>47</v>
      </c>
      <c r="F30" s="1073"/>
      <c r="G30" s="1073"/>
      <c r="H30" s="1073"/>
      <c r="I30" s="1078" t="s">
        <v>48</v>
      </c>
      <c r="J30" s="1078"/>
      <c r="K30" s="1173"/>
      <c r="L30" s="994" t="s">
        <v>166</v>
      </c>
      <c r="M30" s="1073"/>
      <c r="N30" s="1079" t="s">
        <v>48</v>
      </c>
      <c r="O30" s="1080"/>
    </row>
    <row r="31" spans="1:15" s="113" customFormat="1" ht="12.75" customHeight="1" thickBot="1">
      <c r="A31" s="1012" t="s">
        <v>225</v>
      </c>
      <c r="B31" s="1081"/>
      <c r="C31" s="1081"/>
      <c r="D31" s="324" t="s">
        <v>3550</v>
      </c>
      <c r="E31" s="1012" t="s">
        <v>225</v>
      </c>
      <c r="F31" s="1081"/>
      <c r="G31" s="1081"/>
      <c r="H31" s="1081"/>
      <c r="I31" s="1082" t="s">
        <v>3550</v>
      </c>
      <c r="J31" s="1082"/>
      <c r="K31" s="1171"/>
      <c r="L31" s="1012" t="s">
        <v>225</v>
      </c>
      <c r="M31" s="1081"/>
      <c r="N31" s="995" t="s">
        <v>3550</v>
      </c>
      <c r="O31" s="1172"/>
    </row>
    <row r="32" spans="1:15" ht="14.25">
      <c r="B32" s="124"/>
      <c r="C32" s="124"/>
      <c r="D32" s="136"/>
      <c r="E32" s="136"/>
      <c r="F32" s="113"/>
      <c r="G32" s="113"/>
      <c r="H32" s="123"/>
      <c r="I32" s="113"/>
      <c r="J32" s="113"/>
      <c r="K32" s="122"/>
      <c r="L32" s="113"/>
    </row>
    <row r="33" spans="1:15" s="113" customFormat="1" ht="12.75" customHeight="1">
      <c r="D33" s="136"/>
      <c r="E33" s="136"/>
      <c r="F33" s="1168"/>
      <c r="G33" s="979"/>
      <c r="H33" s="979"/>
      <c r="I33" s="979"/>
      <c r="J33" s="979"/>
      <c r="K33" s="145"/>
      <c r="L33" s="145"/>
      <c r="M33" s="123"/>
    </row>
    <row r="34" spans="1:15" s="113" customFormat="1" ht="12.75" customHeight="1">
      <c r="D34" s="136"/>
      <c r="E34" s="136"/>
      <c r="F34" s="1168"/>
      <c r="G34" s="979"/>
      <c r="H34" s="979"/>
      <c r="I34" s="979"/>
      <c r="J34" s="979"/>
      <c r="K34" s="145"/>
      <c r="L34" s="145"/>
      <c r="M34" s="123"/>
    </row>
    <row r="35" spans="1:15" ht="15" thickBot="1">
      <c r="B35" s="124"/>
      <c r="C35" s="124"/>
      <c r="D35" s="113"/>
      <c r="E35" s="113"/>
      <c r="F35" s="249"/>
      <c r="G35" s="249"/>
      <c r="H35" s="123"/>
      <c r="I35" s="113"/>
      <c r="J35" s="113"/>
      <c r="K35" s="122"/>
      <c r="L35" s="113"/>
    </row>
    <row r="36" spans="1:15" ht="13.5" thickBot="1">
      <c r="B36" s="124"/>
      <c r="C36" s="124"/>
      <c r="D36" s="113"/>
      <c r="E36" s="113"/>
      <c r="F36" s="1007" t="s">
        <v>167</v>
      </c>
      <c r="G36" s="1008"/>
      <c r="H36" s="1009" t="s">
        <v>168</v>
      </c>
      <c r="I36" s="1010"/>
      <c r="J36" s="1089"/>
      <c r="K36" s="1002"/>
      <c r="L36" s="1002"/>
      <c r="M36" s="1002"/>
      <c r="N36" s="1002"/>
      <c r="O36" s="1003"/>
    </row>
    <row r="37" spans="1:15" ht="58.5" customHeight="1" thickBot="1">
      <c r="A37" s="82" t="s">
        <v>122</v>
      </c>
      <c r="B37" s="82" t="s">
        <v>169</v>
      </c>
      <c r="C37" s="513" t="s">
        <v>170</v>
      </c>
      <c r="D37" s="83" t="s">
        <v>171</v>
      </c>
      <c r="E37" s="83" t="s">
        <v>172</v>
      </c>
      <c r="F37" s="83" t="s">
        <v>173</v>
      </c>
      <c r="G37" s="82" t="s">
        <v>174</v>
      </c>
      <c r="H37" s="83" t="s">
        <v>175</v>
      </c>
      <c r="I37" s="82" t="s">
        <v>174</v>
      </c>
      <c r="J37" s="471" t="s">
        <v>176</v>
      </c>
      <c r="K37" s="82" t="s">
        <v>174</v>
      </c>
      <c r="L37" s="83" t="s">
        <v>177</v>
      </c>
      <c r="M37" s="82" t="s">
        <v>174</v>
      </c>
      <c r="N37" s="83" t="s">
        <v>178</v>
      </c>
      <c r="O37" s="82" t="s">
        <v>174</v>
      </c>
    </row>
    <row r="38" spans="1:15" s="114" customFormat="1" ht="13.5" thickBot="1">
      <c r="A38" s="984">
        <v>11</v>
      </c>
      <c r="B38" s="1158"/>
      <c r="C38" s="514" t="s">
        <v>726</v>
      </c>
      <c r="D38" s="515" t="s">
        <v>3823</v>
      </c>
      <c r="E38" s="516">
        <v>2205</v>
      </c>
      <c r="F38" s="472">
        <f>SUM(E38,E39,E40)*(1-70%)</f>
        <v>772.80000000000007</v>
      </c>
      <c r="G38" s="1169">
        <f>F38*B38</f>
        <v>0</v>
      </c>
      <c r="H38" s="473">
        <f>F38*0.0832</f>
        <v>64.296959999999999</v>
      </c>
      <c r="I38" s="1169">
        <f>H38*B38</f>
        <v>0</v>
      </c>
      <c r="J38" s="474">
        <f>F38*0.0313</f>
        <v>24.188640000000003</v>
      </c>
      <c r="K38" s="1170">
        <f>J38*B38</f>
        <v>0</v>
      </c>
      <c r="L38" s="89">
        <f>F38*0.0256</f>
        <v>19.783680000000004</v>
      </c>
      <c r="M38" s="1169">
        <f>L38*B38</f>
        <v>0</v>
      </c>
      <c r="N38" s="89">
        <f>F38*0.0213</f>
        <v>16.460640000000001</v>
      </c>
      <c r="O38" s="1169">
        <f>N38*B38</f>
        <v>0</v>
      </c>
    </row>
    <row r="39" spans="1:15" ht="15" thickBot="1">
      <c r="A39" s="1157"/>
      <c r="B39" s="1159"/>
      <c r="C39" s="517" t="s">
        <v>727</v>
      </c>
      <c r="D39" s="477" t="s">
        <v>725</v>
      </c>
      <c r="E39" s="277">
        <v>296</v>
      </c>
      <c r="F39" s="93" t="s">
        <v>162</v>
      </c>
      <c r="G39" s="1160"/>
      <c r="H39" s="93" t="s">
        <v>162</v>
      </c>
      <c r="I39" s="1160"/>
      <c r="J39" s="476" t="s">
        <v>162</v>
      </c>
      <c r="K39" s="1163"/>
      <c r="L39" s="218" t="s">
        <v>162</v>
      </c>
      <c r="M39" s="1159"/>
      <c r="N39" s="218" t="s">
        <v>162</v>
      </c>
      <c r="O39" s="1159"/>
    </row>
    <row r="40" spans="1:15" ht="13.5" thickBot="1">
      <c r="A40" s="985"/>
      <c r="B40" s="986"/>
      <c r="C40" s="478" t="s">
        <v>179</v>
      </c>
      <c r="D40" s="479" t="s">
        <v>180</v>
      </c>
      <c r="E40" s="475">
        <v>75</v>
      </c>
      <c r="F40" s="93" t="s">
        <v>162</v>
      </c>
      <c r="G40" s="1166"/>
      <c r="H40" s="93" t="s">
        <v>162</v>
      </c>
      <c r="I40" s="1166"/>
      <c r="J40" s="476" t="s">
        <v>162</v>
      </c>
      <c r="K40" s="1163"/>
      <c r="L40" s="218" t="s">
        <v>162</v>
      </c>
      <c r="M40" s="1159"/>
      <c r="N40" s="218" t="s">
        <v>162</v>
      </c>
      <c r="O40" s="1156"/>
    </row>
    <row r="41" spans="1:15" ht="13.5" thickBot="1">
      <c r="A41" s="480"/>
      <c r="B41" s="95"/>
      <c r="C41" s="96"/>
      <c r="D41" s="97"/>
      <c r="E41" s="481"/>
      <c r="F41" s="99"/>
      <c r="G41" s="482"/>
      <c r="H41" s="99"/>
      <c r="I41" s="482"/>
      <c r="J41" s="99"/>
      <c r="K41" s="483"/>
      <c r="L41" s="484"/>
      <c r="M41" s="485"/>
      <c r="N41" s="485"/>
      <c r="O41" s="486"/>
    </row>
    <row r="42" spans="1:15" s="114" customFormat="1" ht="13.5" thickBot="1">
      <c r="A42" s="984" t="s">
        <v>226</v>
      </c>
      <c r="B42" s="1158"/>
      <c r="C42" s="514" t="s">
        <v>726</v>
      </c>
      <c r="D42" s="515" t="s">
        <v>724</v>
      </c>
      <c r="E42" s="516">
        <v>8800</v>
      </c>
      <c r="F42" s="472">
        <f>SUM(E42,E43,E44)*(1-70%)</f>
        <v>2751.3</v>
      </c>
      <c r="G42" s="987">
        <f>F42*B42</f>
        <v>0</v>
      </c>
      <c r="H42" s="69">
        <f>F42*0.0832+I28/12</f>
        <v>266.40816000000001</v>
      </c>
      <c r="I42" s="987">
        <f>H42*B42</f>
        <v>0</v>
      </c>
      <c r="J42" s="70">
        <f>F42*0.0313+I28/12</f>
        <v>123.61569000000001</v>
      </c>
      <c r="K42" s="1162">
        <f>J42*B42</f>
        <v>0</v>
      </c>
      <c r="L42" s="20">
        <f>F42*0.0256+I28/12</f>
        <v>107.93328000000001</v>
      </c>
      <c r="M42" s="987">
        <f>L42*B42</f>
        <v>0</v>
      </c>
      <c r="N42" s="20">
        <f>F42*0.0213+I28/12</f>
        <v>96.102689999999996</v>
      </c>
      <c r="O42" s="987">
        <f>N42*B42</f>
        <v>0</v>
      </c>
    </row>
    <row r="43" spans="1:15" ht="15" thickBot="1">
      <c r="A43" s="1157"/>
      <c r="B43" s="1159"/>
      <c r="C43" s="517" t="s">
        <v>727</v>
      </c>
      <c r="D43" s="477" t="s">
        <v>725</v>
      </c>
      <c r="E43" s="277">
        <v>296</v>
      </c>
      <c r="F43" s="93" t="s">
        <v>162</v>
      </c>
      <c r="G43" s="1161"/>
      <c r="H43" s="47" t="s">
        <v>162</v>
      </c>
      <c r="I43" s="1161"/>
      <c r="J43" s="63" t="s">
        <v>162</v>
      </c>
      <c r="K43" s="1167"/>
      <c r="L43" s="36" t="s">
        <v>162</v>
      </c>
      <c r="M43" s="1090"/>
      <c r="N43" s="36" t="s">
        <v>162</v>
      </c>
      <c r="O43" s="1090"/>
    </row>
    <row r="44" spans="1:15" ht="13.5" thickBot="1">
      <c r="A44" s="985"/>
      <c r="B44" s="986"/>
      <c r="C44" s="478" t="s">
        <v>179</v>
      </c>
      <c r="D44" s="479" t="s">
        <v>180</v>
      </c>
      <c r="E44" s="475">
        <v>75</v>
      </c>
      <c r="F44" s="93" t="s">
        <v>162</v>
      </c>
      <c r="G44" s="1166"/>
      <c r="H44" s="93" t="s">
        <v>162</v>
      </c>
      <c r="I44" s="1166"/>
      <c r="J44" s="476" t="s">
        <v>162</v>
      </c>
      <c r="K44" s="1163"/>
      <c r="L44" s="218" t="s">
        <v>162</v>
      </c>
      <c r="M44" s="1159"/>
      <c r="N44" s="218" t="s">
        <v>162</v>
      </c>
      <c r="O44" s="1156"/>
    </row>
    <row r="45" spans="1:15" ht="13.5" thickBot="1">
      <c r="A45" s="480"/>
      <c r="B45" s="95"/>
      <c r="C45" s="96"/>
      <c r="D45" s="97"/>
      <c r="E45" s="481"/>
      <c r="F45" s="48"/>
      <c r="G45" s="64"/>
      <c r="H45" s="48"/>
      <c r="I45" s="64"/>
      <c r="J45" s="48"/>
      <c r="K45" s="65"/>
      <c r="L45" s="66"/>
      <c r="M45" s="67"/>
      <c r="N45" s="67"/>
      <c r="O45" s="68"/>
    </row>
    <row r="46" spans="1:15" s="114" customFormat="1" ht="13.5" thickBot="1">
      <c r="A46" s="984" t="s">
        <v>227</v>
      </c>
      <c r="B46" s="1158"/>
      <c r="C46" s="514" t="s">
        <v>726</v>
      </c>
      <c r="D46" s="515" t="s">
        <v>724</v>
      </c>
      <c r="E46" s="516">
        <v>8800</v>
      </c>
      <c r="F46" s="472">
        <f>SUM(E46,E47,E48)*(1-70%)</f>
        <v>2751.3</v>
      </c>
      <c r="G46" s="987">
        <f>F46*B46</f>
        <v>0</v>
      </c>
      <c r="H46" s="69">
        <f>F46*0.0832+N28/12</f>
        <v>285.15816000000001</v>
      </c>
      <c r="I46" s="987">
        <f>H46*B46</f>
        <v>0</v>
      </c>
      <c r="J46" s="70">
        <f>F46*0.0313+N28/12</f>
        <v>142.36569000000003</v>
      </c>
      <c r="K46" s="1162">
        <f>J46*B46</f>
        <v>0</v>
      </c>
      <c r="L46" s="20">
        <f>F46*0.0256+N28/12</f>
        <v>126.68328000000001</v>
      </c>
      <c r="M46" s="987">
        <f>L46*B46</f>
        <v>0</v>
      </c>
      <c r="N46" s="20">
        <f>F46*0.0213+N28/12</f>
        <v>114.85269</v>
      </c>
      <c r="O46" s="987">
        <f>N46*B46</f>
        <v>0</v>
      </c>
    </row>
    <row r="47" spans="1:15" ht="15" thickBot="1">
      <c r="A47" s="1157"/>
      <c r="B47" s="1159"/>
      <c r="C47" s="517" t="s">
        <v>727</v>
      </c>
      <c r="D47" s="477" t="s">
        <v>725</v>
      </c>
      <c r="E47" s="277">
        <v>296</v>
      </c>
      <c r="F47" s="93" t="s">
        <v>162</v>
      </c>
      <c r="G47" s="1160"/>
      <c r="H47" s="93" t="s">
        <v>162</v>
      </c>
      <c r="I47" s="1160"/>
      <c r="J47" s="476" t="s">
        <v>162</v>
      </c>
      <c r="K47" s="1163"/>
      <c r="L47" s="218" t="s">
        <v>162</v>
      </c>
      <c r="M47" s="1159"/>
      <c r="N47" s="218" t="s">
        <v>162</v>
      </c>
      <c r="O47" s="1159"/>
    </row>
    <row r="48" spans="1:15" ht="13.5" thickBot="1">
      <c r="A48" s="1157"/>
      <c r="B48" s="1159"/>
      <c r="C48" s="478" t="s">
        <v>179</v>
      </c>
      <c r="D48" s="479" t="s">
        <v>180</v>
      </c>
      <c r="E48" s="475">
        <v>75</v>
      </c>
      <c r="F48" s="47" t="s">
        <v>162</v>
      </c>
      <c r="G48" s="1161"/>
      <c r="H48" s="11" t="s">
        <v>162</v>
      </c>
      <c r="I48" s="1161"/>
      <c r="J48" s="71" t="s">
        <v>162</v>
      </c>
      <c r="K48" s="1164"/>
      <c r="L48" s="12" t="s">
        <v>162</v>
      </c>
      <c r="M48" s="1090"/>
      <c r="N48" s="12" t="s">
        <v>162</v>
      </c>
      <c r="O48" s="1165"/>
    </row>
    <row r="49" spans="1:15" ht="13.5" customHeight="1" thickBot="1">
      <c r="A49" s="1148" t="s">
        <v>182</v>
      </c>
      <c r="B49" s="1002"/>
      <c r="C49" s="1002"/>
      <c r="D49" s="1002"/>
      <c r="E49" s="1002"/>
      <c r="F49" s="1149"/>
      <c r="G49" s="1149"/>
      <c r="H49" s="1149"/>
      <c r="I49" s="1149"/>
      <c r="J49" s="1149"/>
      <c r="K49" s="1149"/>
      <c r="L49" s="1149"/>
      <c r="M49" s="1149"/>
      <c r="N49" s="1149"/>
      <c r="O49" s="1150"/>
    </row>
    <row r="50" spans="1:15" ht="13.5" thickBot="1">
      <c r="A50" s="1151"/>
      <c r="B50" s="363"/>
      <c r="C50" s="468" t="s">
        <v>429</v>
      </c>
      <c r="D50" s="176" t="s">
        <v>568</v>
      </c>
      <c r="E50" s="343">
        <v>399</v>
      </c>
      <c r="F50" s="23">
        <f t="shared" ref="F50:F74" si="0">E50*(1-40%)</f>
        <v>239.39999999999998</v>
      </c>
      <c r="G50" s="2">
        <f t="shared" ref="G50:G74" si="1">F50*B50</f>
        <v>0</v>
      </c>
      <c r="H50" s="43">
        <f t="shared" ref="H50:H74" si="2">F50*0.0832</f>
        <v>19.918079999999996</v>
      </c>
      <c r="I50" s="2">
        <f t="shared" ref="I50:I74" si="3">H50*B50</f>
        <v>0</v>
      </c>
      <c r="J50" s="72">
        <f t="shared" ref="J50:J74" si="4">F50*0.0313</f>
        <v>7.49322</v>
      </c>
      <c r="K50" s="2">
        <f t="shared" ref="K50:K74" si="5">J50*B50</f>
        <v>0</v>
      </c>
      <c r="L50" s="43">
        <f t="shared" ref="L50:L74" si="6">F50*0.0256</f>
        <v>6.1286399999999999</v>
      </c>
      <c r="M50" s="2">
        <f t="shared" ref="M50:M74" si="7">L50*B50</f>
        <v>0</v>
      </c>
      <c r="N50" s="72">
        <f t="shared" ref="N50:N74" si="8">F50*0.0213</f>
        <v>5.099219999999999</v>
      </c>
      <c r="O50" s="2">
        <f t="shared" ref="O50:O74" si="9">N50*B50</f>
        <v>0</v>
      </c>
    </row>
    <row r="51" spans="1:15" ht="13.5" thickBot="1">
      <c r="A51" s="1152"/>
      <c r="B51" s="363"/>
      <c r="C51" s="468" t="s">
        <v>592</v>
      </c>
      <c r="D51" s="489" t="s">
        <v>728</v>
      </c>
      <c r="E51" s="343">
        <v>100</v>
      </c>
      <c r="F51" s="23">
        <f t="shared" si="0"/>
        <v>60</v>
      </c>
      <c r="G51" s="3">
        <f t="shared" si="1"/>
        <v>0</v>
      </c>
      <c r="H51" s="43">
        <f t="shared" si="2"/>
        <v>4.992</v>
      </c>
      <c r="I51" s="2">
        <f t="shared" si="3"/>
        <v>0</v>
      </c>
      <c r="J51" s="72">
        <f t="shared" si="4"/>
        <v>1.8780000000000001</v>
      </c>
      <c r="K51" s="2">
        <f t="shared" si="5"/>
        <v>0</v>
      </c>
      <c r="L51" s="43">
        <f t="shared" si="6"/>
        <v>1.536</v>
      </c>
      <c r="M51" s="2">
        <f t="shared" si="7"/>
        <v>0</v>
      </c>
      <c r="N51" s="72">
        <f t="shared" si="8"/>
        <v>1.278</v>
      </c>
      <c r="O51" s="2">
        <f t="shared" si="9"/>
        <v>0</v>
      </c>
    </row>
    <row r="52" spans="1:15" ht="13.5" thickBot="1">
      <c r="A52" s="1152"/>
      <c r="B52" s="102"/>
      <c r="C52" s="468" t="s">
        <v>740</v>
      </c>
      <c r="D52" s="489" t="s">
        <v>729</v>
      </c>
      <c r="E52" s="343">
        <v>200</v>
      </c>
      <c r="F52" s="23">
        <f t="shared" si="0"/>
        <v>120</v>
      </c>
      <c r="G52" s="3">
        <f t="shared" si="1"/>
        <v>0</v>
      </c>
      <c r="H52" s="43">
        <f t="shared" si="2"/>
        <v>9.984</v>
      </c>
      <c r="I52" s="2">
        <f t="shared" si="3"/>
        <v>0</v>
      </c>
      <c r="J52" s="72">
        <f t="shared" si="4"/>
        <v>3.7560000000000002</v>
      </c>
      <c r="K52" s="2">
        <f t="shared" si="5"/>
        <v>0</v>
      </c>
      <c r="L52" s="43">
        <f t="shared" si="6"/>
        <v>3.0720000000000001</v>
      </c>
      <c r="M52" s="2">
        <f t="shared" si="7"/>
        <v>0</v>
      </c>
      <c r="N52" s="72">
        <f t="shared" si="8"/>
        <v>2.556</v>
      </c>
      <c r="O52" s="2">
        <f t="shared" si="9"/>
        <v>0</v>
      </c>
    </row>
    <row r="53" spans="1:15" ht="13.5" thickBot="1">
      <c r="A53" s="1152"/>
      <c r="B53" s="102"/>
      <c r="C53" s="468" t="s">
        <v>593</v>
      </c>
      <c r="D53" s="489" t="s">
        <v>730</v>
      </c>
      <c r="E53" s="343">
        <v>299</v>
      </c>
      <c r="F53" s="177">
        <f t="shared" si="0"/>
        <v>179.4</v>
      </c>
      <c r="G53" s="3">
        <f t="shared" si="1"/>
        <v>0</v>
      </c>
      <c r="H53" s="487">
        <f t="shared" si="2"/>
        <v>14.926079999999999</v>
      </c>
      <c r="I53" s="2">
        <f t="shared" si="3"/>
        <v>0</v>
      </c>
      <c r="J53" s="488">
        <f t="shared" si="4"/>
        <v>5.6152200000000008</v>
      </c>
      <c r="K53" s="2">
        <f t="shared" si="5"/>
        <v>0</v>
      </c>
      <c r="L53" s="487">
        <f t="shared" si="6"/>
        <v>4.5926400000000003</v>
      </c>
      <c r="M53" s="2">
        <f t="shared" si="7"/>
        <v>0</v>
      </c>
      <c r="N53" s="488">
        <f t="shared" si="8"/>
        <v>3.8212199999999998</v>
      </c>
      <c r="O53" s="2">
        <f t="shared" si="9"/>
        <v>0</v>
      </c>
    </row>
    <row r="54" spans="1:15" ht="13.5" thickBot="1">
      <c r="A54" s="1152"/>
      <c r="B54" s="363"/>
      <c r="C54" s="468">
        <v>7640013463</v>
      </c>
      <c r="D54" s="489" t="s">
        <v>199</v>
      </c>
      <c r="E54" s="343">
        <v>329</v>
      </c>
      <c r="F54" s="23">
        <f>E54*(1-40%)</f>
        <v>197.4</v>
      </c>
      <c r="G54" s="3">
        <f>F54*B54</f>
        <v>0</v>
      </c>
      <c r="H54" s="43">
        <f t="shared" si="2"/>
        <v>16.423680000000001</v>
      </c>
      <c r="I54" s="2">
        <f>H54*B54</f>
        <v>0</v>
      </c>
      <c r="J54" s="72">
        <f t="shared" si="4"/>
        <v>6.1786200000000004</v>
      </c>
      <c r="K54" s="2">
        <f>J54*B54</f>
        <v>0</v>
      </c>
      <c r="L54" s="43">
        <f t="shared" si="6"/>
        <v>5.0534400000000002</v>
      </c>
      <c r="M54" s="2">
        <f>L54*B54</f>
        <v>0</v>
      </c>
      <c r="N54" s="72">
        <f t="shared" si="8"/>
        <v>4.2046200000000002</v>
      </c>
      <c r="O54" s="2">
        <f>N54*B54</f>
        <v>0</v>
      </c>
    </row>
    <row r="55" spans="1:15" ht="13.5" thickBot="1">
      <c r="A55" s="1152"/>
      <c r="B55" s="102"/>
      <c r="C55" s="468" t="s">
        <v>741</v>
      </c>
      <c r="D55" s="489" t="s">
        <v>731</v>
      </c>
      <c r="E55" s="343">
        <v>200</v>
      </c>
      <c r="F55" s="23">
        <f>E55*(1-40%)</f>
        <v>120</v>
      </c>
      <c r="G55" s="3">
        <f>F55*B55</f>
        <v>0</v>
      </c>
      <c r="H55" s="43">
        <f t="shared" si="2"/>
        <v>9.984</v>
      </c>
      <c r="I55" s="2">
        <f>H55*B55</f>
        <v>0</v>
      </c>
      <c r="J55" s="72">
        <f t="shared" si="4"/>
        <v>3.7560000000000002</v>
      </c>
      <c r="K55" s="2">
        <f>J55*B55</f>
        <v>0</v>
      </c>
      <c r="L55" s="43">
        <f t="shared" si="6"/>
        <v>3.0720000000000001</v>
      </c>
      <c r="M55" s="2">
        <f>L55*B55</f>
        <v>0</v>
      </c>
      <c r="N55" s="72">
        <f t="shared" si="8"/>
        <v>2.556</v>
      </c>
      <c r="O55" s="2">
        <f>N55*B55</f>
        <v>0</v>
      </c>
    </row>
    <row r="56" spans="1:15" ht="13.5" thickBot="1">
      <c r="A56" s="1152"/>
      <c r="B56" s="102"/>
      <c r="C56" s="468" t="s">
        <v>742</v>
      </c>
      <c r="D56" s="489" t="s">
        <v>732</v>
      </c>
      <c r="E56" s="343">
        <v>279</v>
      </c>
      <c r="F56" s="177">
        <f>E56*(1-40%)</f>
        <v>167.4</v>
      </c>
      <c r="G56" s="3">
        <f>F56*B56</f>
        <v>0</v>
      </c>
      <c r="H56" s="487">
        <f t="shared" si="2"/>
        <v>13.927680000000001</v>
      </c>
      <c r="I56" s="2">
        <f>H56*B56</f>
        <v>0</v>
      </c>
      <c r="J56" s="488">
        <f t="shared" si="4"/>
        <v>5.2396200000000004</v>
      </c>
      <c r="K56" s="2">
        <f>J56*B56</f>
        <v>0</v>
      </c>
      <c r="L56" s="487">
        <f t="shared" si="6"/>
        <v>4.2854400000000004</v>
      </c>
      <c r="M56" s="2">
        <f>L56*B56</f>
        <v>0</v>
      </c>
      <c r="N56" s="488">
        <f t="shared" si="8"/>
        <v>3.56562</v>
      </c>
      <c r="O56" s="2">
        <f>N56*B56</f>
        <v>0</v>
      </c>
    </row>
    <row r="57" spans="1:15" ht="13.5" thickBot="1">
      <c r="A57" s="1152"/>
      <c r="B57" s="369"/>
      <c r="C57" s="468" t="s">
        <v>474</v>
      </c>
      <c r="D57" s="489" t="s">
        <v>229</v>
      </c>
      <c r="E57" s="343">
        <v>222.6</v>
      </c>
      <c r="F57" s="177">
        <f t="shared" si="0"/>
        <v>133.56</v>
      </c>
      <c r="G57" s="169">
        <f t="shared" si="1"/>
        <v>0</v>
      </c>
      <c r="H57" s="487">
        <f t="shared" si="2"/>
        <v>11.112192</v>
      </c>
      <c r="I57" s="490">
        <f t="shared" si="3"/>
        <v>0</v>
      </c>
      <c r="J57" s="488">
        <f t="shared" si="4"/>
        <v>4.180428</v>
      </c>
      <c r="K57" s="490">
        <f t="shared" si="5"/>
        <v>0</v>
      </c>
      <c r="L57" s="487">
        <f t="shared" si="6"/>
        <v>3.4191360000000004</v>
      </c>
      <c r="M57" s="490">
        <f t="shared" si="7"/>
        <v>0</v>
      </c>
      <c r="N57" s="488">
        <f t="shared" si="8"/>
        <v>2.8448280000000001</v>
      </c>
      <c r="O57" s="490">
        <f t="shared" si="9"/>
        <v>0</v>
      </c>
    </row>
    <row r="58" spans="1:15" ht="13.5" thickBot="1">
      <c r="A58" s="1152"/>
      <c r="B58" s="363"/>
      <c r="C58" s="468" t="s">
        <v>559</v>
      </c>
      <c r="D58" s="235" t="s">
        <v>558</v>
      </c>
      <c r="E58" s="343">
        <v>239</v>
      </c>
      <c r="F58" s="177">
        <f t="shared" si="0"/>
        <v>143.4</v>
      </c>
      <c r="G58" s="169">
        <f t="shared" si="1"/>
        <v>0</v>
      </c>
      <c r="H58" s="487">
        <f t="shared" si="2"/>
        <v>11.93088</v>
      </c>
      <c r="I58" s="490">
        <f t="shared" si="3"/>
        <v>0</v>
      </c>
      <c r="J58" s="488">
        <f t="shared" si="4"/>
        <v>4.4884200000000005</v>
      </c>
      <c r="K58" s="490">
        <f t="shared" si="5"/>
        <v>0</v>
      </c>
      <c r="L58" s="487">
        <f t="shared" si="6"/>
        <v>3.6710400000000005</v>
      </c>
      <c r="M58" s="490">
        <f t="shared" si="7"/>
        <v>0</v>
      </c>
      <c r="N58" s="488">
        <f t="shared" si="8"/>
        <v>3.0544199999999999</v>
      </c>
      <c r="O58" s="490">
        <f t="shared" si="9"/>
        <v>0</v>
      </c>
    </row>
    <row r="59" spans="1:15" ht="13.5" thickBot="1">
      <c r="A59" s="1152"/>
      <c r="B59" s="369"/>
      <c r="C59" s="468" t="s">
        <v>743</v>
      </c>
      <c r="D59" s="235" t="s">
        <v>733</v>
      </c>
      <c r="E59" s="343">
        <v>299</v>
      </c>
      <c r="F59" s="177">
        <f t="shared" si="0"/>
        <v>179.4</v>
      </c>
      <c r="G59" s="169">
        <f t="shared" si="1"/>
        <v>0</v>
      </c>
      <c r="H59" s="487">
        <f t="shared" si="2"/>
        <v>14.926079999999999</v>
      </c>
      <c r="I59" s="490">
        <f t="shared" si="3"/>
        <v>0</v>
      </c>
      <c r="J59" s="488">
        <f t="shared" si="4"/>
        <v>5.6152200000000008</v>
      </c>
      <c r="K59" s="490">
        <f t="shared" si="5"/>
        <v>0</v>
      </c>
      <c r="L59" s="487">
        <f t="shared" si="6"/>
        <v>4.5926400000000003</v>
      </c>
      <c r="M59" s="490">
        <f t="shared" si="7"/>
        <v>0</v>
      </c>
      <c r="N59" s="488">
        <f t="shared" si="8"/>
        <v>3.8212199999999998</v>
      </c>
      <c r="O59" s="490">
        <f t="shared" si="9"/>
        <v>0</v>
      </c>
    </row>
    <row r="60" spans="1:15" ht="13.5" thickBot="1">
      <c r="A60" s="1152"/>
      <c r="B60" s="363"/>
      <c r="C60" s="468" t="s">
        <v>744</v>
      </c>
      <c r="D60" s="235" t="s">
        <v>734</v>
      </c>
      <c r="E60" s="343">
        <v>123</v>
      </c>
      <c r="F60" s="177">
        <f t="shared" si="0"/>
        <v>73.8</v>
      </c>
      <c r="G60" s="169">
        <f t="shared" si="1"/>
        <v>0</v>
      </c>
      <c r="H60" s="487">
        <f t="shared" si="2"/>
        <v>6.1401599999999998</v>
      </c>
      <c r="I60" s="490">
        <f t="shared" si="3"/>
        <v>0</v>
      </c>
      <c r="J60" s="488">
        <f t="shared" si="4"/>
        <v>2.3099400000000001</v>
      </c>
      <c r="K60" s="490">
        <f t="shared" si="5"/>
        <v>0</v>
      </c>
      <c r="L60" s="487">
        <f t="shared" si="6"/>
        <v>1.8892800000000001</v>
      </c>
      <c r="M60" s="490">
        <f t="shared" si="7"/>
        <v>0</v>
      </c>
      <c r="N60" s="488">
        <f t="shared" si="8"/>
        <v>1.5719399999999999</v>
      </c>
      <c r="O60" s="490">
        <f t="shared" si="9"/>
        <v>0</v>
      </c>
    </row>
    <row r="61" spans="1:15" ht="13.5" thickBot="1">
      <c r="A61" s="1152"/>
      <c r="B61" s="102"/>
      <c r="C61" s="468" t="s">
        <v>693</v>
      </c>
      <c r="D61" s="489" t="s">
        <v>674</v>
      </c>
      <c r="E61" s="343">
        <v>126</v>
      </c>
      <c r="F61" s="23">
        <f t="shared" si="0"/>
        <v>75.599999999999994</v>
      </c>
      <c r="G61" s="3">
        <f t="shared" si="1"/>
        <v>0</v>
      </c>
      <c r="H61" s="43">
        <f t="shared" si="2"/>
        <v>6.2899199999999995</v>
      </c>
      <c r="I61" s="2">
        <f t="shared" si="3"/>
        <v>0</v>
      </c>
      <c r="J61" s="72">
        <f t="shared" si="4"/>
        <v>2.3662799999999997</v>
      </c>
      <c r="K61" s="2">
        <f t="shared" si="5"/>
        <v>0</v>
      </c>
      <c r="L61" s="43">
        <f t="shared" si="6"/>
        <v>1.93536</v>
      </c>
      <c r="M61" s="2">
        <f t="shared" si="7"/>
        <v>0</v>
      </c>
      <c r="N61" s="72">
        <f t="shared" si="8"/>
        <v>1.6102799999999999</v>
      </c>
      <c r="O61" s="2">
        <f t="shared" si="9"/>
        <v>0</v>
      </c>
    </row>
    <row r="62" spans="1:15" ht="26.25" thickBot="1">
      <c r="A62" s="1152"/>
      <c r="B62" s="102"/>
      <c r="C62" s="468" t="s">
        <v>438</v>
      </c>
      <c r="D62" s="489" t="s">
        <v>675</v>
      </c>
      <c r="E62" s="343">
        <v>1100</v>
      </c>
      <c r="F62" s="177">
        <f t="shared" si="0"/>
        <v>660</v>
      </c>
      <c r="G62" s="3">
        <f t="shared" si="1"/>
        <v>0</v>
      </c>
      <c r="H62" s="487">
        <f t="shared" si="2"/>
        <v>54.911999999999999</v>
      </c>
      <c r="I62" s="2">
        <f t="shared" si="3"/>
        <v>0</v>
      </c>
      <c r="J62" s="488">
        <f t="shared" si="4"/>
        <v>20.658000000000001</v>
      </c>
      <c r="K62" s="2">
        <f t="shared" si="5"/>
        <v>0</v>
      </c>
      <c r="L62" s="487">
        <f t="shared" si="6"/>
        <v>16.896000000000001</v>
      </c>
      <c r="M62" s="2">
        <f t="shared" si="7"/>
        <v>0</v>
      </c>
      <c r="N62" s="488">
        <f t="shared" si="8"/>
        <v>14.058</v>
      </c>
      <c r="O62" s="2">
        <f t="shared" si="9"/>
        <v>0</v>
      </c>
    </row>
    <row r="63" spans="1:15" ht="13.5" thickBot="1">
      <c r="A63" s="1152"/>
      <c r="B63" s="369"/>
      <c r="C63" s="468" t="s">
        <v>439</v>
      </c>
      <c r="D63" s="489" t="s">
        <v>595</v>
      </c>
      <c r="E63" s="343">
        <v>785</v>
      </c>
      <c r="F63" s="177">
        <f t="shared" si="0"/>
        <v>471</v>
      </c>
      <c r="G63" s="169">
        <f t="shared" si="1"/>
        <v>0</v>
      </c>
      <c r="H63" s="487">
        <f t="shared" si="2"/>
        <v>39.187199999999997</v>
      </c>
      <c r="I63" s="490">
        <f t="shared" si="3"/>
        <v>0</v>
      </c>
      <c r="J63" s="488">
        <f t="shared" si="4"/>
        <v>14.7423</v>
      </c>
      <c r="K63" s="490">
        <f t="shared" si="5"/>
        <v>0</v>
      </c>
      <c r="L63" s="487">
        <f t="shared" si="6"/>
        <v>12.057600000000001</v>
      </c>
      <c r="M63" s="490">
        <f t="shared" si="7"/>
        <v>0</v>
      </c>
      <c r="N63" s="488">
        <f t="shared" si="8"/>
        <v>10.032299999999999</v>
      </c>
      <c r="O63" s="490">
        <f t="shared" si="9"/>
        <v>0</v>
      </c>
    </row>
    <row r="64" spans="1:15" ht="13.5" thickBot="1">
      <c r="A64" s="1152"/>
      <c r="B64" s="363"/>
      <c r="C64" s="468" t="s">
        <v>440</v>
      </c>
      <c r="D64" s="235" t="s">
        <v>676</v>
      </c>
      <c r="E64" s="343">
        <v>667.8</v>
      </c>
      <c r="F64" s="177">
        <f t="shared" si="0"/>
        <v>400.67999999999995</v>
      </c>
      <c r="G64" s="169">
        <f t="shared" si="1"/>
        <v>0</v>
      </c>
      <c r="H64" s="487">
        <f t="shared" si="2"/>
        <v>33.336575999999994</v>
      </c>
      <c r="I64" s="490">
        <f t="shared" si="3"/>
        <v>0</v>
      </c>
      <c r="J64" s="488">
        <f t="shared" si="4"/>
        <v>12.541283999999999</v>
      </c>
      <c r="K64" s="490">
        <f t="shared" si="5"/>
        <v>0</v>
      </c>
      <c r="L64" s="487">
        <f t="shared" si="6"/>
        <v>10.257408</v>
      </c>
      <c r="M64" s="490">
        <f t="shared" si="7"/>
        <v>0</v>
      </c>
      <c r="N64" s="488">
        <f t="shared" si="8"/>
        <v>8.5344839999999991</v>
      </c>
      <c r="O64" s="490">
        <f t="shared" si="9"/>
        <v>0</v>
      </c>
    </row>
    <row r="65" spans="1:15" ht="13.5" thickBot="1">
      <c r="A65" s="1152"/>
      <c r="B65" s="369"/>
      <c r="C65" s="468" t="s">
        <v>441</v>
      </c>
      <c r="D65" s="235" t="s">
        <v>677</v>
      </c>
      <c r="E65" s="343">
        <v>821</v>
      </c>
      <c r="F65" s="177">
        <f t="shared" si="0"/>
        <v>492.59999999999997</v>
      </c>
      <c r="G65" s="169">
        <f t="shared" si="1"/>
        <v>0</v>
      </c>
      <c r="H65" s="487">
        <f t="shared" si="2"/>
        <v>40.984319999999997</v>
      </c>
      <c r="I65" s="490">
        <f t="shared" si="3"/>
        <v>0</v>
      </c>
      <c r="J65" s="488">
        <f t="shared" si="4"/>
        <v>15.418379999999999</v>
      </c>
      <c r="K65" s="490">
        <f t="shared" si="5"/>
        <v>0</v>
      </c>
      <c r="L65" s="487">
        <f t="shared" si="6"/>
        <v>12.61056</v>
      </c>
      <c r="M65" s="490">
        <f t="shared" si="7"/>
        <v>0</v>
      </c>
      <c r="N65" s="488">
        <f t="shared" si="8"/>
        <v>10.492379999999999</v>
      </c>
      <c r="O65" s="490">
        <f t="shared" si="9"/>
        <v>0</v>
      </c>
    </row>
    <row r="66" spans="1:15" ht="13.5" thickBot="1">
      <c r="A66" s="1152"/>
      <c r="B66" s="363"/>
      <c r="C66" s="468" t="s">
        <v>442</v>
      </c>
      <c r="D66" s="235" t="s">
        <v>678</v>
      </c>
      <c r="E66" s="343">
        <v>690</v>
      </c>
      <c r="F66" s="177">
        <f t="shared" si="0"/>
        <v>414</v>
      </c>
      <c r="G66" s="169">
        <f t="shared" si="1"/>
        <v>0</v>
      </c>
      <c r="H66" s="487">
        <f t="shared" si="2"/>
        <v>34.444800000000001</v>
      </c>
      <c r="I66" s="490">
        <f t="shared" si="3"/>
        <v>0</v>
      </c>
      <c r="J66" s="488">
        <f t="shared" si="4"/>
        <v>12.9582</v>
      </c>
      <c r="K66" s="490">
        <f t="shared" si="5"/>
        <v>0</v>
      </c>
      <c r="L66" s="487">
        <f t="shared" si="6"/>
        <v>10.5984</v>
      </c>
      <c r="M66" s="490">
        <f t="shared" si="7"/>
        <v>0</v>
      </c>
      <c r="N66" s="488">
        <f t="shared" si="8"/>
        <v>8.8181999999999992</v>
      </c>
      <c r="O66" s="490">
        <f t="shared" si="9"/>
        <v>0</v>
      </c>
    </row>
    <row r="67" spans="1:15" ht="13.5" thickBot="1">
      <c r="A67" s="1152"/>
      <c r="B67" s="363"/>
      <c r="C67" s="468" t="s">
        <v>443</v>
      </c>
      <c r="D67" s="489" t="s">
        <v>679</v>
      </c>
      <c r="E67" s="343">
        <v>191</v>
      </c>
      <c r="F67" s="177">
        <f t="shared" si="0"/>
        <v>114.6</v>
      </c>
      <c r="G67" s="169">
        <f t="shared" si="1"/>
        <v>0</v>
      </c>
      <c r="H67" s="487">
        <f t="shared" si="2"/>
        <v>9.5347199999999983</v>
      </c>
      <c r="I67" s="490">
        <f t="shared" si="3"/>
        <v>0</v>
      </c>
      <c r="J67" s="488">
        <f t="shared" si="4"/>
        <v>3.5869800000000001</v>
      </c>
      <c r="K67" s="490">
        <f t="shared" si="5"/>
        <v>0</v>
      </c>
      <c r="L67" s="487">
        <f t="shared" si="6"/>
        <v>2.9337599999999999</v>
      </c>
      <c r="M67" s="490">
        <f t="shared" si="7"/>
        <v>0</v>
      </c>
      <c r="N67" s="488">
        <f t="shared" si="8"/>
        <v>2.4409799999999997</v>
      </c>
      <c r="O67" s="490">
        <f t="shared" si="9"/>
        <v>0</v>
      </c>
    </row>
    <row r="68" spans="1:15" ht="13.5" thickBot="1">
      <c r="A68" s="1152"/>
      <c r="B68" s="363"/>
      <c r="C68" s="468" t="s">
        <v>444</v>
      </c>
      <c r="D68" s="489" t="s">
        <v>680</v>
      </c>
      <c r="E68" s="343">
        <v>1500</v>
      </c>
      <c r="F68" s="177">
        <f t="shared" si="0"/>
        <v>900</v>
      </c>
      <c r="G68" s="169">
        <f t="shared" si="1"/>
        <v>0</v>
      </c>
      <c r="H68" s="487">
        <f t="shared" si="2"/>
        <v>74.88</v>
      </c>
      <c r="I68" s="490">
        <f t="shared" si="3"/>
        <v>0</v>
      </c>
      <c r="J68" s="488">
        <f t="shared" si="4"/>
        <v>28.17</v>
      </c>
      <c r="K68" s="490">
        <f t="shared" si="5"/>
        <v>0</v>
      </c>
      <c r="L68" s="487">
        <f t="shared" si="6"/>
        <v>23.040000000000003</v>
      </c>
      <c r="M68" s="490">
        <f t="shared" si="7"/>
        <v>0</v>
      </c>
      <c r="N68" s="488">
        <f t="shared" si="8"/>
        <v>19.169999999999998</v>
      </c>
      <c r="O68" s="490">
        <f t="shared" si="9"/>
        <v>0</v>
      </c>
    </row>
    <row r="69" spans="1:15" ht="13.5" thickBot="1">
      <c r="A69" s="1152"/>
      <c r="B69" s="366"/>
      <c r="C69" s="468" t="s">
        <v>445</v>
      </c>
      <c r="D69" s="235" t="s">
        <v>681</v>
      </c>
      <c r="E69" s="343">
        <v>250</v>
      </c>
      <c r="F69" s="177">
        <f t="shared" si="0"/>
        <v>150</v>
      </c>
      <c r="G69" s="169">
        <f t="shared" si="1"/>
        <v>0</v>
      </c>
      <c r="H69" s="487">
        <f t="shared" si="2"/>
        <v>12.479999999999999</v>
      </c>
      <c r="I69" s="490">
        <f t="shared" si="3"/>
        <v>0</v>
      </c>
      <c r="J69" s="488">
        <f t="shared" si="4"/>
        <v>4.6950000000000003</v>
      </c>
      <c r="K69" s="490">
        <f t="shared" si="5"/>
        <v>0</v>
      </c>
      <c r="L69" s="487">
        <f t="shared" si="6"/>
        <v>3.8400000000000003</v>
      </c>
      <c r="M69" s="490">
        <f t="shared" si="7"/>
        <v>0</v>
      </c>
      <c r="N69" s="488">
        <f t="shared" si="8"/>
        <v>3.1949999999999998</v>
      </c>
      <c r="O69" s="490">
        <f t="shared" si="9"/>
        <v>0</v>
      </c>
    </row>
    <row r="70" spans="1:15" ht="13.5" thickBot="1">
      <c r="A70" s="1152"/>
      <c r="B70" s="102"/>
      <c r="C70" s="468" t="s">
        <v>745</v>
      </c>
      <c r="D70" s="235" t="s">
        <v>735</v>
      </c>
      <c r="E70" s="343">
        <v>86</v>
      </c>
      <c r="F70" s="177">
        <f t="shared" si="0"/>
        <v>51.6</v>
      </c>
      <c r="G70" s="169">
        <f t="shared" si="1"/>
        <v>0</v>
      </c>
      <c r="H70" s="487">
        <f t="shared" si="2"/>
        <v>4.29312</v>
      </c>
      <c r="I70" s="490">
        <f t="shared" si="3"/>
        <v>0</v>
      </c>
      <c r="J70" s="488">
        <f t="shared" si="4"/>
        <v>1.6150800000000001</v>
      </c>
      <c r="K70" s="490">
        <f t="shared" si="5"/>
        <v>0</v>
      </c>
      <c r="L70" s="487">
        <f t="shared" si="6"/>
        <v>1.3209600000000001</v>
      </c>
      <c r="M70" s="490">
        <f t="shared" si="7"/>
        <v>0</v>
      </c>
      <c r="N70" s="488">
        <f t="shared" si="8"/>
        <v>1.0990800000000001</v>
      </c>
      <c r="O70" s="490">
        <f t="shared" si="9"/>
        <v>0</v>
      </c>
    </row>
    <row r="71" spans="1:15" ht="13.5" thickBot="1">
      <c r="A71" s="1152"/>
      <c r="B71" s="363"/>
      <c r="C71" s="468" t="s">
        <v>746</v>
      </c>
      <c r="D71" s="489" t="s">
        <v>736</v>
      </c>
      <c r="E71" s="343">
        <v>340</v>
      </c>
      <c r="F71" s="177">
        <f t="shared" si="0"/>
        <v>204</v>
      </c>
      <c r="G71" s="169">
        <f t="shared" si="1"/>
        <v>0</v>
      </c>
      <c r="H71" s="487">
        <f t="shared" si="2"/>
        <v>16.972799999999999</v>
      </c>
      <c r="I71" s="490">
        <f t="shared" si="3"/>
        <v>0</v>
      </c>
      <c r="J71" s="488">
        <f t="shared" si="4"/>
        <v>6.3852000000000002</v>
      </c>
      <c r="K71" s="490">
        <f t="shared" si="5"/>
        <v>0</v>
      </c>
      <c r="L71" s="487">
        <f t="shared" si="6"/>
        <v>5.2224000000000004</v>
      </c>
      <c r="M71" s="490">
        <f t="shared" si="7"/>
        <v>0</v>
      </c>
      <c r="N71" s="488">
        <f t="shared" si="8"/>
        <v>4.3452000000000002</v>
      </c>
      <c r="O71" s="490">
        <f t="shared" si="9"/>
        <v>0</v>
      </c>
    </row>
    <row r="72" spans="1:15" ht="13.5" thickBot="1">
      <c r="A72" s="1152"/>
      <c r="B72" s="102"/>
      <c r="C72" s="468" t="s">
        <v>747</v>
      </c>
      <c r="D72" s="489" t="s">
        <v>737</v>
      </c>
      <c r="E72" s="343">
        <v>340</v>
      </c>
      <c r="F72" s="177">
        <f t="shared" si="0"/>
        <v>204</v>
      </c>
      <c r="G72" s="169">
        <f t="shared" si="1"/>
        <v>0</v>
      </c>
      <c r="H72" s="487">
        <f t="shared" si="2"/>
        <v>16.972799999999999</v>
      </c>
      <c r="I72" s="490">
        <f t="shared" si="3"/>
        <v>0</v>
      </c>
      <c r="J72" s="488">
        <f t="shared" si="4"/>
        <v>6.3852000000000002</v>
      </c>
      <c r="K72" s="490">
        <f t="shared" si="5"/>
        <v>0</v>
      </c>
      <c r="L72" s="487">
        <f t="shared" si="6"/>
        <v>5.2224000000000004</v>
      </c>
      <c r="M72" s="490">
        <f t="shared" si="7"/>
        <v>0</v>
      </c>
      <c r="N72" s="488">
        <f t="shared" si="8"/>
        <v>4.3452000000000002</v>
      </c>
      <c r="O72" s="490">
        <f t="shared" si="9"/>
        <v>0</v>
      </c>
    </row>
    <row r="73" spans="1:15" ht="13.5" thickBot="1">
      <c r="A73" s="1152"/>
      <c r="B73" s="363"/>
      <c r="C73" s="468" t="s">
        <v>748</v>
      </c>
      <c r="D73" s="489" t="s">
        <v>738</v>
      </c>
      <c r="E73" s="343">
        <v>120</v>
      </c>
      <c r="F73" s="177">
        <f t="shared" si="0"/>
        <v>72</v>
      </c>
      <c r="G73" s="169">
        <f t="shared" si="1"/>
        <v>0</v>
      </c>
      <c r="H73" s="487">
        <f t="shared" si="2"/>
        <v>5.9903999999999993</v>
      </c>
      <c r="I73" s="490">
        <f t="shared" si="3"/>
        <v>0</v>
      </c>
      <c r="J73" s="488">
        <f t="shared" si="4"/>
        <v>2.2536</v>
      </c>
      <c r="K73" s="490">
        <f t="shared" si="5"/>
        <v>0</v>
      </c>
      <c r="L73" s="487">
        <f t="shared" si="6"/>
        <v>1.8432000000000002</v>
      </c>
      <c r="M73" s="490">
        <f t="shared" si="7"/>
        <v>0</v>
      </c>
      <c r="N73" s="488">
        <f t="shared" si="8"/>
        <v>1.5335999999999999</v>
      </c>
      <c r="O73" s="490">
        <f t="shared" si="9"/>
        <v>0</v>
      </c>
    </row>
    <row r="74" spans="1:15" ht="13.5" thickBot="1">
      <c r="A74" s="1153"/>
      <c r="B74" s="363"/>
      <c r="C74" s="468" t="s">
        <v>749</v>
      </c>
      <c r="D74" s="489" t="s">
        <v>739</v>
      </c>
      <c r="E74" s="343">
        <v>120</v>
      </c>
      <c r="F74" s="177">
        <f t="shared" si="0"/>
        <v>72</v>
      </c>
      <c r="G74" s="169">
        <f t="shared" si="1"/>
        <v>0</v>
      </c>
      <c r="H74" s="487">
        <f t="shared" si="2"/>
        <v>5.9903999999999993</v>
      </c>
      <c r="I74" s="490">
        <f t="shared" si="3"/>
        <v>0</v>
      </c>
      <c r="J74" s="488">
        <f t="shared" si="4"/>
        <v>2.2536</v>
      </c>
      <c r="K74" s="490">
        <f t="shared" si="5"/>
        <v>0</v>
      </c>
      <c r="L74" s="487">
        <f t="shared" si="6"/>
        <v>1.8432000000000002</v>
      </c>
      <c r="M74" s="490">
        <f t="shared" si="7"/>
        <v>0</v>
      </c>
      <c r="N74" s="488">
        <f t="shared" si="8"/>
        <v>1.5335999999999999</v>
      </c>
      <c r="O74" s="490">
        <f t="shared" si="9"/>
        <v>0</v>
      </c>
    </row>
    <row r="75" spans="1:15">
      <c r="C75" s="493"/>
      <c r="D75" s="1154" t="s">
        <v>183</v>
      </c>
      <c r="E75" s="1155"/>
      <c r="F75" s="1155"/>
      <c r="G75" s="494">
        <f t="array" ref="G75">SUM(G50:G74)+G38:G50:G74+G42:G50:G74+G46</f>
        <v>0</v>
      </c>
      <c r="H75" s="155" t="s">
        <v>184</v>
      </c>
      <c r="I75" s="494">
        <f t="array" ref="I75">SUM(I50:I74)+I38:I50:I74+I42:I50:I74+I46</f>
        <v>0</v>
      </c>
      <c r="J75" s="155" t="s">
        <v>185</v>
      </c>
      <c r="K75" s="494">
        <f t="array" ref="K75">SUM(K50:K74)+K38:K50:K74+K42:K50:K74+K46</f>
        <v>0</v>
      </c>
      <c r="L75" s="155" t="s">
        <v>186</v>
      </c>
      <c r="M75" s="494">
        <f t="array" ref="M75">SUM(M50:M74)+M38:M50:M74+M42:M50:M74+M46</f>
        <v>0</v>
      </c>
      <c r="N75" s="155" t="s">
        <v>187</v>
      </c>
      <c r="O75" s="494">
        <f t="array" ref="O75">SUM(O50:O74)+O38:O50:O74+O42:O50:O74+O46</f>
        <v>0</v>
      </c>
    </row>
  </sheetData>
  <mergeCells count="60">
    <mergeCell ref="A4:O4"/>
    <mergeCell ref="A5:O5"/>
    <mergeCell ref="F10:I10"/>
    <mergeCell ref="A25:O25"/>
    <mergeCell ref="A26:D26"/>
    <mergeCell ref="E26:K26"/>
    <mergeCell ref="L26:O26"/>
    <mergeCell ref="A27:C27"/>
    <mergeCell ref="E27:H27"/>
    <mergeCell ref="I27:K27"/>
    <mergeCell ref="L27:M27"/>
    <mergeCell ref="N27:O27"/>
    <mergeCell ref="A28:C28"/>
    <mergeCell ref="E28:H28"/>
    <mergeCell ref="I28:K28"/>
    <mergeCell ref="L28:M28"/>
    <mergeCell ref="N28:O28"/>
    <mergeCell ref="A29:C29"/>
    <mergeCell ref="E29:H29"/>
    <mergeCell ref="I29:K29"/>
    <mergeCell ref="L29:M29"/>
    <mergeCell ref="N29:O29"/>
    <mergeCell ref="A30:C30"/>
    <mergeCell ref="E30:H30"/>
    <mergeCell ref="I30:K30"/>
    <mergeCell ref="L30:M30"/>
    <mergeCell ref="N30:O30"/>
    <mergeCell ref="A31:C31"/>
    <mergeCell ref="E31:H31"/>
    <mergeCell ref="I31:K31"/>
    <mergeCell ref="L31:M31"/>
    <mergeCell ref="N31:O31"/>
    <mergeCell ref="A38:A40"/>
    <mergeCell ref="B38:B40"/>
    <mergeCell ref="G38:G40"/>
    <mergeCell ref="I38:I40"/>
    <mergeCell ref="K38:K40"/>
    <mergeCell ref="M42:M44"/>
    <mergeCell ref="F33:J33"/>
    <mergeCell ref="F34:J34"/>
    <mergeCell ref="F36:G36"/>
    <mergeCell ref="H36:O36"/>
    <mergeCell ref="M38:M40"/>
    <mergeCell ref="O38:O40"/>
    <mergeCell ref="A49:O49"/>
    <mergeCell ref="A50:A74"/>
    <mergeCell ref="D75:F75"/>
    <mergeCell ref="O42:O44"/>
    <mergeCell ref="A46:A48"/>
    <mergeCell ref="B46:B48"/>
    <mergeCell ref="G46:G48"/>
    <mergeCell ref="I46:I48"/>
    <mergeCell ref="K46:K48"/>
    <mergeCell ref="M46:M48"/>
    <mergeCell ref="O46:O48"/>
    <mergeCell ref="A42:A44"/>
    <mergeCell ref="B42:B44"/>
    <mergeCell ref="G42:G44"/>
    <mergeCell ref="I42:I44"/>
    <mergeCell ref="K42:K44"/>
  </mergeCells>
  <pageMargins left="0.2" right="0.19" top="0.39" bottom="0.31" header="0.25" footer="0.22"/>
  <pageSetup scale="42" firstPageNumber="6" orientation="landscape" useFirstPageNumber="1" r:id="rId1"/>
  <headerFooter alignWithMargins="0">
    <oddHeader>&amp;L&amp;"Arial,Bold"VITA CONTRACT #: VA-191121-VBS</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62</vt:i4>
      </vt:variant>
    </vt:vector>
  </HeadingPairs>
  <TitlesOfParts>
    <vt:vector size="145" baseType="lpstr">
      <vt:lpstr>Konica 4020i Segment #7</vt:lpstr>
      <vt:lpstr>Konica 5020i Segment #7</vt:lpstr>
      <vt:lpstr>Konica 4051i-Segment #8</vt:lpstr>
      <vt:lpstr>Konica 4751i-Segment #9</vt:lpstr>
      <vt:lpstr>Konica 227-Segment #10</vt:lpstr>
      <vt:lpstr>Konica 301i-Segment #10 </vt:lpstr>
      <vt:lpstr>Konica C251i-Segment #11</vt:lpstr>
      <vt:lpstr>Konica C301i-Segment #11</vt:lpstr>
      <vt:lpstr>Konica C3320i-Segment #11</vt:lpstr>
      <vt:lpstr>Konica 361i-Segment #12</vt:lpstr>
      <vt:lpstr>Konica 451i-Segment #12</vt:lpstr>
      <vt:lpstr>Konica C361i-Segment #13</vt:lpstr>
      <vt:lpstr>Konica 551i-Segment #14</vt:lpstr>
      <vt:lpstr>Konica C451i-Segment #15</vt:lpstr>
      <vt:lpstr>Konica C551i-Segment #15</vt:lpstr>
      <vt:lpstr>Konica C651i-Segment #15</vt:lpstr>
      <vt:lpstr>Konica C751i-Segment #15</vt:lpstr>
      <vt:lpstr>Konica 651i-Segment #16</vt:lpstr>
      <vt:lpstr>Konica 751i-Segment #17</vt:lpstr>
      <vt:lpstr>Konica 850i-Segment #17</vt:lpstr>
      <vt:lpstr>Konica 950i-Segment #17</vt:lpstr>
      <vt:lpstr>Konica 4000i Segment #24</vt:lpstr>
      <vt:lpstr>Lexmark m1246 Segment #24</vt:lpstr>
      <vt:lpstr>HP M102w Segment #24</vt:lpstr>
      <vt:lpstr>Konica 4000i Segment #25</vt:lpstr>
      <vt:lpstr>Lexmark m3250 Segment #25</vt:lpstr>
      <vt:lpstr>HP M203dw Segment #25</vt:lpstr>
      <vt:lpstr>Konica 4701i Segment #26</vt:lpstr>
      <vt:lpstr>Lexmark m5255 Segment #26</vt:lpstr>
      <vt:lpstr>HP M404n Segment #26 </vt:lpstr>
      <vt:lpstr>Lexmark xc2235 Segment #27</vt:lpstr>
      <vt:lpstr>HP M254dw Segment #27</vt:lpstr>
      <vt:lpstr>Lexmark C4150 Segment #28</vt:lpstr>
      <vt:lpstr>HP M454dn Segment #28</vt:lpstr>
      <vt:lpstr>Lexmark C6160 Segment #29</vt:lpstr>
      <vt:lpstr>HP M555dn Segment #29</vt:lpstr>
      <vt:lpstr>KIP 660 Series Segment #30</vt:lpstr>
      <vt:lpstr>KIP 860 Series Segment #31</vt:lpstr>
      <vt:lpstr>KIP 7171K6 (WF) Segment #40</vt:lpstr>
      <vt:lpstr>HP PWXL 3900 (WF) Segment #40</vt:lpstr>
      <vt:lpstr>KIP 7582 (WF) Segment #41</vt:lpstr>
      <vt:lpstr>HP PWXL 4200 (WF) Segment #41</vt:lpstr>
      <vt:lpstr>KIP 7984 (WF) Segment #42</vt:lpstr>
      <vt:lpstr>HP PWXL 4600 (WF) Segment # 42</vt:lpstr>
      <vt:lpstr>HP XL 8000 Segment #42</vt:lpstr>
      <vt:lpstr>HP PWXL 5100 (WF) Segment # 43</vt:lpstr>
      <vt:lpstr>HP SDPRO T1700(WF) Segment # 45</vt:lpstr>
      <vt:lpstr>HP T2600dr (WF) Segment  46</vt:lpstr>
      <vt:lpstr>HP PWXL 4200 (WF) Segment # 47</vt:lpstr>
      <vt:lpstr>KIP 7171K4 (WF) Segment #48</vt:lpstr>
      <vt:lpstr>HP T1600 (WF) Segment #48</vt:lpstr>
      <vt:lpstr>HP T1600dr (WF) Segment #48</vt:lpstr>
      <vt:lpstr>HP OfficeJet 200 Segment #49</vt:lpstr>
      <vt:lpstr>Konica 2100-PP Segment #50 </vt:lpstr>
      <vt:lpstr>Konica 7120-PP Segment #50</vt:lpstr>
      <vt:lpstr>Konica 7136-PP Segment #50</vt:lpstr>
      <vt:lpstr>Konica C4065-PP Segment #51</vt:lpstr>
      <vt:lpstr>Konica C4070-PP Segment #51</vt:lpstr>
      <vt:lpstr>Konica C4080-PP Segment #51</vt:lpstr>
      <vt:lpstr>Konica C7090-PP Segment #51</vt:lpstr>
      <vt:lpstr>Konica C7100-PP Segment #51</vt:lpstr>
      <vt:lpstr>Konica C12000-PP Segment #51</vt:lpstr>
      <vt:lpstr>Konica C14000-PP Segment #51</vt:lpstr>
      <vt:lpstr>Konica Plastics 3D Segment #52</vt:lpstr>
      <vt:lpstr>HP P57750dw Segment #54</vt:lpstr>
      <vt:lpstr>HP P57750dw Segment #55</vt:lpstr>
      <vt:lpstr>HP E58650z Segment #55a-b</vt:lpstr>
      <vt:lpstr>HP E58650z Segment #56</vt:lpstr>
      <vt:lpstr>HP E77650z Segment #57</vt:lpstr>
      <vt:lpstr>High Speed Additional Items</vt:lpstr>
      <vt:lpstr>MPS</vt:lpstr>
      <vt:lpstr>PaperCut</vt:lpstr>
      <vt:lpstr>Prism ScanPath</vt:lpstr>
      <vt:lpstr>Dispatcher Pheonix</vt:lpstr>
      <vt:lpstr>Bizhub Marketplace</vt:lpstr>
      <vt:lpstr>Square 9 </vt:lpstr>
      <vt:lpstr>WEB CRD</vt:lpstr>
      <vt:lpstr>AccurioPro</vt:lpstr>
      <vt:lpstr>HP Mobile  Security Solutions</vt:lpstr>
      <vt:lpstr>PrintShop Mail</vt:lpstr>
      <vt:lpstr>PlanetPress</vt:lpstr>
      <vt:lpstr>EngageIT</vt:lpstr>
      <vt:lpstr>Professional Services</vt:lpstr>
      <vt:lpstr>'HP E58650z Segment #55a-b'!Print_Area</vt:lpstr>
      <vt:lpstr>'HP E58650z Segment #56'!Print_Area</vt:lpstr>
      <vt:lpstr>'HP E77650z Segment #57'!Print_Area</vt:lpstr>
      <vt:lpstr>'HP M102w Segment #24'!Print_Area</vt:lpstr>
      <vt:lpstr>'HP M203dw Segment #25'!Print_Area</vt:lpstr>
      <vt:lpstr>'HP M254dw Segment #27'!Print_Area</vt:lpstr>
      <vt:lpstr>'HP M404n Segment #26 '!Print_Area</vt:lpstr>
      <vt:lpstr>'HP M454dn Segment #28'!Print_Area</vt:lpstr>
      <vt:lpstr>'HP M555dn Segment #29'!Print_Area</vt:lpstr>
      <vt:lpstr>'HP OfficeJet 200 Segment #49'!Print_Area</vt:lpstr>
      <vt:lpstr>'HP P57750dw Segment #54'!Print_Area</vt:lpstr>
      <vt:lpstr>'HP P57750dw Segment #55'!Print_Area</vt:lpstr>
      <vt:lpstr>'HP PWXL 3900 (WF) Segment #40'!Print_Area</vt:lpstr>
      <vt:lpstr>'HP PWXL 4200 (WF) Segment # 47'!Print_Area</vt:lpstr>
      <vt:lpstr>'HP PWXL 4200 (WF) Segment #41'!Print_Area</vt:lpstr>
      <vt:lpstr>'HP PWXL 4600 (WF) Segment # 42'!Print_Area</vt:lpstr>
      <vt:lpstr>'HP PWXL 5100 (WF) Segment # 43'!Print_Area</vt:lpstr>
      <vt:lpstr>'HP SDPRO T1700(WF) Segment # 45'!Print_Area</vt:lpstr>
      <vt:lpstr>'HP T1600 (WF) Segment #48'!Print_Area</vt:lpstr>
      <vt:lpstr>'HP T1600dr (WF) Segment #48'!Print_Area</vt:lpstr>
      <vt:lpstr>'HP T2600dr (WF) Segment  46'!Print_Area</vt:lpstr>
      <vt:lpstr>'KIP 660 Series Segment #30'!Print_Area</vt:lpstr>
      <vt:lpstr>'KIP 7171K4 (WF) Segment #48'!Print_Area</vt:lpstr>
      <vt:lpstr>'KIP 7171K6 (WF) Segment #40'!Print_Area</vt:lpstr>
      <vt:lpstr>'KIP 7582 (WF) Segment #41'!Print_Area</vt:lpstr>
      <vt:lpstr>'KIP 7984 (WF) Segment #42'!Print_Area</vt:lpstr>
      <vt:lpstr>'KIP 860 Series Segment #31'!Print_Area</vt:lpstr>
      <vt:lpstr>'Konica 2100-PP Segment #50 '!Print_Area</vt:lpstr>
      <vt:lpstr>'Konica 301i-Segment #10 '!Print_Area</vt:lpstr>
      <vt:lpstr>'Konica 361i-Segment #12'!Print_Area</vt:lpstr>
      <vt:lpstr>'Konica 4000i Segment #24'!Print_Area</vt:lpstr>
      <vt:lpstr>'Konica 4000i Segment #25'!Print_Area</vt:lpstr>
      <vt:lpstr>'Konica 4020i Segment #7'!Print_Area</vt:lpstr>
      <vt:lpstr>'Konica 4051i-Segment #8'!Print_Area</vt:lpstr>
      <vt:lpstr>'Konica 451i-Segment #12'!Print_Area</vt:lpstr>
      <vt:lpstr>'Konica 4701i Segment #26'!Print_Area</vt:lpstr>
      <vt:lpstr>'Konica 4751i-Segment #9'!Print_Area</vt:lpstr>
      <vt:lpstr>'Konica 5020i Segment #7'!Print_Area</vt:lpstr>
      <vt:lpstr>'Konica 551i-Segment #14'!Print_Area</vt:lpstr>
      <vt:lpstr>'Konica 651i-Segment #16'!Print_Area</vt:lpstr>
      <vt:lpstr>'Konica 7120-PP Segment #50'!Print_Area</vt:lpstr>
      <vt:lpstr>'Konica 7136-PP Segment #50'!Print_Area</vt:lpstr>
      <vt:lpstr>'Konica 751i-Segment #17'!Print_Area</vt:lpstr>
      <vt:lpstr>'Konica 850i-Segment #17'!Print_Area</vt:lpstr>
      <vt:lpstr>'Konica 950i-Segment #17'!Print_Area</vt:lpstr>
      <vt:lpstr>'Konica C12000-PP Segment #51'!Print_Area</vt:lpstr>
      <vt:lpstr>'Konica C14000-PP Segment #51'!Print_Area</vt:lpstr>
      <vt:lpstr>'Konica C251i-Segment #11'!Print_Area</vt:lpstr>
      <vt:lpstr>'Konica C301i-Segment #11'!Print_Area</vt:lpstr>
      <vt:lpstr>'Konica C3320i-Segment #11'!Print_Area</vt:lpstr>
      <vt:lpstr>'Konica C361i-Segment #13'!Print_Area</vt:lpstr>
      <vt:lpstr>'Konica C4065-PP Segment #51'!Print_Area</vt:lpstr>
      <vt:lpstr>'Konica C4070-PP Segment #51'!Print_Area</vt:lpstr>
      <vt:lpstr>'Konica C4080-PP Segment #51'!Print_Area</vt:lpstr>
      <vt:lpstr>'Konica C7100-PP Segment #51'!Print_Area</vt:lpstr>
      <vt:lpstr>'Konica Plastics 3D Segment #52'!Print_Area</vt:lpstr>
      <vt:lpstr>'Lexmark C4150 Segment #28'!Print_Area</vt:lpstr>
      <vt:lpstr>'Lexmark C6160 Segment #29'!Print_Area</vt:lpstr>
      <vt:lpstr>'Lexmark m1246 Segment #24'!Print_Area</vt:lpstr>
      <vt:lpstr>'Lexmark m3250 Segment #25'!Print_Area</vt:lpstr>
      <vt:lpstr>'Lexmark m5255 Segment #26'!Print_Area</vt:lpstr>
      <vt:lpstr>'Lexmark xc2235 Segment #27'!Print_Area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Gregg, Debora</dc:creator>
  <cp:lastModifiedBy>Ahmad,Tracey</cp:lastModifiedBy>
  <cp:lastPrinted>2022-08-16T13:58:09Z</cp:lastPrinted>
  <dcterms:created xsi:type="dcterms:W3CDTF">2017-06-28T18:49:11Z</dcterms:created>
  <dcterms:modified xsi:type="dcterms:W3CDTF">2024-07-30T13:32:47Z</dcterms:modified>
</cp:coreProperties>
</file>